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in hoc\Project\DCF\"/>
    </mc:Choice>
  </mc:AlternateContent>
  <xr:revisionPtr revIDLastSave="0" documentId="13_ncr:1_{C952117C-0275-43F5-A5B5-56CECD33B8B2}" xr6:coauthVersionLast="47" xr6:coauthVersionMax="47" xr10:uidLastSave="{00000000-0000-0000-0000-000000000000}"/>
  <bookViews>
    <workbookView xWindow="-108" yWindow="-108" windowWidth="23256" windowHeight="12456" firstSheet="12" activeTab="18" xr2:uid="{00000000-000D-0000-FFFF-FFFF00000000}"/>
  </bookViews>
  <sheets>
    <sheet name="IS Raw" sheetId="1" r:id="rId1"/>
    <sheet name="BS Raw" sheetId="2" r:id="rId2"/>
    <sheet name="CF Raw" sheetId="3" r:id="rId3"/>
    <sheet name="Notes" sheetId="4" r:id="rId4"/>
    <sheet name="Welfare &amp; Dividends" sheetId="5" r:id="rId5"/>
    <sheet name="Phân loại dược phẩm" sheetId="7" r:id="rId6"/>
    <sheet name="Mảng dược phẩm" sheetId="9" r:id="rId7"/>
    <sheet name="Mảng thiết bị y tế" sheetId="10" r:id="rId8"/>
    <sheet name="Consol. Rev." sheetId="11" r:id="rId9"/>
    <sheet name="Debt" sheetId="13" r:id="rId10"/>
    <sheet name="LT. Asset" sheetId="12" r:id="rId11"/>
    <sheet name="Input" sheetId="6" r:id="rId12"/>
    <sheet name="Output-FR (show)" sheetId="8" r:id="rId13"/>
    <sheet name="Output-FR (check)" sheetId="19" r:id="rId14"/>
    <sheet name="ERP-Beta" sheetId="14" r:id="rId15"/>
    <sheet name="Assumption &amp; Result" sheetId="17" r:id="rId16"/>
    <sheet name="DCF" sheetId="15" r:id="rId17"/>
    <sheet name="Ratio" sheetId="18" r:id="rId18"/>
    <sheet name="ComSize" sheetId="20" r:id="rId19"/>
    <sheet name="RV" sheetId="21" r:id="rId20"/>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8" i="20" l="1"/>
  <c r="K163" i="19"/>
  <c r="L163" i="19"/>
  <c r="M163" i="19"/>
  <c r="N163" i="19"/>
  <c r="O163" i="19"/>
  <c r="P163" i="19"/>
  <c r="Q163" i="19"/>
  <c r="R163" i="19"/>
  <c r="S163" i="19"/>
  <c r="T163" i="19"/>
  <c r="U163" i="19"/>
  <c r="V163" i="19"/>
  <c r="W163" i="19"/>
  <c r="X163" i="19"/>
  <c r="Y163" i="19"/>
  <c r="Z163" i="19"/>
  <c r="J163" i="19"/>
  <c r="Q135" i="19" l="1"/>
  <c r="K89" i="19"/>
  <c r="L89" i="19"/>
  <c r="M89" i="19"/>
  <c r="N89" i="19"/>
  <c r="O89" i="19"/>
  <c r="P89" i="19"/>
  <c r="J89" i="19"/>
  <c r="K67" i="19" l="1"/>
  <c r="L67" i="19"/>
  <c r="M67" i="19"/>
  <c r="N67" i="19"/>
  <c r="O67" i="19"/>
  <c r="P67" i="19"/>
  <c r="J67" i="19"/>
  <c r="R192" i="8" l="1"/>
  <c r="S192" i="8"/>
  <c r="T192" i="8"/>
  <c r="U192" i="8"/>
  <c r="V192" i="8"/>
  <c r="W192" i="8"/>
  <c r="X192" i="8"/>
  <c r="Y192" i="8"/>
  <c r="Z192" i="8"/>
  <c r="Q192" i="8"/>
  <c r="K100" i="8"/>
  <c r="L100" i="8"/>
  <c r="M100" i="8"/>
  <c r="N100" i="8"/>
  <c r="O100" i="8"/>
  <c r="P100" i="8"/>
  <c r="I100" i="8"/>
  <c r="J100" i="8"/>
  <c r="K113" i="6" l="1"/>
  <c r="L113" i="6"/>
  <c r="M113" i="6"/>
  <c r="N113" i="6"/>
  <c r="O113" i="6"/>
  <c r="P113" i="6"/>
  <c r="J113" i="6"/>
  <c r="K112" i="6"/>
  <c r="L112" i="6"/>
  <c r="M112" i="6"/>
  <c r="N112" i="6"/>
  <c r="O112" i="6"/>
  <c r="P112" i="6"/>
  <c r="J112" i="6"/>
  <c r="D28" i="17" l="1"/>
  <c r="C10" i="21"/>
  <c r="O3" i="20"/>
  <c r="P3" i="20"/>
  <c r="P38" i="20" s="1"/>
  <c r="Q3" i="20"/>
  <c r="R3" i="20"/>
  <c r="S3" i="20"/>
  <c r="S38" i="20" s="1"/>
  <c r="T3" i="20"/>
  <c r="T38" i="20" s="1"/>
  <c r="U3" i="20"/>
  <c r="U38" i="20" s="1"/>
  <c r="V3" i="20"/>
  <c r="W3" i="20"/>
  <c r="X3" i="20"/>
  <c r="X38" i="20" s="1"/>
  <c r="Y3" i="20"/>
  <c r="Z3" i="20"/>
  <c r="AA3" i="20"/>
  <c r="N3" i="20"/>
  <c r="A124" i="19"/>
  <c r="Z173" i="6"/>
  <c r="Z199" i="6"/>
  <c r="Z184" i="6"/>
  <c r="L170" i="6"/>
  <c r="M170" i="6"/>
  <c r="N170" i="6"/>
  <c r="O170" i="6"/>
  <c r="P170" i="6"/>
  <c r="Q170" i="6"/>
  <c r="R170" i="6"/>
  <c r="S170" i="6"/>
  <c r="T170" i="6"/>
  <c r="U170" i="6"/>
  <c r="V170" i="6"/>
  <c r="W170" i="6"/>
  <c r="X170" i="6"/>
  <c r="Y170" i="6"/>
  <c r="K170" i="6"/>
  <c r="Y173" i="6"/>
  <c r="Z163" i="6"/>
  <c r="X173" i="6"/>
  <c r="W173" i="6"/>
  <c r="V173" i="6"/>
  <c r="U173" i="6"/>
  <c r="T173" i="6"/>
  <c r="Q173" i="6"/>
  <c r="C9" i="21"/>
  <c r="L78" i="20"/>
  <c r="M78" i="20"/>
  <c r="N78" i="20"/>
  <c r="O78" i="20"/>
  <c r="P78" i="20"/>
  <c r="J78" i="20"/>
  <c r="K77" i="20"/>
  <c r="L77" i="20"/>
  <c r="M77" i="20"/>
  <c r="N77" i="20"/>
  <c r="O77" i="20"/>
  <c r="P77" i="20"/>
  <c r="J77" i="20"/>
  <c r="K76" i="20"/>
  <c r="L76" i="20"/>
  <c r="M76" i="20"/>
  <c r="N76" i="20"/>
  <c r="O76" i="20"/>
  <c r="P76" i="20"/>
  <c r="J76" i="20"/>
  <c r="K75" i="20"/>
  <c r="L75" i="20"/>
  <c r="M75" i="20"/>
  <c r="N75" i="20"/>
  <c r="O75" i="20"/>
  <c r="P75" i="20"/>
  <c r="J75" i="20"/>
  <c r="K74" i="20"/>
  <c r="L74" i="20"/>
  <c r="M74" i="20"/>
  <c r="N74" i="20"/>
  <c r="O74" i="20"/>
  <c r="P74" i="20"/>
  <c r="J74" i="20"/>
  <c r="K73" i="20"/>
  <c r="L73" i="20"/>
  <c r="M73" i="20"/>
  <c r="N73" i="20"/>
  <c r="O73" i="20"/>
  <c r="P73" i="20"/>
  <c r="J73" i="20"/>
  <c r="K70" i="20"/>
  <c r="L70" i="20"/>
  <c r="M70" i="20"/>
  <c r="N70" i="20"/>
  <c r="O70" i="20"/>
  <c r="P70" i="20"/>
  <c r="J70" i="20"/>
  <c r="K67" i="20"/>
  <c r="L67" i="20"/>
  <c r="M67" i="20"/>
  <c r="N67" i="20"/>
  <c r="O67" i="20"/>
  <c r="P67" i="20"/>
  <c r="J67" i="20"/>
  <c r="K66" i="20"/>
  <c r="L66" i="20"/>
  <c r="M66" i="20"/>
  <c r="N66" i="20"/>
  <c r="O66" i="20"/>
  <c r="P66" i="20"/>
  <c r="J66" i="20"/>
  <c r="K65" i="20"/>
  <c r="L65" i="20"/>
  <c r="M65" i="20"/>
  <c r="N65" i="20"/>
  <c r="O65" i="20"/>
  <c r="P65" i="20"/>
  <c r="J65" i="20"/>
  <c r="K64" i="20"/>
  <c r="L64" i="20"/>
  <c r="M64" i="20"/>
  <c r="N64" i="20"/>
  <c r="O64" i="20"/>
  <c r="P64" i="20"/>
  <c r="Q64" i="20"/>
  <c r="R64" i="20"/>
  <c r="S64" i="20"/>
  <c r="T64" i="20"/>
  <c r="U64" i="20"/>
  <c r="V64" i="20"/>
  <c r="W64" i="20"/>
  <c r="X64" i="20"/>
  <c r="Y64" i="20"/>
  <c r="Z64" i="20"/>
  <c r="J64" i="20"/>
  <c r="K63" i="20"/>
  <c r="L63" i="20"/>
  <c r="M63" i="20"/>
  <c r="N63" i="20"/>
  <c r="O63" i="20"/>
  <c r="P63" i="20"/>
  <c r="J63" i="20"/>
  <c r="K62" i="20"/>
  <c r="L62" i="20"/>
  <c r="M62" i="20"/>
  <c r="N62" i="20"/>
  <c r="O62" i="20"/>
  <c r="P62" i="20"/>
  <c r="J62" i="20"/>
  <c r="K61" i="20"/>
  <c r="L61" i="20"/>
  <c r="M61" i="20"/>
  <c r="N61" i="20"/>
  <c r="O61" i="20"/>
  <c r="P61" i="20"/>
  <c r="J61" i="20"/>
  <c r="K59" i="20"/>
  <c r="L59" i="20"/>
  <c r="M59" i="20"/>
  <c r="N59" i="20"/>
  <c r="O59" i="20"/>
  <c r="P59" i="20"/>
  <c r="J59" i="20"/>
  <c r="K58" i="20"/>
  <c r="L58" i="20"/>
  <c r="M58" i="20"/>
  <c r="N58" i="20"/>
  <c r="O58" i="20"/>
  <c r="P58" i="20"/>
  <c r="J58" i="20"/>
  <c r="K57" i="20"/>
  <c r="L57" i="20"/>
  <c r="M57" i="20"/>
  <c r="N57" i="20"/>
  <c r="O57" i="20"/>
  <c r="P57" i="20"/>
  <c r="J57" i="20"/>
  <c r="K56" i="20"/>
  <c r="L56" i="20"/>
  <c r="M56" i="20"/>
  <c r="N56" i="20"/>
  <c r="O56" i="20"/>
  <c r="P56" i="20"/>
  <c r="J56" i="20"/>
  <c r="K55" i="20"/>
  <c r="L55" i="20"/>
  <c r="M55" i="20"/>
  <c r="N55" i="20"/>
  <c r="O55" i="20"/>
  <c r="P55" i="20"/>
  <c r="J55" i="20"/>
  <c r="K52" i="20"/>
  <c r="L52" i="20"/>
  <c r="M52" i="20"/>
  <c r="N52" i="20"/>
  <c r="O52" i="20"/>
  <c r="P52" i="20"/>
  <c r="J52" i="20"/>
  <c r="K51" i="20"/>
  <c r="L51" i="20"/>
  <c r="M51" i="20"/>
  <c r="N51" i="20"/>
  <c r="O51" i="20"/>
  <c r="P51" i="20"/>
  <c r="J51" i="20"/>
  <c r="K50" i="20"/>
  <c r="L50" i="20"/>
  <c r="M50" i="20"/>
  <c r="N50" i="20"/>
  <c r="O50" i="20"/>
  <c r="P50" i="20"/>
  <c r="J50" i="20"/>
  <c r="K49" i="20"/>
  <c r="L49" i="20"/>
  <c r="M49" i="20"/>
  <c r="N49" i="20"/>
  <c r="O49" i="20"/>
  <c r="P49" i="20"/>
  <c r="J49" i="20"/>
  <c r="K48" i="20"/>
  <c r="L48" i="20"/>
  <c r="M48" i="20"/>
  <c r="N48" i="20"/>
  <c r="O48" i="20"/>
  <c r="P48" i="20"/>
  <c r="J48" i="20"/>
  <c r="K46" i="20"/>
  <c r="L46" i="20"/>
  <c r="M46" i="20"/>
  <c r="N46" i="20"/>
  <c r="O46" i="20"/>
  <c r="P46" i="20"/>
  <c r="J46" i="20"/>
  <c r="K45" i="20"/>
  <c r="L45" i="20"/>
  <c r="M45" i="20"/>
  <c r="N45" i="20"/>
  <c r="O45" i="20"/>
  <c r="P45" i="20"/>
  <c r="J45" i="20"/>
  <c r="K44" i="20"/>
  <c r="L44" i="20"/>
  <c r="M44" i="20"/>
  <c r="N44" i="20"/>
  <c r="O44" i="20"/>
  <c r="P44" i="20"/>
  <c r="J44" i="20"/>
  <c r="K43" i="20"/>
  <c r="L43" i="20"/>
  <c r="M43" i="20"/>
  <c r="N43" i="20"/>
  <c r="O43" i="20"/>
  <c r="P43" i="20"/>
  <c r="J43" i="20"/>
  <c r="K42" i="20"/>
  <c r="L42" i="20"/>
  <c r="M42" i="20"/>
  <c r="N42" i="20"/>
  <c r="O42" i="20"/>
  <c r="P42" i="20"/>
  <c r="J42" i="20"/>
  <c r="K41" i="20"/>
  <c r="L41" i="20"/>
  <c r="M41" i="20"/>
  <c r="N41" i="20"/>
  <c r="O41" i="20"/>
  <c r="P41" i="20"/>
  <c r="J41" i="20"/>
  <c r="K40" i="20"/>
  <c r="L40" i="20"/>
  <c r="M40" i="20"/>
  <c r="N40" i="20"/>
  <c r="O40" i="20"/>
  <c r="P40" i="20"/>
  <c r="J40" i="20"/>
  <c r="E38" i="20"/>
  <c r="F38" i="20"/>
  <c r="G38" i="20"/>
  <c r="H38" i="20"/>
  <c r="I38" i="20"/>
  <c r="J38" i="20"/>
  <c r="K38" i="20"/>
  <c r="L38" i="20"/>
  <c r="M38" i="20"/>
  <c r="D38" i="20"/>
  <c r="K33" i="20"/>
  <c r="L33" i="20"/>
  <c r="M33" i="20"/>
  <c r="N33" i="20"/>
  <c r="O33" i="20"/>
  <c r="P33" i="20"/>
  <c r="J33" i="20"/>
  <c r="K32" i="20"/>
  <c r="L32" i="20"/>
  <c r="M32" i="20"/>
  <c r="N32" i="20"/>
  <c r="O32" i="20"/>
  <c r="P32" i="20"/>
  <c r="Q32" i="20"/>
  <c r="R32" i="20"/>
  <c r="S32" i="20"/>
  <c r="T32" i="20"/>
  <c r="U32" i="20"/>
  <c r="V32" i="20"/>
  <c r="W32" i="20"/>
  <c r="X32" i="20"/>
  <c r="J32" i="20"/>
  <c r="K30" i="20"/>
  <c r="L30" i="20"/>
  <c r="M30" i="20"/>
  <c r="N30" i="20"/>
  <c r="O30" i="20"/>
  <c r="P30" i="20"/>
  <c r="J30" i="20"/>
  <c r="K29" i="20"/>
  <c r="L29" i="20"/>
  <c r="M29" i="20"/>
  <c r="N29" i="20"/>
  <c r="O29" i="20"/>
  <c r="P29" i="20"/>
  <c r="Q29" i="20"/>
  <c r="R29" i="20"/>
  <c r="S29" i="20"/>
  <c r="T29" i="20"/>
  <c r="U29" i="20"/>
  <c r="V29" i="20"/>
  <c r="W29" i="20"/>
  <c r="X29" i="20"/>
  <c r="Y29" i="20"/>
  <c r="Z29" i="20"/>
  <c r="J29" i="20"/>
  <c r="K28" i="20"/>
  <c r="L28" i="20"/>
  <c r="M28" i="20"/>
  <c r="N28" i="20"/>
  <c r="O28" i="20"/>
  <c r="P28" i="20"/>
  <c r="Q28" i="20"/>
  <c r="R28" i="20"/>
  <c r="S28" i="20"/>
  <c r="T28" i="20"/>
  <c r="U28" i="20"/>
  <c r="V28" i="20"/>
  <c r="W28" i="20"/>
  <c r="X28" i="20"/>
  <c r="Y28" i="20"/>
  <c r="Z28" i="20"/>
  <c r="J28" i="20"/>
  <c r="K26" i="20"/>
  <c r="L26" i="20"/>
  <c r="M26" i="20"/>
  <c r="N26" i="20"/>
  <c r="O26" i="20"/>
  <c r="P26" i="20"/>
  <c r="J26" i="20"/>
  <c r="K25" i="20"/>
  <c r="L25" i="20"/>
  <c r="M25" i="20"/>
  <c r="N25" i="20"/>
  <c r="O25" i="20"/>
  <c r="P25" i="20"/>
  <c r="J25" i="20"/>
  <c r="K24" i="20"/>
  <c r="L24" i="20"/>
  <c r="M24" i="20"/>
  <c r="N24" i="20"/>
  <c r="O24" i="20"/>
  <c r="P24" i="20"/>
  <c r="Q24" i="20"/>
  <c r="R24" i="20"/>
  <c r="S24" i="20"/>
  <c r="T24" i="20"/>
  <c r="U24" i="20"/>
  <c r="V24" i="20"/>
  <c r="W24" i="20"/>
  <c r="X24" i="20"/>
  <c r="Y24" i="20"/>
  <c r="Z24" i="20"/>
  <c r="J24" i="20"/>
  <c r="K23" i="20"/>
  <c r="L23" i="20"/>
  <c r="M23" i="20"/>
  <c r="N23" i="20"/>
  <c r="O23" i="20"/>
  <c r="P23" i="20"/>
  <c r="J23" i="20"/>
  <c r="K21" i="20"/>
  <c r="L21" i="20"/>
  <c r="M21" i="20"/>
  <c r="N21" i="20"/>
  <c r="O21" i="20"/>
  <c r="P21" i="20"/>
  <c r="J21" i="20"/>
  <c r="K20" i="20"/>
  <c r="L20" i="20"/>
  <c r="M20" i="20"/>
  <c r="N20" i="20"/>
  <c r="O20" i="20"/>
  <c r="P20" i="20"/>
  <c r="J20" i="20"/>
  <c r="K19" i="20"/>
  <c r="L19" i="20"/>
  <c r="M19" i="20"/>
  <c r="N19" i="20"/>
  <c r="O19" i="20"/>
  <c r="P19" i="20"/>
  <c r="J19" i="20"/>
  <c r="K18" i="20"/>
  <c r="L18" i="20"/>
  <c r="M18" i="20"/>
  <c r="N18" i="20"/>
  <c r="O18" i="20"/>
  <c r="P18" i="20"/>
  <c r="Q18" i="20"/>
  <c r="R18" i="20"/>
  <c r="S18" i="20"/>
  <c r="T18" i="20"/>
  <c r="U18" i="20"/>
  <c r="V18" i="20"/>
  <c r="W18" i="20"/>
  <c r="X18" i="20"/>
  <c r="Y18" i="20"/>
  <c r="Z18" i="20"/>
  <c r="J18" i="20"/>
  <c r="K17" i="20"/>
  <c r="L17" i="20"/>
  <c r="M17" i="20"/>
  <c r="N17" i="20"/>
  <c r="O17" i="20"/>
  <c r="P17" i="20"/>
  <c r="Q17" i="20"/>
  <c r="R17" i="20"/>
  <c r="S17" i="20"/>
  <c r="T17" i="20"/>
  <c r="U17" i="20"/>
  <c r="V17" i="20"/>
  <c r="W17" i="20"/>
  <c r="X17" i="20"/>
  <c r="Y17" i="20"/>
  <c r="Z17" i="20"/>
  <c r="J17" i="20"/>
  <c r="K15" i="20"/>
  <c r="L15" i="20"/>
  <c r="M15" i="20"/>
  <c r="N15" i="20"/>
  <c r="O15" i="20"/>
  <c r="P15" i="20"/>
  <c r="J15" i="20"/>
  <c r="K13" i="20"/>
  <c r="L13" i="20"/>
  <c r="M13" i="20"/>
  <c r="N13" i="20"/>
  <c r="O13" i="20"/>
  <c r="P13" i="20"/>
  <c r="J13" i="20"/>
  <c r="K11" i="20"/>
  <c r="L11" i="20"/>
  <c r="M11" i="20"/>
  <c r="N11" i="20"/>
  <c r="O11" i="20"/>
  <c r="P11" i="20"/>
  <c r="J11" i="20"/>
  <c r="K10" i="20"/>
  <c r="L10" i="20"/>
  <c r="M10" i="20"/>
  <c r="N10" i="20"/>
  <c r="O10" i="20"/>
  <c r="P10" i="20"/>
  <c r="J10" i="20"/>
  <c r="K9" i="20"/>
  <c r="L9" i="20"/>
  <c r="M9" i="20"/>
  <c r="N9" i="20"/>
  <c r="O9" i="20"/>
  <c r="P9" i="20"/>
  <c r="Q9" i="20"/>
  <c r="R9" i="20"/>
  <c r="S9" i="20"/>
  <c r="T9" i="20"/>
  <c r="U9" i="20"/>
  <c r="V9" i="20"/>
  <c r="W9" i="20"/>
  <c r="X9" i="20"/>
  <c r="Y9" i="20"/>
  <c r="Z9" i="20"/>
  <c r="J9" i="20"/>
  <c r="K7" i="20"/>
  <c r="L7" i="20"/>
  <c r="M7" i="20"/>
  <c r="N7" i="20"/>
  <c r="O7" i="20"/>
  <c r="P7" i="20"/>
  <c r="J7" i="20"/>
  <c r="K6" i="20"/>
  <c r="L6" i="20"/>
  <c r="M6" i="20"/>
  <c r="N6" i="20"/>
  <c r="O6" i="20"/>
  <c r="P6" i="20"/>
  <c r="J6" i="20"/>
  <c r="K5" i="20"/>
  <c r="L5" i="20"/>
  <c r="M5" i="20"/>
  <c r="N5" i="20"/>
  <c r="O5" i="20"/>
  <c r="P5" i="20"/>
  <c r="Q5" i="20"/>
  <c r="R5" i="20"/>
  <c r="S5" i="20"/>
  <c r="T5" i="20"/>
  <c r="U5" i="20"/>
  <c r="V5" i="20"/>
  <c r="W5" i="20"/>
  <c r="X5" i="20"/>
  <c r="Y5" i="20"/>
  <c r="Z5" i="20"/>
  <c r="J5" i="20"/>
  <c r="Z38" i="20"/>
  <c r="Y38" i="20"/>
  <c r="W38" i="20"/>
  <c r="V38" i="20"/>
  <c r="R38" i="20"/>
  <c r="Q38" i="20"/>
  <c r="O38" i="20"/>
  <c r="N38" i="20"/>
  <c r="E3" i="20"/>
  <c r="F3" i="20" s="1"/>
  <c r="G3" i="20" s="1"/>
  <c r="H3" i="20" s="1"/>
  <c r="I3" i="20" s="1"/>
  <c r="J3" i="20" s="1"/>
  <c r="K185" i="19"/>
  <c r="Q185" i="19"/>
  <c r="R185" i="19"/>
  <c r="S185" i="19"/>
  <c r="T185" i="19"/>
  <c r="U185" i="19"/>
  <c r="V185" i="19"/>
  <c r="W185" i="19"/>
  <c r="X185" i="19"/>
  <c r="Y185" i="19"/>
  <c r="Z185" i="19"/>
  <c r="J185" i="19"/>
  <c r="Q184" i="19"/>
  <c r="J184" i="19"/>
  <c r="Q181" i="19"/>
  <c r="R181" i="19"/>
  <c r="S181" i="19"/>
  <c r="T181" i="19"/>
  <c r="U181" i="19"/>
  <c r="V181" i="19"/>
  <c r="W181" i="19"/>
  <c r="X181" i="19"/>
  <c r="Y181" i="19"/>
  <c r="Z181" i="19"/>
  <c r="K179" i="19"/>
  <c r="L179" i="19"/>
  <c r="M179" i="19"/>
  <c r="N179" i="19"/>
  <c r="O179" i="19"/>
  <c r="P179" i="19"/>
  <c r="Q179" i="19"/>
  <c r="R179" i="19"/>
  <c r="S179" i="19"/>
  <c r="T179" i="19"/>
  <c r="U179" i="19"/>
  <c r="V179" i="19"/>
  <c r="W179" i="19"/>
  <c r="X179" i="19"/>
  <c r="Y179" i="19"/>
  <c r="Z179" i="19"/>
  <c r="J179" i="19"/>
  <c r="K178" i="19"/>
  <c r="L178" i="19"/>
  <c r="M178" i="19"/>
  <c r="N178" i="19"/>
  <c r="O178" i="19"/>
  <c r="P178" i="19"/>
  <c r="J178" i="19"/>
  <c r="K177" i="19"/>
  <c r="L177" i="19"/>
  <c r="M177" i="19"/>
  <c r="N177" i="19"/>
  <c r="O177" i="19"/>
  <c r="P177" i="19"/>
  <c r="Q177" i="19"/>
  <c r="R177" i="19"/>
  <c r="S177" i="19"/>
  <c r="T177" i="19"/>
  <c r="U177" i="19"/>
  <c r="V177" i="19"/>
  <c r="W177" i="19"/>
  <c r="X177" i="19"/>
  <c r="Y177" i="19"/>
  <c r="Z177" i="19"/>
  <c r="J177" i="19"/>
  <c r="K176" i="19"/>
  <c r="L176" i="19"/>
  <c r="M176" i="19"/>
  <c r="N176" i="19"/>
  <c r="O176" i="19"/>
  <c r="P176" i="19"/>
  <c r="Q176" i="19"/>
  <c r="R176" i="19"/>
  <c r="S176" i="19"/>
  <c r="T176" i="19"/>
  <c r="U176" i="19"/>
  <c r="V176" i="19"/>
  <c r="W176" i="19"/>
  <c r="X176" i="19"/>
  <c r="Y176" i="19"/>
  <c r="Z176" i="19"/>
  <c r="J176" i="19"/>
  <c r="J175" i="19"/>
  <c r="K174" i="19"/>
  <c r="L174" i="19"/>
  <c r="M174" i="19"/>
  <c r="N174" i="19"/>
  <c r="O174" i="19"/>
  <c r="P174" i="19"/>
  <c r="Q174" i="19"/>
  <c r="Q172" i="19" s="1"/>
  <c r="R174" i="19"/>
  <c r="S174" i="19"/>
  <c r="T174" i="19"/>
  <c r="U174" i="19"/>
  <c r="V174" i="19"/>
  <c r="W174" i="19"/>
  <c r="X174" i="19"/>
  <c r="J174" i="19"/>
  <c r="K173" i="19"/>
  <c r="L173" i="19"/>
  <c r="M173" i="19"/>
  <c r="N173" i="19"/>
  <c r="O173" i="19"/>
  <c r="P173" i="19"/>
  <c r="Q173" i="19"/>
  <c r="R173" i="19"/>
  <c r="R172" i="19" s="1"/>
  <c r="S173" i="19"/>
  <c r="T173" i="19"/>
  <c r="U173" i="19"/>
  <c r="V173" i="19"/>
  <c r="V172" i="19" s="1"/>
  <c r="W173" i="19"/>
  <c r="X173" i="19"/>
  <c r="Y173" i="19"/>
  <c r="Z173" i="19"/>
  <c r="J173" i="19"/>
  <c r="S172" i="19"/>
  <c r="U172" i="19"/>
  <c r="W172" i="19"/>
  <c r="X172" i="19"/>
  <c r="K171" i="19"/>
  <c r="L171" i="19"/>
  <c r="M171" i="19"/>
  <c r="N171" i="19"/>
  <c r="O171" i="19"/>
  <c r="P171" i="19"/>
  <c r="Q171" i="19"/>
  <c r="R171" i="19"/>
  <c r="S171" i="19"/>
  <c r="T171" i="19"/>
  <c r="U171" i="19"/>
  <c r="V171" i="19"/>
  <c r="W171" i="19"/>
  <c r="X171" i="19"/>
  <c r="Y171" i="19"/>
  <c r="Z171" i="19"/>
  <c r="J171" i="19"/>
  <c r="R167" i="19"/>
  <c r="S167" i="19"/>
  <c r="T167" i="19"/>
  <c r="U167" i="19"/>
  <c r="V167" i="19"/>
  <c r="W167" i="19"/>
  <c r="X167" i="19"/>
  <c r="Y167" i="19"/>
  <c r="Z167" i="19"/>
  <c r="Q167" i="19"/>
  <c r="L165" i="19"/>
  <c r="N161" i="19"/>
  <c r="Q161" i="19"/>
  <c r="R161" i="19"/>
  <c r="S161" i="19"/>
  <c r="T161" i="19"/>
  <c r="U161" i="19"/>
  <c r="V161" i="19"/>
  <c r="W161" i="19"/>
  <c r="X161" i="19"/>
  <c r="Y161" i="19"/>
  <c r="Z161" i="19"/>
  <c r="N160" i="19"/>
  <c r="N159" i="19"/>
  <c r="K158" i="19"/>
  <c r="L158" i="19"/>
  <c r="M158" i="19"/>
  <c r="N158" i="19"/>
  <c r="O158" i="19"/>
  <c r="P158" i="19"/>
  <c r="J158" i="19"/>
  <c r="N157" i="19"/>
  <c r="N162" i="19" s="1"/>
  <c r="Q155" i="19"/>
  <c r="R155" i="19"/>
  <c r="S155" i="19"/>
  <c r="T155" i="19"/>
  <c r="U155" i="19"/>
  <c r="V155" i="19"/>
  <c r="W155" i="19"/>
  <c r="X155" i="19"/>
  <c r="Y155" i="19"/>
  <c r="Z155" i="19"/>
  <c r="K151" i="19"/>
  <c r="L151" i="19"/>
  <c r="M151" i="19"/>
  <c r="N151" i="19"/>
  <c r="O151" i="19"/>
  <c r="P151" i="19"/>
  <c r="J151" i="19"/>
  <c r="Q150" i="19"/>
  <c r="R150" i="19"/>
  <c r="S150" i="19"/>
  <c r="T150" i="19"/>
  <c r="U150" i="19"/>
  <c r="V150" i="19"/>
  <c r="W150" i="19"/>
  <c r="X150" i="19"/>
  <c r="Y150" i="19"/>
  <c r="Z150" i="19"/>
  <c r="P149" i="19"/>
  <c r="Q149" i="19"/>
  <c r="R149" i="19"/>
  <c r="S149" i="19"/>
  <c r="T149" i="19"/>
  <c r="U149" i="19"/>
  <c r="V149" i="19"/>
  <c r="W149" i="19"/>
  <c r="X149" i="19"/>
  <c r="Y149" i="19"/>
  <c r="Z149" i="19"/>
  <c r="O148" i="19"/>
  <c r="Q148" i="19"/>
  <c r="R148" i="19"/>
  <c r="S148" i="19"/>
  <c r="T148" i="19"/>
  <c r="U148" i="19"/>
  <c r="V148" i="19"/>
  <c r="W148" i="19"/>
  <c r="X148" i="19"/>
  <c r="Y148" i="19"/>
  <c r="Z148" i="19"/>
  <c r="N147" i="19"/>
  <c r="O146" i="19"/>
  <c r="P145" i="19"/>
  <c r="Q145" i="19"/>
  <c r="R145" i="19"/>
  <c r="S145" i="19"/>
  <c r="T145" i="19"/>
  <c r="U145" i="19"/>
  <c r="V145" i="19"/>
  <c r="W145" i="19"/>
  <c r="X145" i="19"/>
  <c r="Y145" i="19"/>
  <c r="Z145" i="19"/>
  <c r="O144" i="19"/>
  <c r="Q144" i="19"/>
  <c r="R144" i="19"/>
  <c r="S144" i="19"/>
  <c r="T144" i="19"/>
  <c r="U144" i="19"/>
  <c r="V144" i="19"/>
  <c r="W144" i="19"/>
  <c r="X144" i="19"/>
  <c r="P143" i="19"/>
  <c r="J142" i="19"/>
  <c r="K139" i="19"/>
  <c r="Q139" i="19"/>
  <c r="R139" i="19"/>
  <c r="S139" i="19"/>
  <c r="T139" i="19"/>
  <c r="U139" i="19"/>
  <c r="V139" i="19"/>
  <c r="W139" i="19"/>
  <c r="X139" i="19"/>
  <c r="Y139" i="19"/>
  <c r="Z139" i="19"/>
  <c r="J139" i="19"/>
  <c r="O137" i="19"/>
  <c r="P137" i="19"/>
  <c r="J137" i="19"/>
  <c r="K137" i="19"/>
  <c r="L137" i="19"/>
  <c r="M137" i="19"/>
  <c r="N137" i="19"/>
  <c r="L136" i="19"/>
  <c r="M135" i="19"/>
  <c r="Q158" i="19"/>
  <c r="R135" i="19"/>
  <c r="R158" i="19" s="1"/>
  <c r="S135" i="19"/>
  <c r="S158" i="19" s="1"/>
  <c r="T135" i="19"/>
  <c r="T158" i="19" s="1"/>
  <c r="U135" i="19"/>
  <c r="U158" i="19" s="1"/>
  <c r="V135" i="19"/>
  <c r="V158" i="19" s="1"/>
  <c r="W135" i="19"/>
  <c r="W158" i="19" s="1"/>
  <c r="X135" i="19"/>
  <c r="X158" i="19" s="1"/>
  <c r="Y135" i="19"/>
  <c r="Y158" i="19" s="1"/>
  <c r="Z135" i="19"/>
  <c r="Z158" i="19" s="1"/>
  <c r="Q133" i="19"/>
  <c r="R133" i="19"/>
  <c r="S133" i="19"/>
  <c r="T133" i="19"/>
  <c r="U133" i="19"/>
  <c r="V133" i="19"/>
  <c r="W133" i="19"/>
  <c r="X133" i="19"/>
  <c r="Y133" i="19"/>
  <c r="Z133" i="19"/>
  <c r="P132" i="19"/>
  <c r="Q132" i="19"/>
  <c r="R132" i="19"/>
  <c r="S132" i="19"/>
  <c r="T132" i="19"/>
  <c r="U132" i="19"/>
  <c r="V132" i="19"/>
  <c r="W132" i="19"/>
  <c r="X132" i="19"/>
  <c r="Y132" i="19"/>
  <c r="Z132" i="19"/>
  <c r="O131" i="19"/>
  <c r="K128" i="19"/>
  <c r="L128" i="19"/>
  <c r="M128" i="19"/>
  <c r="N128" i="19"/>
  <c r="O128" i="19"/>
  <c r="P128" i="19"/>
  <c r="J128" i="19"/>
  <c r="K126" i="19"/>
  <c r="L126" i="19"/>
  <c r="M126" i="19"/>
  <c r="N126" i="19"/>
  <c r="O126" i="19"/>
  <c r="P126" i="19"/>
  <c r="Q126" i="19"/>
  <c r="R126" i="19"/>
  <c r="S126" i="19"/>
  <c r="T126" i="19"/>
  <c r="U126" i="19"/>
  <c r="V126" i="19"/>
  <c r="W126" i="19"/>
  <c r="X126" i="19"/>
  <c r="Y126" i="19"/>
  <c r="Z126" i="19"/>
  <c r="J126" i="19"/>
  <c r="K113" i="19"/>
  <c r="L113" i="19"/>
  <c r="M113" i="19"/>
  <c r="N113" i="19"/>
  <c r="O113" i="19"/>
  <c r="P113" i="19"/>
  <c r="J113" i="19"/>
  <c r="K112" i="19"/>
  <c r="L112" i="19"/>
  <c r="M112" i="19"/>
  <c r="N112" i="19"/>
  <c r="O112" i="19"/>
  <c r="P112" i="19"/>
  <c r="J112" i="19"/>
  <c r="K111" i="19"/>
  <c r="L111" i="19"/>
  <c r="M111" i="19"/>
  <c r="N111" i="19"/>
  <c r="O111" i="19"/>
  <c r="P111" i="19"/>
  <c r="J111" i="19"/>
  <c r="K110" i="19"/>
  <c r="L110" i="19"/>
  <c r="M110" i="19"/>
  <c r="N110" i="19"/>
  <c r="O110" i="19"/>
  <c r="P110" i="19"/>
  <c r="J110" i="19"/>
  <c r="K109" i="19"/>
  <c r="L109" i="19"/>
  <c r="M109" i="19"/>
  <c r="N109" i="19"/>
  <c r="O109" i="19"/>
  <c r="P109" i="19"/>
  <c r="J109" i="19"/>
  <c r="K108" i="19"/>
  <c r="L108" i="19"/>
  <c r="M108" i="19"/>
  <c r="N108" i="19"/>
  <c r="O108" i="19"/>
  <c r="P108" i="19"/>
  <c r="Q108" i="19"/>
  <c r="R108" i="19"/>
  <c r="S108" i="19"/>
  <c r="T108" i="19"/>
  <c r="U108" i="19"/>
  <c r="V108" i="19"/>
  <c r="W108" i="19"/>
  <c r="X108" i="19"/>
  <c r="Y108" i="19"/>
  <c r="Z108" i="19"/>
  <c r="J108" i="19"/>
  <c r="K107" i="19"/>
  <c r="L107" i="19"/>
  <c r="M107" i="19"/>
  <c r="N107" i="19"/>
  <c r="O107" i="19"/>
  <c r="P107" i="19"/>
  <c r="Q107" i="19"/>
  <c r="R107" i="19"/>
  <c r="S107" i="19"/>
  <c r="T107" i="19"/>
  <c r="U107" i="19"/>
  <c r="V107" i="19"/>
  <c r="W107" i="19"/>
  <c r="X107" i="19"/>
  <c r="Y107" i="19"/>
  <c r="Z107" i="19"/>
  <c r="J107" i="19"/>
  <c r="K106" i="19"/>
  <c r="L106" i="19"/>
  <c r="M106" i="19"/>
  <c r="N106" i="19"/>
  <c r="O106" i="19"/>
  <c r="P106" i="19"/>
  <c r="Q106" i="19"/>
  <c r="R106" i="19"/>
  <c r="S106" i="19"/>
  <c r="T106" i="19"/>
  <c r="U106" i="19"/>
  <c r="V106" i="19"/>
  <c r="W106" i="19"/>
  <c r="X106" i="19"/>
  <c r="Y106" i="19"/>
  <c r="Z106" i="19"/>
  <c r="J106" i="19"/>
  <c r="K103" i="19"/>
  <c r="L103" i="19"/>
  <c r="M103" i="19"/>
  <c r="N103" i="19"/>
  <c r="O103" i="19"/>
  <c r="P103" i="19"/>
  <c r="J103" i="19"/>
  <c r="K100" i="19"/>
  <c r="L100" i="19"/>
  <c r="M100" i="19"/>
  <c r="N100" i="19"/>
  <c r="O100" i="19"/>
  <c r="P100" i="19"/>
  <c r="J100" i="19"/>
  <c r="K99" i="19"/>
  <c r="L99" i="19"/>
  <c r="M99" i="19"/>
  <c r="N99" i="19"/>
  <c r="O99" i="19"/>
  <c r="P99" i="19"/>
  <c r="J99" i="19"/>
  <c r="K98" i="19"/>
  <c r="L98" i="19"/>
  <c r="M98" i="19"/>
  <c r="N98" i="19"/>
  <c r="O98" i="19"/>
  <c r="P98" i="19"/>
  <c r="Q98" i="19"/>
  <c r="R98" i="19"/>
  <c r="S98" i="19"/>
  <c r="T98" i="19"/>
  <c r="U98" i="19"/>
  <c r="V98" i="19"/>
  <c r="W98" i="19"/>
  <c r="X98" i="19"/>
  <c r="Y98" i="19"/>
  <c r="Z98" i="19"/>
  <c r="J98" i="19"/>
  <c r="K97" i="19"/>
  <c r="L97" i="19"/>
  <c r="M97" i="19"/>
  <c r="N97" i="19"/>
  <c r="O97" i="19"/>
  <c r="P97" i="19"/>
  <c r="Q97" i="19"/>
  <c r="R97" i="19"/>
  <c r="S97" i="19"/>
  <c r="T97" i="19"/>
  <c r="U97" i="19"/>
  <c r="V97" i="19"/>
  <c r="W97" i="19"/>
  <c r="X97" i="19"/>
  <c r="Y97" i="19"/>
  <c r="Z97" i="19"/>
  <c r="J97" i="19"/>
  <c r="K96" i="19"/>
  <c r="L96" i="19"/>
  <c r="M96" i="19"/>
  <c r="N96" i="19"/>
  <c r="O96" i="19"/>
  <c r="P96" i="19"/>
  <c r="Q96" i="19"/>
  <c r="R96" i="19"/>
  <c r="S96" i="19"/>
  <c r="T96" i="19"/>
  <c r="U96" i="19"/>
  <c r="V96" i="19"/>
  <c r="W96" i="19"/>
  <c r="X96" i="19"/>
  <c r="Y96" i="19"/>
  <c r="Z96" i="19"/>
  <c r="J96" i="19"/>
  <c r="K92" i="19"/>
  <c r="L92" i="19"/>
  <c r="M92" i="19"/>
  <c r="N92" i="19"/>
  <c r="O92" i="19"/>
  <c r="P92" i="19"/>
  <c r="Q92" i="19"/>
  <c r="R92" i="19"/>
  <c r="S92" i="19"/>
  <c r="T92" i="19"/>
  <c r="U92" i="19"/>
  <c r="V92" i="19"/>
  <c r="W92" i="19"/>
  <c r="X92" i="19"/>
  <c r="Y92" i="19"/>
  <c r="Z92" i="19"/>
  <c r="Q91" i="19"/>
  <c r="R91" i="19"/>
  <c r="S91" i="19"/>
  <c r="T91" i="19"/>
  <c r="U91" i="19"/>
  <c r="V91" i="19"/>
  <c r="W91" i="19"/>
  <c r="X91" i="19"/>
  <c r="Y91" i="19"/>
  <c r="Z91" i="19"/>
  <c r="J92" i="19"/>
  <c r="K91" i="19"/>
  <c r="L91" i="19"/>
  <c r="M91" i="19"/>
  <c r="N91" i="19"/>
  <c r="O91" i="19"/>
  <c r="P91" i="19"/>
  <c r="J91" i="19"/>
  <c r="Q287" i="6"/>
  <c r="R287" i="6" s="1"/>
  <c r="K88" i="19"/>
  <c r="L88" i="19"/>
  <c r="M88" i="19"/>
  <c r="N88" i="19"/>
  <c r="O88" i="19"/>
  <c r="P88" i="19"/>
  <c r="J88" i="19"/>
  <c r="K87" i="19"/>
  <c r="L87" i="19"/>
  <c r="M87" i="19"/>
  <c r="N87" i="19"/>
  <c r="O87" i="19"/>
  <c r="P87" i="19"/>
  <c r="Q87" i="19"/>
  <c r="R87" i="19"/>
  <c r="S87" i="19"/>
  <c r="T87" i="19"/>
  <c r="U87" i="19"/>
  <c r="V87" i="19"/>
  <c r="W87" i="19"/>
  <c r="X87" i="19"/>
  <c r="J87" i="19"/>
  <c r="K86" i="19"/>
  <c r="L86" i="19"/>
  <c r="M86" i="19"/>
  <c r="N86" i="19"/>
  <c r="O86" i="19"/>
  <c r="P86" i="19"/>
  <c r="J86" i="19"/>
  <c r="K85" i="19"/>
  <c r="L85" i="19"/>
  <c r="M85" i="19"/>
  <c r="N85" i="19"/>
  <c r="O85" i="19"/>
  <c r="P85" i="19"/>
  <c r="Q85" i="19"/>
  <c r="R85" i="19"/>
  <c r="S85" i="19"/>
  <c r="T85" i="19"/>
  <c r="U85" i="19"/>
  <c r="V85" i="19"/>
  <c r="W85" i="19"/>
  <c r="X85" i="19"/>
  <c r="Y85" i="19"/>
  <c r="Z85" i="19"/>
  <c r="J85" i="19"/>
  <c r="K82" i="19"/>
  <c r="L82" i="19"/>
  <c r="M82" i="19"/>
  <c r="N82" i="19"/>
  <c r="O82" i="19"/>
  <c r="P82" i="19"/>
  <c r="J82" i="19"/>
  <c r="K84" i="19"/>
  <c r="L84" i="19"/>
  <c r="M84" i="19"/>
  <c r="N84" i="19"/>
  <c r="O84" i="19"/>
  <c r="P84" i="19"/>
  <c r="J84" i="19"/>
  <c r="K83" i="19"/>
  <c r="L83" i="19"/>
  <c r="M83" i="19"/>
  <c r="N83" i="19"/>
  <c r="O83" i="19"/>
  <c r="P83" i="19"/>
  <c r="J83" i="19"/>
  <c r="K79" i="19"/>
  <c r="L79" i="19"/>
  <c r="M79" i="19"/>
  <c r="N79" i="19"/>
  <c r="O79" i="19"/>
  <c r="P79" i="19"/>
  <c r="J79" i="19"/>
  <c r="K78" i="19"/>
  <c r="L78" i="19"/>
  <c r="M78" i="19"/>
  <c r="N78" i="19"/>
  <c r="O78" i="19"/>
  <c r="P78" i="19"/>
  <c r="J78" i="19"/>
  <c r="K77" i="19"/>
  <c r="L77" i="19"/>
  <c r="M77" i="19"/>
  <c r="N77" i="19"/>
  <c r="O77" i="19"/>
  <c r="P77" i="19"/>
  <c r="J77" i="19"/>
  <c r="K76" i="19"/>
  <c r="L76" i="19"/>
  <c r="M76" i="19"/>
  <c r="N76" i="19"/>
  <c r="O76" i="19"/>
  <c r="P76" i="19"/>
  <c r="Q76" i="19"/>
  <c r="R76" i="19"/>
  <c r="S76" i="19"/>
  <c r="T76" i="19"/>
  <c r="U76" i="19"/>
  <c r="V76" i="19"/>
  <c r="W76" i="19"/>
  <c r="X76" i="19"/>
  <c r="Y76" i="19"/>
  <c r="Z76" i="19"/>
  <c r="J76" i="19"/>
  <c r="K75" i="19"/>
  <c r="L75" i="19"/>
  <c r="M75" i="19"/>
  <c r="N75" i="19"/>
  <c r="O75" i="19"/>
  <c r="P75" i="19"/>
  <c r="Q75" i="19"/>
  <c r="R75" i="19"/>
  <c r="S75" i="19"/>
  <c r="T75" i="19"/>
  <c r="U75" i="19"/>
  <c r="V75" i="19"/>
  <c r="W75" i="19"/>
  <c r="X75" i="19"/>
  <c r="Y75" i="19"/>
  <c r="Z75" i="19"/>
  <c r="J75" i="19"/>
  <c r="K74" i="19"/>
  <c r="L74" i="19"/>
  <c r="M74" i="19"/>
  <c r="N74" i="19"/>
  <c r="O74" i="19"/>
  <c r="P74" i="19"/>
  <c r="J74" i="19"/>
  <c r="K73" i="19"/>
  <c r="L73" i="19"/>
  <c r="M73" i="19"/>
  <c r="N73" i="19"/>
  <c r="O73" i="19"/>
  <c r="P73" i="19"/>
  <c r="J73" i="19"/>
  <c r="K72" i="19"/>
  <c r="L72" i="19"/>
  <c r="M72" i="19"/>
  <c r="N72" i="19"/>
  <c r="O72" i="19"/>
  <c r="P72" i="19"/>
  <c r="J72" i="19"/>
  <c r="K71" i="19"/>
  <c r="L71" i="19"/>
  <c r="M71" i="19"/>
  <c r="N71" i="19"/>
  <c r="O71" i="19"/>
  <c r="P71" i="19"/>
  <c r="J71" i="19"/>
  <c r="K70" i="19"/>
  <c r="L70" i="19"/>
  <c r="M70" i="19"/>
  <c r="N70" i="19"/>
  <c r="O70" i="19"/>
  <c r="P70" i="19"/>
  <c r="J70" i="19"/>
  <c r="K69" i="19"/>
  <c r="L69" i="19"/>
  <c r="M69" i="19"/>
  <c r="N69" i="19"/>
  <c r="O69" i="19"/>
  <c r="P69" i="19"/>
  <c r="Q69" i="19"/>
  <c r="R69" i="19"/>
  <c r="S69" i="19"/>
  <c r="T69" i="19"/>
  <c r="U69" i="19"/>
  <c r="V69" i="19"/>
  <c r="W69" i="19"/>
  <c r="X69" i="19"/>
  <c r="Y69" i="19"/>
  <c r="Z69" i="19"/>
  <c r="J69" i="19"/>
  <c r="K66" i="19"/>
  <c r="L66" i="19"/>
  <c r="M66" i="19"/>
  <c r="N66" i="19"/>
  <c r="O66" i="19"/>
  <c r="P66" i="19"/>
  <c r="J66" i="19"/>
  <c r="K65" i="19"/>
  <c r="L65" i="19"/>
  <c r="M65" i="19"/>
  <c r="N65" i="19"/>
  <c r="O65" i="19"/>
  <c r="P65" i="19"/>
  <c r="Q65" i="19"/>
  <c r="R65" i="19"/>
  <c r="S65" i="19"/>
  <c r="T65" i="19"/>
  <c r="U65" i="19"/>
  <c r="V65" i="19"/>
  <c r="W65" i="19"/>
  <c r="X65" i="19"/>
  <c r="Y65" i="19"/>
  <c r="Z65" i="19"/>
  <c r="J65" i="19"/>
  <c r="K64" i="19"/>
  <c r="L64" i="19"/>
  <c r="M64" i="19"/>
  <c r="N64" i="19"/>
  <c r="O64" i="19"/>
  <c r="P64" i="19"/>
  <c r="J64" i="19"/>
  <c r="K63" i="19"/>
  <c r="L63" i="19"/>
  <c r="M63" i="19"/>
  <c r="N63" i="19"/>
  <c r="O63" i="19"/>
  <c r="P63" i="19"/>
  <c r="J63" i="19"/>
  <c r="K62" i="19"/>
  <c r="L62" i="19"/>
  <c r="M62" i="19"/>
  <c r="N62" i="19"/>
  <c r="O62" i="19"/>
  <c r="P62" i="19"/>
  <c r="J62" i="19"/>
  <c r="K59" i="19"/>
  <c r="L59" i="19"/>
  <c r="M59" i="19"/>
  <c r="N59" i="19"/>
  <c r="O59" i="19"/>
  <c r="P59" i="19"/>
  <c r="J59" i="19"/>
  <c r="K61" i="19"/>
  <c r="L61" i="19"/>
  <c r="M61" i="19"/>
  <c r="N61" i="19"/>
  <c r="O61" i="19"/>
  <c r="P61" i="19"/>
  <c r="Q61" i="19"/>
  <c r="R61" i="19"/>
  <c r="S61" i="19"/>
  <c r="T61" i="19"/>
  <c r="U61" i="19"/>
  <c r="V61" i="19"/>
  <c r="W61" i="19"/>
  <c r="X61" i="19"/>
  <c r="Y61" i="19"/>
  <c r="J61" i="19"/>
  <c r="K60" i="19"/>
  <c r="L60" i="19"/>
  <c r="M60" i="19"/>
  <c r="N60" i="19"/>
  <c r="O60" i="19"/>
  <c r="P60" i="19"/>
  <c r="J60" i="19"/>
  <c r="K57" i="19"/>
  <c r="L57" i="19"/>
  <c r="M57" i="19"/>
  <c r="N57" i="19"/>
  <c r="O57" i="19"/>
  <c r="P57" i="19"/>
  <c r="Q57" i="19"/>
  <c r="R57" i="19"/>
  <c r="S57" i="19"/>
  <c r="T57" i="19"/>
  <c r="U57" i="19"/>
  <c r="V57" i="19"/>
  <c r="W57" i="19"/>
  <c r="X57" i="19"/>
  <c r="Y57" i="19"/>
  <c r="Z57" i="19"/>
  <c r="J57" i="19"/>
  <c r="K44" i="19"/>
  <c r="L44" i="19"/>
  <c r="M44" i="19"/>
  <c r="N44" i="19"/>
  <c r="O44" i="19"/>
  <c r="P44" i="19"/>
  <c r="J44" i="19"/>
  <c r="K43" i="19"/>
  <c r="L43" i="19"/>
  <c r="M43" i="19"/>
  <c r="N43" i="19"/>
  <c r="O43" i="19"/>
  <c r="P43" i="19"/>
  <c r="J43" i="19"/>
  <c r="K42" i="19"/>
  <c r="L42" i="19"/>
  <c r="M42" i="19"/>
  <c r="N42" i="19"/>
  <c r="O42" i="19"/>
  <c r="P42" i="19"/>
  <c r="Q42" i="19"/>
  <c r="R42" i="19"/>
  <c r="S42" i="19"/>
  <c r="T42" i="19"/>
  <c r="U42" i="19"/>
  <c r="V42" i="19"/>
  <c r="W42" i="19"/>
  <c r="X42" i="19"/>
  <c r="J42" i="19"/>
  <c r="K40" i="19"/>
  <c r="L40" i="19"/>
  <c r="M40" i="19"/>
  <c r="N40" i="19"/>
  <c r="O40" i="19"/>
  <c r="P40" i="19"/>
  <c r="J40" i="19"/>
  <c r="K39" i="19"/>
  <c r="L39" i="19"/>
  <c r="M39" i="19"/>
  <c r="N39" i="19"/>
  <c r="O39" i="19"/>
  <c r="P39" i="19"/>
  <c r="Q39" i="19"/>
  <c r="R39" i="19"/>
  <c r="S39" i="19"/>
  <c r="T39" i="19"/>
  <c r="U39" i="19"/>
  <c r="V39" i="19"/>
  <c r="W39" i="19"/>
  <c r="X39" i="19"/>
  <c r="Y39" i="19"/>
  <c r="Z39" i="19"/>
  <c r="J39" i="19"/>
  <c r="K38" i="19"/>
  <c r="L38" i="19"/>
  <c r="M38" i="19"/>
  <c r="N38" i="19"/>
  <c r="O38" i="19"/>
  <c r="P38" i="19"/>
  <c r="Q38" i="19"/>
  <c r="R38" i="19"/>
  <c r="S38" i="19"/>
  <c r="T38" i="19"/>
  <c r="U38" i="19"/>
  <c r="V38" i="19"/>
  <c r="W38" i="19"/>
  <c r="X38" i="19"/>
  <c r="Y38" i="19"/>
  <c r="Z38" i="19"/>
  <c r="J38" i="19"/>
  <c r="K37" i="19"/>
  <c r="L37" i="19"/>
  <c r="M37" i="19"/>
  <c r="N37" i="19"/>
  <c r="O37" i="19"/>
  <c r="P37" i="19"/>
  <c r="J37" i="19"/>
  <c r="K35" i="19"/>
  <c r="L35" i="19"/>
  <c r="M35" i="19"/>
  <c r="N35" i="19"/>
  <c r="O35" i="19"/>
  <c r="P35" i="19"/>
  <c r="J35" i="19"/>
  <c r="K34" i="19"/>
  <c r="L34" i="19"/>
  <c r="M34" i="19"/>
  <c r="N34" i="19"/>
  <c r="O34" i="19"/>
  <c r="P34" i="19"/>
  <c r="J34" i="19"/>
  <c r="K33" i="19"/>
  <c r="L33" i="19"/>
  <c r="M33" i="19"/>
  <c r="N33" i="19"/>
  <c r="O33" i="19"/>
  <c r="P33" i="19"/>
  <c r="J33" i="19"/>
  <c r="K32" i="19"/>
  <c r="L32" i="19"/>
  <c r="M32" i="19"/>
  <c r="N32" i="19"/>
  <c r="O32" i="19"/>
  <c r="P32" i="19"/>
  <c r="J32" i="19"/>
  <c r="K31" i="19"/>
  <c r="L31" i="19"/>
  <c r="M31" i="19"/>
  <c r="N31" i="19"/>
  <c r="O31" i="19"/>
  <c r="P31" i="19"/>
  <c r="J31" i="19"/>
  <c r="K29" i="19"/>
  <c r="L29" i="19"/>
  <c r="M29" i="19"/>
  <c r="N29" i="19"/>
  <c r="O29" i="19"/>
  <c r="P29" i="19"/>
  <c r="J29" i="19"/>
  <c r="K28" i="19"/>
  <c r="L28" i="19"/>
  <c r="M28" i="19"/>
  <c r="N28" i="19"/>
  <c r="O28" i="19"/>
  <c r="P28" i="19"/>
  <c r="J28" i="19"/>
  <c r="K27" i="19"/>
  <c r="L27" i="19"/>
  <c r="M27" i="19"/>
  <c r="N27" i="19"/>
  <c r="O27" i="19"/>
  <c r="P27" i="19"/>
  <c r="Q27" i="19"/>
  <c r="R27" i="19"/>
  <c r="S27" i="19"/>
  <c r="T27" i="19"/>
  <c r="U27" i="19"/>
  <c r="V27" i="19"/>
  <c r="W27" i="19"/>
  <c r="X27" i="19"/>
  <c r="Y27" i="19"/>
  <c r="Z27" i="19"/>
  <c r="J27" i="19"/>
  <c r="K26" i="19"/>
  <c r="L26" i="19"/>
  <c r="M26" i="19"/>
  <c r="N26" i="19"/>
  <c r="O26" i="19"/>
  <c r="P26" i="19"/>
  <c r="Q26" i="19"/>
  <c r="R26" i="19"/>
  <c r="S26" i="19"/>
  <c r="T26" i="19"/>
  <c r="U26" i="19"/>
  <c r="V26" i="19"/>
  <c r="W26" i="19"/>
  <c r="X26" i="19"/>
  <c r="Y26" i="19"/>
  <c r="Z26" i="19"/>
  <c r="J26" i="19"/>
  <c r="K24" i="19"/>
  <c r="L24" i="19"/>
  <c r="M24" i="19"/>
  <c r="N24" i="19"/>
  <c r="O24" i="19"/>
  <c r="P24" i="19"/>
  <c r="Q24" i="19"/>
  <c r="R24" i="19"/>
  <c r="S24" i="19"/>
  <c r="T24" i="19"/>
  <c r="U24" i="19"/>
  <c r="V24" i="19"/>
  <c r="W24" i="19"/>
  <c r="X24" i="19"/>
  <c r="Y24" i="19"/>
  <c r="Z24" i="19"/>
  <c r="J24" i="19"/>
  <c r="K23" i="19"/>
  <c r="L23" i="19"/>
  <c r="M23" i="19"/>
  <c r="N23" i="19"/>
  <c r="O23" i="19"/>
  <c r="P23" i="19"/>
  <c r="J23" i="19"/>
  <c r="K22" i="19"/>
  <c r="L22" i="19"/>
  <c r="M22" i="19"/>
  <c r="N22" i="19"/>
  <c r="O22" i="19"/>
  <c r="P22" i="19"/>
  <c r="J22" i="19"/>
  <c r="K21" i="19"/>
  <c r="L21" i="19"/>
  <c r="M21" i="19"/>
  <c r="N21" i="19"/>
  <c r="O21" i="19"/>
  <c r="P21" i="19"/>
  <c r="J21" i="19"/>
  <c r="K19" i="19"/>
  <c r="L19" i="19"/>
  <c r="M19" i="19"/>
  <c r="N19" i="19"/>
  <c r="O19" i="19"/>
  <c r="P19" i="19"/>
  <c r="J19" i="19"/>
  <c r="K18" i="19"/>
  <c r="L18" i="19"/>
  <c r="M18" i="19"/>
  <c r="N18" i="19"/>
  <c r="O18" i="19"/>
  <c r="P18" i="19"/>
  <c r="J18" i="19"/>
  <c r="K15" i="19"/>
  <c r="L15" i="19"/>
  <c r="M15" i="19"/>
  <c r="N15" i="19"/>
  <c r="O15" i="19"/>
  <c r="P15" i="19"/>
  <c r="J15" i="19"/>
  <c r="K13" i="19"/>
  <c r="L13" i="19"/>
  <c r="M13" i="19"/>
  <c r="N13" i="19"/>
  <c r="O13" i="19"/>
  <c r="P13" i="19"/>
  <c r="J13" i="19"/>
  <c r="K12" i="19"/>
  <c r="L12" i="19"/>
  <c r="M12" i="19"/>
  <c r="N12" i="19"/>
  <c r="O12" i="19"/>
  <c r="P12" i="19"/>
  <c r="J12" i="19"/>
  <c r="K10" i="19"/>
  <c r="L10" i="19"/>
  <c r="M10" i="19"/>
  <c r="N10" i="19"/>
  <c r="O10" i="19"/>
  <c r="P10" i="19"/>
  <c r="Q10" i="19"/>
  <c r="R10" i="19"/>
  <c r="S10" i="19"/>
  <c r="T10" i="19"/>
  <c r="U10" i="19"/>
  <c r="V10" i="19"/>
  <c r="W10" i="19"/>
  <c r="X10" i="19"/>
  <c r="Y10" i="19"/>
  <c r="Z10" i="19"/>
  <c r="J10" i="19"/>
  <c r="K8" i="19"/>
  <c r="L8" i="19"/>
  <c r="M8" i="19"/>
  <c r="N8" i="19"/>
  <c r="O8" i="19"/>
  <c r="P8" i="19"/>
  <c r="J8" i="19"/>
  <c r="K7" i="19"/>
  <c r="L7" i="19"/>
  <c r="M7" i="19"/>
  <c r="N7" i="19"/>
  <c r="O7" i="19"/>
  <c r="P7" i="19"/>
  <c r="J7" i="19"/>
  <c r="K6" i="19"/>
  <c r="L6" i="19"/>
  <c r="M6" i="19"/>
  <c r="N6" i="19"/>
  <c r="O6" i="19"/>
  <c r="P6" i="19"/>
  <c r="J6" i="19"/>
  <c r="K5" i="19"/>
  <c r="L5" i="19"/>
  <c r="M5" i="19"/>
  <c r="N5" i="19"/>
  <c r="O5" i="19"/>
  <c r="P5" i="19"/>
  <c r="Q5" i="19"/>
  <c r="R5" i="19"/>
  <c r="S5" i="19"/>
  <c r="T5" i="19"/>
  <c r="U5" i="19"/>
  <c r="V5" i="19"/>
  <c r="W5" i="19"/>
  <c r="X5" i="19"/>
  <c r="Y5" i="19"/>
  <c r="Z5" i="19"/>
  <c r="J5" i="19"/>
  <c r="M185" i="19"/>
  <c r="E3" i="19"/>
  <c r="F3" i="19" s="1"/>
  <c r="M96" i="18"/>
  <c r="N96" i="18"/>
  <c r="O96" i="18"/>
  <c r="P96" i="18"/>
  <c r="L96" i="18"/>
  <c r="M94" i="18"/>
  <c r="N94" i="18"/>
  <c r="O94" i="18"/>
  <c r="P94" i="18"/>
  <c r="L94" i="18"/>
  <c r="M93" i="18"/>
  <c r="N93" i="18"/>
  <c r="O93" i="18"/>
  <c r="P93" i="18"/>
  <c r="L93" i="18"/>
  <c r="M92" i="18"/>
  <c r="N92" i="18"/>
  <c r="O92" i="18"/>
  <c r="P92" i="18"/>
  <c r="L92" i="18"/>
  <c r="M91" i="18"/>
  <c r="N91" i="18"/>
  <c r="O91" i="18"/>
  <c r="P91" i="18"/>
  <c r="L91" i="18"/>
  <c r="M90" i="18"/>
  <c r="N90" i="18"/>
  <c r="O90" i="18"/>
  <c r="P90" i="18"/>
  <c r="L90" i="18"/>
  <c r="M89" i="18"/>
  <c r="N89" i="18"/>
  <c r="O89" i="18"/>
  <c r="P89" i="18"/>
  <c r="L89" i="18"/>
  <c r="M88" i="18"/>
  <c r="N88" i="18"/>
  <c r="O88" i="18"/>
  <c r="P88" i="18"/>
  <c r="L88" i="18"/>
  <c r="M87" i="18"/>
  <c r="N87" i="18"/>
  <c r="O87" i="18"/>
  <c r="P87" i="18"/>
  <c r="L87" i="18"/>
  <c r="M84" i="18"/>
  <c r="N84" i="18"/>
  <c r="O84" i="18"/>
  <c r="P84" i="18"/>
  <c r="L84" i="18"/>
  <c r="M83" i="18"/>
  <c r="N83" i="18"/>
  <c r="O83" i="18"/>
  <c r="P83" i="18"/>
  <c r="L83" i="18"/>
  <c r="M82" i="18"/>
  <c r="N82" i="18"/>
  <c r="O82" i="18"/>
  <c r="P82" i="18"/>
  <c r="L82" i="18"/>
  <c r="M79" i="18"/>
  <c r="L79" i="18"/>
  <c r="P78" i="18"/>
  <c r="P79" i="18" s="1"/>
  <c r="O78" i="18"/>
  <c r="O79" i="18" s="1"/>
  <c r="N78" i="18"/>
  <c r="N79" i="18" s="1"/>
  <c r="M78" i="18"/>
  <c r="L78" i="18"/>
  <c r="K73" i="18"/>
  <c r="L73" i="18"/>
  <c r="M73" i="18"/>
  <c r="N73" i="18"/>
  <c r="O73" i="18"/>
  <c r="P73" i="18"/>
  <c r="J73" i="18"/>
  <c r="K72" i="18"/>
  <c r="L72" i="18"/>
  <c r="M72" i="18"/>
  <c r="N72" i="18"/>
  <c r="O72" i="18"/>
  <c r="P72" i="18"/>
  <c r="J72" i="18"/>
  <c r="K71" i="18"/>
  <c r="L71" i="18"/>
  <c r="M71" i="18"/>
  <c r="N71" i="18"/>
  <c r="O71" i="18"/>
  <c r="P71" i="18"/>
  <c r="J71" i="18"/>
  <c r="K70" i="18"/>
  <c r="L70" i="18"/>
  <c r="M70" i="18"/>
  <c r="N70" i="18"/>
  <c r="O70" i="18"/>
  <c r="P70" i="18"/>
  <c r="J70" i="18"/>
  <c r="K69" i="18"/>
  <c r="L69" i="18"/>
  <c r="M69" i="18"/>
  <c r="N69" i="18"/>
  <c r="O69" i="18"/>
  <c r="P69" i="18"/>
  <c r="J69" i="18"/>
  <c r="K68" i="18"/>
  <c r="L68" i="18"/>
  <c r="M68" i="18"/>
  <c r="N68" i="18"/>
  <c r="O68" i="18"/>
  <c r="P68" i="18"/>
  <c r="J68" i="18"/>
  <c r="K67" i="18"/>
  <c r="L67" i="18"/>
  <c r="M67" i="18"/>
  <c r="N67" i="18"/>
  <c r="O67" i="18"/>
  <c r="P67" i="18"/>
  <c r="J67" i="18"/>
  <c r="K65" i="18"/>
  <c r="L65" i="18"/>
  <c r="M65" i="18"/>
  <c r="N65" i="18"/>
  <c r="O65" i="18"/>
  <c r="P65" i="18"/>
  <c r="J65" i="18"/>
  <c r="K64" i="18"/>
  <c r="L64" i="18"/>
  <c r="M64" i="18"/>
  <c r="N64" i="18"/>
  <c r="O64" i="18"/>
  <c r="P64" i="18"/>
  <c r="J64" i="18"/>
  <c r="K63" i="18"/>
  <c r="L63" i="18"/>
  <c r="M63" i="18"/>
  <c r="N63" i="18"/>
  <c r="O63" i="18"/>
  <c r="P63" i="18"/>
  <c r="J63" i="18"/>
  <c r="K62" i="18"/>
  <c r="L62" i="18"/>
  <c r="M62" i="18"/>
  <c r="N62" i="18"/>
  <c r="O62" i="18"/>
  <c r="P62" i="18"/>
  <c r="J62" i="18"/>
  <c r="K61" i="18"/>
  <c r="L61" i="18"/>
  <c r="M61" i="18"/>
  <c r="N61" i="18"/>
  <c r="O61" i="18"/>
  <c r="P61" i="18"/>
  <c r="J61" i="18"/>
  <c r="K51" i="18"/>
  <c r="L51" i="18"/>
  <c r="M51" i="18"/>
  <c r="N51" i="18"/>
  <c r="O51" i="18"/>
  <c r="P51" i="18"/>
  <c r="J51" i="18"/>
  <c r="K46" i="18"/>
  <c r="L46" i="18"/>
  <c r="M46" i="18"/>
  <c r="N46" i="18"/>
  <c r="O46" i="18"/>
  <c r="P46" i="18"/>
  <c r="J46" i="18"/>
  <c r="K45" i="18"/>
  <c r="L45" i="18"/>
  <c r="M45" i="18"/>
  <c r="N45" i="18"/>
  <c r="O45" i="18"/>
  <c r="P45" i="18"/>
  <c r="J45" i="18"/>
  <c r="K44" i="18"/>
  <c r="L44" i="18"/>
  <c r="M44" i="18"/>
  <c r="N44" i="18"/>
  <c r="O44" i="18"/>
  <c r="P44" i="18"/>
  <c r="J44" i="18"/>
  <c r="K37" i="18"/>
  <c r="L37" i="18"/>
  <c r="M37" i="18"/>
  <c r="N37" i="18"/>
  <c r="O37" i="18"/>
  <c r="P37" i="18"/>
  <c r="J37" i="18"/>
  <c r="K21" i="18"/>
  <c r="L21" i="18"/>
  <c r="M21" i="18"/>
  <c r="N21" i="18"/>
  <c r="O21" i="18"/>
  <c r="P21" i="18"/>
  <c r="J21" i="18"/>
  <c r="K20" i="18"/>
  <c r="L20" i="18"/>
  <c r="M20" i="18"/>
  <c r="N20" i="18"/>
  <c r="O20" i="18"/>
  <c r="P20" i="18"/>
  <c r="J20" i="18"/>
  <c r="K19" i="18"/>
  <c r="L19" i="18"/>
  <c r="M19" i="18"/>
  <c r="N19" i="18"/>
  <c r="O19" i="18"/>
  <c r="P19" i="18"/>
  <c r="J19" i="18"/>
  <c r="K18" i="18"/>
  <c r="L18" i="18"/>
  <c r="M18" i="18"/>
  <c r="N18" i="18"/>
  <c r="O18" i="18"/>
  <c r="P18" i="18"/>
  <c r="J18" i="18"/>
  <c r="K17" i="18"/>
  <c r="L17" i="18"/>
  <c r="M17" i="18"/>
  <c r="N17" i="18"/>
  <c r="O17" i="18"/>
  <c r="P17" i="18"/>
  <c r="J17" i="18"/>
  <c r="P131" i="19" l="1"/>
  <c r="N135" i="19"/>
  <c r="M136" i="19"/>
  <c r="M134" i="19" s="1"/>
  <c r="K138" i="19"/>
  <c r="L139" i="19"/>
  <c r="J143" i="19"/>
  <c r="P144" i="19"/>
  <c r="P146" i="19"/>
  <c r="O147" i="19"/>
  <c r="P148" i="19"/>
  <c r="O157" i="19"/>
  <c r="O159" i="19"/>
  <c r="O160" i="19"/>
  <c r="O161" i="19"/>
  <c r="M165" i="19"/>
  <c r="K172" i="19"/>
  <c r="K184" i="19"/>
  <c r="L185" i="19"/>
  <c r="N131" i="19"/>
  <c r="O132" i="19"/>
  <c r="P133" i="19"/>
  <c r="L135" i="19"/>
  <c r="L134" i="19" s="1"/>
  <c r="K136" i="19"/>
  <c r="J138" i="19"/>
  <c r="P142" i="19"/>
  <c r="O143" i="19"/>
  <c r="N144" i="19"/>
  <c r="O145" i="19"/>
  <c r="N146" i="19"/>
  <c r="M147" i="19"/>
  <c r="N148" i="19"/>
  <c r="O149" i="19"/>
  <c r="P150" i="19"/>
  <c r="M157" i="19"/>
  <c r="M159" i="19"/>
  <c r="M160" i="19"/>
  <c r="M161" i="19"/>
  <c r="K165" i="19"/>
  <c r="P175" i="19"/>
  <c r="M131" i="19"/>
  <c r="N132" i="19"/>
  <c r="O133" i="19"/>
  <c r="J135" i="19"/>
  <c r="K135" i="19"/>
  <c r="P138" i="19"/>
  <c r="O142" i="19"/>
  <c r="N143" i="19"/>
  <c r="M144" i="19"/>
  <c r="N145" i="19"/>
  <c r="M146" i="19"/>
  <c r="L147" i="19"/>
  <c r="M148" i="19"/>
  <c r="N149" i="19"/>
  <c r="O150" i="19"/>
  <c r="L157" i="19"/>
  <c r="L159" i="19"/>
  <c r="L160" i="19"/>
  <c r="L161" i="19"/>
  <c r="P172" i="19"/>
  <c r="O175" i="19"/>
  <c r="P184" i="19"/>
  <c r="L131" i="19"/>
  <c r="M132" i="19"/>
  <c r="N133" i="19"/>
  <c r="J136" i="19"/>
  <c r="O138" i="19"/>
  <c r="P139" i="19"/>
  <c r="N142" i="19"/>
  <c r="M143" i="19"/>
  <c r="L144" i="19"/>
  <c r="M145" i="19"/>
  <c r="L146" i="19"/>
  <c r="K147" i="19"/>
  <c r="L148" i="19"/>
  <c r="M149" i="19"/>
  <c r="N150" i="19"/>
  <c r="K157" i="19"/>
  <c r="K159" i="19"/>
  <c r="K160" i="19"/>
  <c r="K161" i="19"/>
  <c r="J165" i="19"/>
  <c r="O172" i="19"/>
  <c r="N175" i="19"/>
  <c r="O184" i="19"/>
  <c r="P185" i="19"/>
  <c r="K131" i="19"/>
  <c r="L132" i="19"/>
  <c r="M133" i="19"/>
  <c r="P136" i="19"/>
  <c r="N138" i="19"/>
  <c r="O139" i="19"/>
  <c r="M142" i="19"/>
  <c r="L143" i="19"/>
  <c r="K144" i="19"/>
  <c r="L145" i="19"/>
  <c r="K146" i="19"/>
  <c r="J148" i="19"/>
  <c r="K148" i="19"/>
  <c r="L149" i="19"/>
  <c r="M150" i="19"/>
  <c r="J160" i="19"/>
  <c r="P165" i="19"/>
  <c r="N172" i="19"/>
  <c r="M175" i="19"/>
  <c r="N184" i="19"/>
  <c r="O185" i="19"/>
  <c r="J132" i="19"/>
  <c r="K132" i="19"/>
  <c r="L133" i="19"/>
  <c r="P135" i="19"/>
  <c r="P134" i="19" s="1"/>
  <c r="O136" i="19"/>
  <c r="M138" i="19"/>
  <c r="N139" i="19"/>
  <c r="L142" i="19"/>
  <c r="K143" i="19"/>
  <c r="J145" i="19"/>
  <c r="K145" i="19"/>
  <c r="J147" i="19"/>
  <c r="J149" i="19"/>
  <c r="K149" i="19"/>
  <c r="L150" i="19"/>
  <c r="J157" i="19"/>
  <c r="J159" i="19"/>
  <c r="J161" i="19"/>
  <c r="O165" i="19"/>
  <c r="O180" i="19" s="1"/>
  <c r="O181" i="19" s="1"/>
  <c r="J172" i="19"/>
  <c r="M172" i="19"/>
  <c r="L175" i="19"/>
  <c r="M184" i="19"/>
  <c r="N185" i="19"/>
  <c r="J131" i="19"/>
  <c r="J133" i="19"/>
  <c r="K133" i="19"/>
  <c r="O135" i="19"/>
  <c r="N136" i="19"/>
  <c r="L138" i="19"/>
  <c r="M139" i="19"/>
  <c r="K142" i="19"/>
  <c r="J144" i="19"/>
  <c r="J146" i="19"/>
  <c r="P147" i="19"/>
  <c r="J150" i="19"/>
  <c r="K150" i="19"/>
  <c r="P157" i="19"/>
  <c r="P159" i="19"/>
  <c r="P160" i="19"/>
  <c r="P161" i="19"/>
  <c r="N165" i="19"/>
  <c r="L172" i="19"/>
  <c r="L180" i="19" s="1"/>
  <c r="L181" i="19" s="1"/>
  <c r="K175" i="19"/>
  <c r="L184" i="19"/>
  <c r="K3" i="20"/>
  <c r="T172" i="19"/>
  <c r="J134" i="19"/>
  <c r="F2" i="19"/>
  <c r="G3" i="19"/>
  <c r="D22" i="15"/>
  <c r="Q24" i="14"/>
  <c r="Q23" i="14"/>
  <c r="K16" i="18"/>
  <c r="L16" i="18"/>
  <c r="M16" i="18"/>
  <c r="N16" i="18"/>
  <c r="O16" i="18"/>
  <c r="P16" i="18"/>
  <c r="J16" i="18"/>
  <c r="K15" i="18"/>
  <c r="L15" i="18"/>
  <c r="M15" i="18"/>
  <c r="N15" i="18"/>
  <c r="O15" i="18"/>
  <c r="P15" i="18"/>
  <c r="J15" i="18"/>
  <c r="K14" i="18"/>
  <c r="L14" i="18"/>
  <c r="M14" i="18"/>
  <c r="N14" i="18"/>
  <c r="O14" i="18"/>
  <c r="P14" i="18"/>
  <c r="J14" i="18"/>
  <c r="T243" i="9"/>
  <c r="N12" i="17"/>
  <c r="N10" i="17"/>
  <c r="D81" i="15"/>
  <c r="O66" i="15"/>
  <c r="P66" i="15"/>
  <c r="Q66" i="15"/>
  <c r="R66" i="15"/>
  <c r="S66" i="15"/>
  <c r="T66" i="15"/>
  <c r="U66" i="15"/>
  <c r="V66" i="15"/>
  <c r="W66" i="15"/>
  <c r="O72" i="15"/>
  <c r="P72" i="15"/>
  <c r="Q72" i="15"/>
  <c r="R72" i="15"/>
  <c r="S72" i="15"/>
  <c r="T72" i="15"/>
  <c r="U72" i="15"/>
  <c r="V72" i="15"/>
  <c r="W72" i="15"/>
  <c r="N72" i="15"/>
  <c r="H65" i="15"/>
  <c r="I65" i="15"/>
  <c r="J65" i="15"/>
  <c r="K65" i="15"/>
  <c r="L65" i="15"/>
  <c r="M65" i="15"/>
  <c r="G65" i="15"/>
  <c r="H64" i="15"/>
  <c r="I64" i="15"/>
  <c r="J64" i="15"/>
  <c r="K64" i="15"/>
  <c r="L64" i="15"/>
  <c r="M64" i="15"/>
  <c r="G64" i="15"/>
  <c r="H63" i="15"/>
  <c r="I63" i="15"/>
  <c r="J63" i="15"/>
  <c r="K63" i="15"/>
  <c r="L63" i="15"/>
  <c r="M63" i="15"/>
  <c r="G63" i="15"/>
  <c r="H62" i="15"/>
  <c r="I62" i="15"/>
  <c r="J62" i="15"/>
  <c r="K62" i="15"/>
  <c r="L62" i="15"/>
  <c r="M62" i="15"/>
  <c r="G62" i="15"/>
  <c r="H61" i="15"/>
  <c r="I61" i="15"/>
  <c r="J61" i="15"/>
  <c r="K61" i="15"/>
  <c r="L61" i="15"/>
  <c r="M61" i="15"/>
  <c r="N61" i="15"/>
  <c r="O61" i="15"/>
  <c r="P61" i="15"/>
  <c r="Q61" i="15"/>
  <c r="R61" i="15"/>
  <c r="S61" i="15"/>
  <c r="T61" i="15"/>
  <c r="U61" i="15"/>
  <c r="V61" i="15"/>
  <c r="W61" i="15"/>
  <c r="G61" i="15"/>
  <c r="H60" i="15"/>
  <c r="I60" i="15"/>
  <c r="J60" i="15"/>
  <c r="K60" i="15"/>
  <c r="L60" i="15"/>
  <c r="M60" i="15"/>
  <c r="G60" i="15"/>
  <c r="H59" i="15"/>
  <c r="I59" i="15"/>
  <c r="J59" i="15"/>
  <c r="K59" i="15"/>
  <c r="L59" i="15"/>
  <c r="M59" i="15"/>
  <c r="G59" i="15"/>
  <c r="H58" i="15"/>
  <c r="I58" i="15"/>
  <c r="J58" i="15"/>
  <c r="K58" i="15"/>
  <c r="L58" i="15"/>
  <c r="M58" i="15"/>
  <c r="G58" i="15"/>
  <c r="H57" i="15"/>
  <c r="I57" i="15"/>
  <c r="J57" i="15"/>
  <c r="K57" i="15"/>
  <c r="L57" i="15"/>
  <c r="M57" i="15"/>
  <c r="G57" i="15"/>
  <c r="D34" i="15"/>
  <c r="D33" i="15"/>
  <c r="D32" i="15"/>
  <c r="D31" i="17"/>
  <c r="D36" i="15" s="1"/>
  <c r="D30" i="17"/>
  <c r="D20" i="17"/>
  <c r="D23" i="15"/>
  <c r="H19" i="15"/>
  <c r="I19" i="15"/>
  <c r="J19" i="15"/>
  <c r="K19" i="15"/>
  <c r="L19" i="15"/>
  <c r="M19" i="15"/>
  <c r="O19" i="15"/>
  <c r="P19" i="15"/>
  <c r="Q19" i="15"/>
  <c r="R19" i="15"/>
  <c r="S19" i="15"/>
  <c r="T19" i="15"/>
  <c r="U19" i="15"/>
  <c r="V19" i="15"/>
  <c r="W19" i="15"/>
  <c r="G19" i="15"/>
  <c r="M45" i="15"/>
  <c r="K60" i="18"/>
  <c r="L60" i="18"/>
  <c r="M60" i="18"/>
  <c r="N60" i="18"/>
  <c r="O60" i="18"/>
  <c r="P60" i="18"/>
  <c r="J60" i="18"/>
  <c r="K59" i="18"/>
  <c r="L59" i="18"/>
  <c r="M59" i="18"/>
  <c r="N59" i="18"/>
  <c r="O59" i="18"/>
  <c r="P59" i="18"/>
  <c r="J59" i="18"/>
  <c r="K58" i="18"/>
  <c r="L58" i="18"/>
  <c r="M58" i="18"/>
  <c r="N58" i="18"/>
  <c r="O58" i="18"/>
  <c r="P58" i="18"/>
  <c r="J58" i="18"/>
  <c r="K57" i="18"/>
  <c r="L57" i="18"/>
  <c r="M57" i="18"/>
  <c r="N57" i="18"/>
  <c r="O57" i="18"/>
  <c r="P57" i="18"/>
  <c r="J57" i="18"/>
  <c r="K54" i="18"/>
  <c r="L54" i="18"/>
  <c r="M54" i="18"/>
  <c r="N54" i="18"/>
  <c r="O54" i="18"/>
  <c r="P54" i="18"/>
  <c r="J54" i="18"/>
  <c r="K53" i="18"/>
  <c r="L53" i="18"/>
  <c r="M53" i="18"/>
  <c r="N53" i="18"/>
  <c r="O53" i="18"/>
  <c r="P53" i="18"/>
  <c r="J53" i="18"/>
  <c r="K52" i="18"/>
  <c r="L52" i="18"/>
  <c r="M52" i="18"/>
  <c r="N52" i="18"/>
  <c r="O52" i="18"/>
  <c r="P52" i="18"/>
  <c r="J52" i="18"/>
  <c r="K50" i="18"/>
  <c r="L50" i="18"/>
  <c r="M50" i="18"/>
  <c r="N50" i="18"/>
  <c r="O50" i="18"/>
  <c r="P50" i="18"/>
  <c r="J50" i="18"/>
  <c r="K49" i="18"/>
  <c r="L49" i="18"/>
  <c r="M49" i="18"/>
  <c r="N49" i="18"/>
  <c r="O49" i="18"/>
  <c r="P49" i="18"/>
  <c r="J49" i="18"/>
  <c r="K43" i="18"/>
  <c r="L43" i="18"/>
  <c r="M43" i="18"/>
  <c r="N43" i="18"/>
  <c r="O43" i="18"/>
  <c r="P43" i="18"/>
  <c r="J43" i="18"/>
  <c r="K42" i="18"/>
  <c r="L42" i="18"/>
  <c r="M42" i="18"/>
  <c r="N42" i="18"/>
  <c r="O42" i="18"/>
  <c r="P42" i="18"/>
  <c r="J42" i="18"/>
  <c r="K41" i="18"/>
  <c r="L41" i="18"/>
  <c r="M41" i="18"/>
  <c r="N41" i="18"/>
  <c r="O41" i="18"/>
  <c r="P41" i="18"/>
  <c r="J41" i="18"/>
  <c r="K40" i="18"/>
  <c r="L40" i="18"/>
  <c r="M40" i="18"/>
  <c r="N40" i="18"/>
  <c r="O40" i="18"/>
  <c r="P40" i="18"/>
  <c r="J40" i="18"/>
  <c r="K36" i="18"/>
  <c r="L36" i="18"/>
  <c r="M36" i="18"/>
  <c r="N36" i="18"/>
  <c r="O36" i="18"/>
  <c r="P36" i="18"/>
  <c r="J36" i="18"/>
  <c r="L35" i="18"/>
  <c r="M35" i="18"/>
  <c r="N35" i="18"/>
  <c r="O35" i="18"/>
  <c r="P35" i="18"/>
  <c r="K35" i="18"/>
  <c r="L34" i="18"/>
  <c r="M34" i="18"/>
  <c r="N34" i="18"/>
  <c r="O34" i="18"/>
  <c r="P34" i="18"/>
  <c r="K34" i="18"/>
  <c r="K33" i="18"/>
  <c r="L33" i="18"/>
  <c r="M33" i="18"/>
  <c r="N33" i="18"/>
  <c r="O33" i="18"/>
  <c r="P33" i="18"/>
  <c r="J33" i="18"/>
  <c r="K32" i="18"/>
  <c r="L32" i="18"/>
  <c r="M32" i="18"/>
  <c r="N32" i="18"/>
  <c r="O32" i="18"/>
  <c r="P32" i="18"/>
  <c r="J32" i="18"/>
  <c r="K31" i="18"/>
  <c r="L31" i="18"/>
  <c r="M31" i="18"/>
  <c r="N31" i="18"/>
  <c r="O31" i="18"/>
  <c r="P31" i="18"/>
  <c r="J31" i="18"/>
  <c r="K30" i="18"/>
  <c r="L30" i="18"/>
  <c r="M30" i="18"/>
  <c r="N30" i="18"/>
  <c r="O30" i="18"/>
  <c r="P30" i="18"/>
  <c r="J30" i="18"/>
  <c r="K29" i="18"/>
  <c r="L29" i="18"/>
  <c r="M29" i="18"/>
  <c r="N29" i="18"/>
  <c r="O29" i="18"/>
  <c r="P29" i="18"/>
  <c r="J29" i="18"/>
  <c r="K28" i="18"/>
  <c r="L28" i="18"/>
  <c r="M28" i="18"/>
  <c r="N28" i="18"/>
  <c r="O28" i="18"/>
  <c r="P28" i="18"/>
  <c r="J28" i="18"/>
  <c r="K27" i="18"/>
  <c r="L27" i="18"/>
  <c r="M27" i="18"/>
  <c r="N27" i="18"/>
  <c r="O27" i="18"/>
  <c r="P27" i="18"/>
  <c r="J27" i="18"/>
  <c r="K26" i="18"/>
  <c r="L26" i="18"/>
  <c r="M26" i="18"/>
  <c r="N26" i="18"/>
  <c r="O26" i="18"/>
  <c r="P26" i="18"/>
  <c r="J26" i="18"/>
  <c r="K23" i="18"/>
  <c r="L23" i="18"/>
  <c r="M23" i="18"/>
  <c r="N23" i="18"/>
  <c r="O23" i="18"/>
  <c r="P23" i="18"/>
  <c r="J23" i="18"/>
  <c r="K22" i="18"/>
  <c r="L22" i="18"/>
  <c r="M22" i="18"/>
  <c r="N22" i="18"/>
  <c r="O22" i="18"/>
  <c r="P22" i="18"/>
  <c r="J22" i="18"/>
  <c r="L13" i="18"/>
  <c r="M13" i="18"/>
  <c r="N13" i="18"/>
  <c r="O13" i="18"/>
  <c r="P13" i="18"/>
  <c r="K13" i="18"/>
  <c r="K12" i="18"/>
  <c r="L12" i="18"/>
  <c r="M12" i="18"/>
  <c r="N12" i="18"/>
  <c r="O12" i="18"/>
  <c r="P12" i="18"/>
  <c r="J12" i="18"/>
  <c r="K11" i="18"/>
  <c r="L11" i="18"/>
  <c r="M11" i="18"/>
  <c r="N11" i="18"/>
  <c r="O11" i="18"/>
  <c r="P11" i="18"/>
  <c r="J11" i="18"/>
  <c r="L10" i="18"/>
  <c r="M10" i="18"/>
  <c r="N10" i="18"/>
  <c r="O10" i="18"/>
  <c r="P10" i="18"/>
  <c r="K10" i="18"/>
  <c r="K9" i="18"/>
  <c r="L9" i="18"/>
  <c r="M9" i="18"/>
  <c r="N9" i="18"/>
  <c r="O9" i="18"/>
  <c r="P9" i="18"/>
  <c r="J9" i="18"/>
  <c r="K8" i="18"/>
  <c r="L8" i="18"/>
  <c r="M8" i="18"/>
  <c r="N8" i="18"/>
  <c r="O8" i="18"/>
  <c r="P8" i="18"/>
  <c r="J8" i="18"/>
  <c r="K7" i="18"/>
  <c r="L7" i="18"/>
  <c r="M7" i="18"/>
  <c r="N7" i="18"/>
  <c r="O7" i="18"/>
  <c r="P7" i="18"/>
  <c r="J7" i="18"/>
  <c r="K6" i="18"/>
  <c r="L6" i="18"/>
  <c r="M6" i="18"/>
  <c r="N6" i="18"/>
  <c r="O6" i="18"/>
  <c r="P6" i="18"/>
  <c r="Q6" i="18"/>
  <c r="R6" i="18"/>
  <c r="S6" i="18"/>
  <c r="T6" i="18"/>
  <c r="U6" i="18"/>
  <c r="V6" i="18"/>
  <c r="W6" i="18"/>
  <c r="X6" i="18"/>
  <c r="Y6" i="18"/>
  <c r="Z6" i="18"/>
  <c r="J6" i="18"/>
  <c r="F3" i="18"/>
  <c r="G3" i="18" s="1"/>
  <c r="H3" i="18" s="1"/>
  <c r="E3" i="18"/>
  <c r="E2" i="18"/>
  <c r="H46" i="15"/>
  <c r="I46" i="15"/>
  <c r="J46" i="15"/>
  <c r="K46" i="15"/>
  <c r="L46" i="15"/>
  <c r="M46" i="15"/>
  <c r="N46" i="15"/>
  <c r="O46" i="15"/>
  <c r="P46" i="15"/>
  <c r="Q46" i="15"/>
  <c r="R46" i="15"/>
  <c r="S46" i="15"/>
  <c r="T46" i="15"/>
  <c r="U46" i="15"/>
  <c r="V46" i="15"/>
  <c r="W46" i="15"/>
  <c r="H1" i="15"/>
  <c r="I1" i="15"/>
  <c r="J1" i="15"/>
  <c r="K1" i="15"/>
  <c r="L1" i="15"/>
  <c r="M1" i="15"/>
  <c r="N1" i="15"/>
  <c r="O1" i="15"/>
  <c r="P1" i="15"/>
  <c r="Q1" i="15"/>
  <c r="R1" i="15"/>
  <c r="S1" i="15"/>
  <c r="T1" i="15"/>
  <c r="U1" i="15"/>
  <c r="V1" i="15"/>
  <c r="W1" i="15"/>
  <c r="G1" i="15"/>
  <c r="G46" i="15"/>
  <c r="D42" i="15"/>
  <c r="K162" i="19" l="1"/>
  <c r="J153" i="19"/>
  <c r="N180" i="19"/>
  <c r="N181" i="19" s="1"/>
  <c r="M153" i="19"/>
  <c r="K134" i="19"/>
  <c r="K140" i="19" s="1"/>
  <c r="K154" i="19" s="1"/>
  <c r="P180" i="19"/>
  <c r="P181" i="19" s="1"/>
  <c r="J162" i="19"/>
  <c r="L153" i="19"/>
  <c r="J180" i="19"/>
  <c r="J181" i="19" s="1"/>
  <c r="P153" i="19"/>
  <c r="N134" i="19"/>
  <c r="N140" i="19" s="1"/>
  <c r="M140" i="19"/>
  <c r="M154" i="19" s="1"/>
  <c r="P140" i="19"/>
  <c r="P154" i="19" s="1"/>
  <c r="J140" i="19"/>
  <c r="J154" i="19" s="1"/>
  <c r="L162" i="19"/>
  <c r="K153" i="19"/>
  <c r="L140" i="19"/>
  <c r="O153" i="19"/>
  <c r="K180" i="19"/>
  <c r="K181" i="19" s="1"/>
  <c r="M180" i="19"/>
  <c r="M181" i="19" s="1"/>
  <c r="N153" i="19"/>
  <c r="P162" i="19"/>
  <c r="O134" i="19"/>
  <c r="O140" i="19" s="1"/>
  <c r="O154" i="19" s="1"/>
  <c r="M162" i="19"/>
  <c r="O162" i="19"/>
  <c r="L3" i="20"/>
  <c r="H3" i="19"/>
  <c r="G2" i="19"/>
  <c r="G2" i="18"/>
  <c r="I3" i="18"/>
  <c r="J3" i="18" s="1"/>
  <c r="K3" i="18" s="1"/>
  <c r="L3" i="18" s="1"/>
  <c r="M3" i="18" s="1"/>
  <c r="N3" i="18" s="1"/>
  <c r="O3" i="18" s="1"/>
  <c r="P3" i="18" s="1"/>
  <c r="Q3" i="18" s="1"/>
  <c r="R3" i="18" s="1"/>
  <c r="S3" i="18" s="1"/>
  <c r="T3" i="18" s="1"/>
  <c r="U3" i="18" s="1"/>
  <c r="V3" i="18" s="1"/>
  <c r="W3" i="18" s="1"/>
  <c r="X3" i="18" s="1"/>
  <c r="Y3" i="18" s="1"/>
  <c r="Z3" i="18" s="1"/>
  <c r="AA3" i="18" s="1"/>
  <c r="AB3" i="18" s="1"/>
  <c r="AC3" i="18" s="1"/>
  <c r="AD3" i="18" s="1"/>
  <c r="AE3" i="18" s="1"/>
  <c r="AF3" i="18" s="1"/>
  <c r="AG3" i="18" s="1"/>
  <c r="AH3" i="18" s="1"/>
  <c r="AI3" i="18" s="1"/>
  <c r="AJ3" i="18" s="1"/>
  <c r="AK3" i="18" s="1"/>
  <c r="AL3" i="18" s="1"/>
  <c r="AM3" i="18" s="1"/>
  <c r="AN3" i="18" s="1"/>
  <c r="AO3" i="18" s="1"/>
  <c r="AP3" i="18" s="1"/>
  <c r="AQ3" i="18" s="1"/>
  <c r="AR3" i="18" s="1"/>
  <c r="AS3" i="18" s="1"/>
  <c r="AT3" i="18" s="1"/>
  <c r="AU3" i="18" s="1"/>
  <c r="AV3" i="18" s="1"/>
  <c r="AW3" i="18" s="1"/>
  <c r="AX3" i="18" s="1"/>
  <c r="AY3" i="18" s="1"/>
  <c r="AZ3" i="18" s="1"/>
  <c r="BA3" i="18" s="1"/>
  <c r="H2" i="18"/>
  <c r="F2" i="18"/>
  <c r="N154" i="19" l="1"/>
  <c r="L154" i="19"/>
  <c r="O155" i="19"/>
  <c r="O183" i="19"/>
  <c r="O186" i="19" s="1"/>
  <c r="O187" i="19" s="1"/>
  <c r="N183" i="19"/>
  <c r="N186" i="19" s="1"/>
  <c r="N187" i="19" s="1"/>
  <c r="N155" i="19"/>
  <c r="P183" i="19"/>
  <c r="P186" i="19" s="1"/>
  <c r="P187" i="19" s="1"/>
  <c r="P155" i="19"/>
  <c r="M183" i="19"/>
  <c r="M186" i="19" s="1"/>
  <c r="M187" i="19" s="1"/>
  <c r="M155" i="19"/>
  <c r="L183" i="19"/>
  <c r="L186" i="19" s="1"/>
  <c r="L187" i="19" s="1"/>
  <c r="L155" i="19"/>
  <c r="K155" i="19"/>
  <c r="K183" i="19"/>
  <c r="K186" i="19" s="1"/>
  <c r="K187" i="19" s="1"/>
  <c r="J155" i="19"/>
  <c r="J183" i="19"/>
  <c r="J186" i="19" s="1"/>
  <c r="J187" i="19" s="1"/>
  <c r="M3" i="20"/>
  <c r="I3" i="19"/>
  <c r="H2" i="19"/>
  <c r="D12" i="17"/>
  <c r="D11" i="17" s="1"/>
  <c r="O29" i="17"/>
  <c r="O24" i="17"/>
  <c r="O23" i="17"/>
  <c r="O16" i="17"/>
  <c r="O14" i="17"/>
  <c r="N14" i="17"/>
  <c r="W12" i="17"/>
  <c r="T12" i="17"/>
  <c r="T11" i="17"/>
  <c r="O10" i="17"/>
  <c r="T7" i="17"/>
  <c r="O6" i="17"/>
  <c r="N6" i="17"/>
  <c r="P26" i="15"/>
  <c r="Q26" i="15" s="1"/>
  <c r="R26" i="15" s="1"/>
  <c r="S26" i="15" s="1"/>
  <c r="T26" i="15" s="1"/>
  <c r="U26" i="15" s="1"/>
  <c r="V26" i="15" s="1"/>
  <c r="W26" i="15" s="1"/>
  <c r="O26" i="15"/>
  <c r="N26" i="15"/>
  <c r="H18" i="15"/>
  <c r="I18" i="15"/>
  <c r="J18" i="15"/>
  <c r="K18" i="15"/>
  <c r="L18" i="15"/>
  <c r="M18" i="15"/>
  <c r="G18" i="15"/>
  <c r="H17" i="15"/>
  <c r="I17" i="15"/>
  <c r="J17" i="15"/>
  <c r="K17" i="15"/>
  <c r="L17" i="15"/>
  <c r="M17" i="15"/>
  <c r="G17" i="15"/>
  <c r="I187" i="8"/>
  <c r="I186" i="8"/>
  <c r="I185" i="8"/>
  <c r="I184" i="8"/>
  <c r="I183" i="8"/>
  <c r="I181" i="8"/>
  <c r="I180" i="8"/>
  <c r="I179" i="8"/>
  <c r="I178" i="8"/>
  <c r="I177" i="8"/>
  <c r="I176" i="8"/>
  <c r="I175" i="8"/>
  <c r="I174" i="8"/>
  <c r="I173" i="8"/>
  <c r="I172" i="8"/>
  <c r="I171" i="8"/>
  <c r="I166" i="8"/>
  <c r="I164" i="8"/>
  <c r="I163" i="8"/>
  <c r="I162" i="8"/>
  <c r="I161" i="8"/>
  <c r="I160" i="8"/>
  <c r="I159" i="8"/>
  <c r="I158" i="8"/>
  <c r="I156" i="8"/>
  <c r="I155" i="8"/>
  <c r="I154" i="8"/>
  <c r="I152" i="8"/>
  <c r="I151" i="8"/>
  <c r="I150" i="8"/>
  <c r="G149" i="8"/>
  <c r="H149" i="8"/>
  <c r="I149" i="8"/>
  <c r="I148" i="8"/>
  <c r="I147" i="8"/>
  <c r="I146" i="8"/>
  <c r="I145" i="8"/>
  <c r="I144" i="8"/>
  <c r="I143" i="8"/>
  <c r="I141" i="8"/>
  <c r="I140" i="8"/>
  <c r="I139" i="8"/>
  <c r="I138" i="8"/>
  <c r="I137" i="8"/>
  <c r="I136" i="8"/>
  <c r="I134" i="8"/>
  <c r="I133" i="8"/>
  <c r="I128" i="8"/>
  <c r="I113" i="8"/>
  <c r="I112" i="8"/>
  <c r="I111" i="8"/>
  <c r="I110" i="8"/>
  <c r="I109" i="8"/>
  <c r="I108" i="8"/>
  <c r="I107" i="8"/>
  <c r="I106" i="8"/>
  <c r="I103" i="8"/>
  <c r="I99" i="8"/>
  <c r="I98" i="8"/>
  <c r="I97" i="8"/>
  <c r="I96" i="8"/>
  <c r="I92" i="8"/>
  <c r="I91" i="8"/>
  <c r="I89" i="8"/>
  <c r="I88" i="8"/>
  <c r="I87" i="8"/>
  <c r="I86" i="8"/>
  <c r="I85" i="8"/>
  <c r="I84" i="8"/>
  <c r="I83" i="8"/>
  <c r="I82" i="8" s="1"/>
  <c r="I79" i="8"/>
  <c r="I78" i="8"/>
  <c r="I76" i="8"/>
  <c r="I75" i="8"/>
  <c r="I74" i="8"/>
  <c r="I73" i="8"/>
  <c r="I72" i="8"/>
  <c r="I71" i="8"/>
  <c r="I70" i="8"/>
  <c r="I69" i="8"/>
  <c r="I77" i="8" s="1"/>
  <c r="I65" i="8"/>
  <c r="I64" i="8"/>
  <c r="I63" i="8"/>
  <c r="I62" i="8"/>
  <c r="I66" i="8" s="1"/>
  <c r="I67" i="8" s="1"/>
  <c r="I61" i="8"/>
  <c r="I60" i="8"/>
  <c r="I59" i="8" s="1"/>
  <c r="I43" i="8"/>
  <c r="I42" i="8"/>
  <c r="I39" i="8"/>
  <c r="I38" i="8"/>
  <c r="I37" i="8"/>
  <c r="I40" i="8" s="1"/>
  <c r="I35" i="8"/>
  <c r="I34" i="8"/>
  <c r="I31" i="8"/>
  <c r="I27" i="8"/>
  <c r="I26" i="8"/>
  <c r="I24" i="8"/>
  <c r="I23" i="8"/>
  <c r="I22" i="8"/>
  <c r="I21" i="8"/>
  <c r="G13" i="8"/>
  <c r="H13" i="8"/>
  <c r="I10" i="8"/>
  <c r="I7" i="8"/>
  <c r="I6" i="8"/>
  <c r="I396" i="6"/>
  <c r="I394" i="6"/>
  <c r="I393" i="6"/>
  <c r="I390" i="6"/>
  <c r="I389" i="6"/>
  <c r="I388" i="6"/>
  <c r="I267" i="6" s="1"/>
  <c r="I387" i="6"/>
  <c r="I385" i="6"/>
  <c r="I384" i="6"/>
  <c r="I382" i="6"/>
  <c r="I381" i="6"/>
  <c r="I380" i="6"/>
  <c r="I378" i="6"/>
  <c r="I376" i="6"/>
  <c r="I374" i="6"/>
  <c r="I372" i="6"/>
  <c r="I370" i="6"/>
  <c r="I368" i="6"/>
  <c r="I366" i="6"/>
  <c r="I362" i="6"/>
  <c r="I359" i="6"/>
  <c r="I357" i="6"/>
  <c r="I354" i="6"/>
  <c r="I353" i="6"/>
  <c r="I352" i="6"/>
  <c r="I350" i="6"/>
  <c r="I349" i="6"/>
  <c r="I347" i="6"/>
  <c r="I346" i="6" s="1"/>
  <c r="I345" i="6"/>
  <c r="I343" i="6"/>
  <c r="I341" i="6" s="1"/>
  <c r="I340" i="6"/>
  <c r="I336" i="6"/>
  <c r="I332" i="6"/>
  <c r="I330" i="6"/>
  <c r="I329" i="6"/>
  <c r="I307" i="6"/>
  <c r="I304" i="6"/>
  <c r="J307" i="6"/>
  <c r="I302" i="6"/>
  <c r="I299" i="6"/>
  <c r="I297" i="6"/>
  <c r="I296" i="6"/>
  <c r="I295" i="6"/>
  <c r="I293" i="6"/>
  <c r="I292" i="6" s="1"/>
  <c r="I291" i="6"/>
  <c r="I289" i="6"/>
  <c r="I287" i="6" s="1"/>
  <c r="I288" i="6"/>
  <c r="I286" i="6"/>
  <c r="I284" i="6"/>
  <c r="I282" i="6" s="1"/>
  <c r="I281" i="6"/>
  <c r="I279" i="6"/>
  <c r="I278" i="6" s="1"/>
  <c r="I275" i="6"/>
  <c r="I266" i="6"/>
  <c r="I265" i="6"/>
  <c r="I264" i="6"/>
  <c r="I262" i="6"/>
  <c r="I261" i="6"/>
  <c r="I258" i="6"/>
  <c r="I257" i="6"/>
  <c r="I256" i="6"/>
  <c r="I254" i="6"/>
  <c r="I251" i="6"/>
  <c r="I249" i="6"/>
  <c r="I246" i="6"/>
  <c r="I244" i="6"/>
  <c r="I240" i="6"/>
  <c r="I238" i="6"/>
  <c r="I234" i="6"/>
  <c r="I232" i="6"/>
  <c r="I228" i="6"/>
  <c r="I226" i="6"/>
  <c r="I224" i="6"/>
  <c r="I222" i="6"/>
  <c r="I220" i="6"/>
  <c r="I218" i="6" s="1"/>
  <c r="I217" i="6"/>
  <c r="I215" i="6"/>
  <c r="I214" i="6"/>
  <c r="I213" i="6"/>
  <c r="I211" i="6"/>
  <c r="I210" i="6"/>
  <c r="I209" i="6"/>
  <c r="I206" i="6"/>
  <c r="I199" i="6"/>
  <c r="I198" i="6"/>
  <c r="I195" i="6"/>
  <c r="I193" i="6"/>
  <c r="I191" i="6"/>
  <c r="I190" i="6"/>
  <c r="I189" i="6"/>
  <c r="D189" i="6"/>
  <c r="I188" i="6"/>
  <c r="I187" i="6"/>
  <c r="I186" i="6"/>
  <c r="I185" i="6"/>
  <c r="I184" i="6"/>
  <c r="I183" i="6"/>
  <c r="I182" i="6"/>
  <c r="I180" i="6"/>
  <c r="I179" i="6" s="1"/>
  <c r="I176" i="6"/>
  <c r="I173" i="6"/>
  <c r="I172" i="6"/>
  <c r="I171" i="6"/>
  <c r="I169" i="6"/>
  <c r="I166" i="6"/>
  <c r="I163" i="6" s="1"/>
  <c r="I162" i="6"/>
  <c r="I160" i="6" s="1"/>
  <c r="I161" i="6"/>
  <c r="I155" i="6"/>
  <c r="I146" i="6"/>
  <c r="I145" i="6"/>
  <c r="I143" i="6"/>
  <c r="I142" i="6"/>
  <c r="I136" i="6"/>
  <c r="I12" i="5"/>
  <c r="I132" i="6"/>
  <c r="I133" i="6"/>
  <c r="I131" i="6" s="1"/>
  <c r="I130" i="6"/>
  <c r="I128" i="6"/>
  <c r="I127" i="6"/>
  <c r="I117" i="6"/>
  <c r="I8" i="5"/>
  <c r="I116" i="6" s="1"/>
  <c r="I118" i="6" s="1"/>
  <c r="I29" i="5"/>
  <c r="I138" i="6" s="1"/>
  <c r="I27" i="5"/>
  <c r="J107" i="6"/>
  <c r="I106" i="6"/>
  <c r="I102" i="6"/>
  <c r="I100" i="6"/>
  <c r="I98" i="6"/>
  <c r="I90" i="6"/>
  <c r="I88" i="6"/>
  <c r="I132" i="8"/>
  <c r="I37" i="6"/>
  <c r="I33" i="6" s="1"/>
  <c r="I45" i="6" s="1"/>
  <c r="I84" i="6" s="1"/>
  <c r="I92" i="6" s="1"/>
  <c r="I99" i="6" s="1"/>
  <c r="I31" i="6"/>
  <c r="I30" i="6" s="1"/>
  <c r="I29" i="6"/>
  <c r="I27" i="6"/>
  <c r="I26" i="6" s="1"/>
  <c r="I25" i="6"/>
  <c r="I17" i="6" s="1"/>
  <c r="I23" i="6"/>
  <c r="I22" i="6" s="1"/>
  <c r="I21" i="6"/>
  <c r="I15" i="6"/>
  <c r="I14" i="6" s="1"/>
  <c r="I13" i="6"/>
  <c r="I11" i="6"/>
  <c r="I10" i="6" s="1"/>
  <c r="I9" i="6"/>
  <c r="I82" i="6"/>
  <c r="I80" i="6"/>
  <c r="I79" i="6"/>
  <c r="I77" i="6"/>
  <c r="I76" i="6"/>
  <c r="I75" i="6"/>
  <c r="I69" i="6"/>
  <c r="I68" i="6"/>
  <c r="I66" i="6"/>
  <c r="I65" i="6"/>
  <c r="I64" i="6"/>
  <c r="I63" i="6"/>
  <c r="I62" i="6"/>
  <c r="I61" i="6"/>
  <c r="I59" i="6" s="1"/>
  <c r="I58" i="6"/>
  <c r="I55" i="6"/>
  <c r="I56" i="6"/>
  <c r="I54" i="6"/>
  <c r="I52" i="6"/>
  <c r="I49" i="6"/>
  <c r="J6" i="6"/>
  <c r="I7" i="6"/>
  <c r="I5" i="8" s="1"/>
  <c r="I8" i="8" s="1"/>
  <c r="I5" i="6"/>
  <c r="L16" i="15"/>
  <c r="H15" i="15"/>
  <c r="I15" i="15"/>
  <c r="L15" i="15"/>
  <c r="G15" i="15"/>
  <c r="I12" i="15"/>
  <c r="K138" i="8"/>
  <c r="H11" i="15" s="1"/>
  <c r="L138" i="8"/>
  <c r="M138" i="8"/>
  <c r="N138" i="8"/>
  <c r="O138" i="8"/>
  <c r="P138" i="8"/>
  <c r="M11" i="15" s="1"/>
  <c r="J138" i="8"/>
  <c r="G11" i="15" s="1"/>
  <c r="BD63" i="15"/>
  <c r="BD64" i="15" s="1"/>
  <c r="BD65" i="15" s="1"/>
  <c r="BD61" i="15"/>
  <c r="BD60" i="15"/>
  <c r="BD59" i="15" s="1"/>
  <c r="BF58" i="15"/>
  <c r="BG58" i="15" s="1"/>
  <c r="BH58" i="15" s="1"/>
  <c r="BI58" i="15" s="1"/>
  <c r="D56" i="15"/>
  <c r="D83" i="15"/>
  <c r="D80" i="15"/>
  <c r="D79" i="15"/>
  <c r="D78" i="15"/>
  <c r="D69" i="15"/>
  <c r="BD17" i="15"/>
  <c r="BD18" i="15" s="1"/>
  <c r="BD19" i="15" s="1"/>
  <c r="BD15" i="15"/>
  <c r="BD14" i="15"/>
  <c r="BD13" i="15"/>
  <c r="BF12" i="15"/>
  <c r="BG12" i="15" s="1"/>
  <c r="BH12" i="15" s="1"/>
  <c r="BI12" i="15" s="1"/>
  <c r="F9" i="15"/>
  <c r="F56" i="15" s="1"/>
  <c r="E9" i="15"/>
  <c r="E56" i="15" s="1"/>
  <c r="Q133" i="8"/>
  <c r="R133" i="8"/>
  <c r="S133" i="8"/>
  <c r="T133" i="8"/>
  <c r="U133" i="8"/>
  <c r="V133" i="8"/>
  <c r="W133" i="8"/>
  <c r="X133" i="8"/>
  <c r="Y133" i="8"/>
  <c r="Z133" i="8"/>
  <c r="K132" i="8"/>
  <c r="L132" i="8"/>
  <c r="M132" i="8"/>
  <c r="N132" i="8"/>
  <c r="O132" i="8"/>
  <c r="P132" i="8"/>
  <c r="J132" i="8"/>
  <c r="K185" i="8"/>
  <c r="L185" i="8"/>
  <c r="M185" i="8"/>
  <c r="N185" i="8"/>
  <c r="O185" i="8"/>
  <c r="P185" i="8"/>
  <c r="Q185" i="8"/>
  <c r="R185" i="8"/>
  <c r="S185" i="8"/>
  <c r="T185" i="8"/>
  <c r="U185" i="8"/>
  <c r="V185" i="8"/>
  <c r="W185" i="8"/>
  <c r="X185" i="8"/>
  <c r="Y185" i="8"/>
  <c r="Z185" i="8"/>
  <c r="J185" i="8"/>
  <c r="K184" i="8"/>
  <c r="L184" i="8"/>
  <c r="M184" i="8"/>
  <c r="N184" i="8"/>
  <c r="O184" i="8"/>
  <c r="P184" i="8"/>
  <c r="J184" i="8"/>
  <c r="Q181" i="8"/>
  <c r="R181" i="8"/>
  <c r="S181" i="8"/>
  <c r="T181" i="8"/>
  <c r="U181" i="8"/>
  <c r="V181" i="8"/>
  <c r="W181" i="8"/>
  <c r="X181" i="8"/>
  <c r="Y181" i="8"/>
  <c r="Z181" i="8"/>
  <c r="K175" i="8"/>
  <c r="L175" i="8"/>
  <c r="M175" i="8"/>
  <c r="N175" i="8"/>
  <c r="O175" i="8"/>
  <c r="P175" i="8"/>
  <c r="J175" i="8"/>
  <c r="K179" i="8"/>
  <c r="L179" i="8"/>
  <c r="M179" i="8"/>
  <c r="N179" i="8"/>
  <c r="O179" i="8"/>
  <c r="P179" i="8"/>
  <c r="Q179" i="8"/>
  <c r="R179" i="8"/>
  <c r="S179" i="8"/>
  <c r="T179" i="8"/>
  <c r="U179" i="8"/>
  <c r="V179" i="8"/>
  <c r="W179" i="8"/>
  <c r="X179" i="8"/>
  <c r="Y179" i="8"/>
  <c r="Z179" i="8"/>
  <c r="J179" i="8"/>
  <c r="J178" i="8"/>
  <c r="L177" i="8"/>
  <c r="R177" i="8"/>
  <c r="T177" i="8"/>
  <c r="Z177" i="8"/>
  <c r="K176" i="8"/>
  <c r="Q176" i="8"/>
  <c r="S176" i="8"/>
  <c r="Y176" i="8"/>
  <c r="J176" i="8"/>
  <c r="K172" i="8"/>
  <c r="L172" i="8"/>
  <c r="M172" i="8"/>
  <c r="N172" i="8"/>
  <c r="O172" i="8"/>
  <c r="P172" i="8"/>
  <c r="R172" i="8"/>
  <c r="J172" i="8"/>
  <c r="L174" i="8"/>
  <c r="O174" i="8"/>
  <c r="Q174" i="8"/>
  <c r="R174" i="8"/>
  <c r="T174" i="8"/>
  <c r="W174" i="8"/>
  <c r="K173" i="8"/>
  <c r="N173" i="8"/>
  <c r="R173" i="8"/>
  <c r="S173" i="8"/>
  <c r="V173" i="8"/>
  <c r="Z173" i="8"/>
  <c r="J173" i="8"/>
  <c r="M171" i="8"/>
  <c r="R171" i="8"/>
  <c r="U171" i="8"/>
  <c r="Z171" i="8"/>
  <c r="K166" i="8"/>
  <c r="L166" i="8"/>
  <c r="M166" i="8"/>
  <c r="M180" i="8" s="1"/>
  <c r="M181" i="8" s="1"/>
  <c r="N166" i="8"/>
  <c r="O166" i="8"/>
  <c r="O180" i="8" s="1"/>
  <c r="O181" i="8" s="1"/>
  <c r="P166" i="8"/>
  <c r="J166" i="8"/>
  <c r="Q164" i="8"/>
  <c r="R164" i="8"/>
  <c r="S164" i="8"/>
  <c r="T164" i="8"/>
  <c r="U164" i="8"/>
  <c r="V164" i="8"/>
  <c r="W164" i="8"/>
  <c r="X164" i="8"/>
  <c r="Y164" i="8"/>
  <c r="Z164" i="8"/>
  <c r="K163" i="8"/>
  <c r="K164" i="8" s="1"/>
  <c r="K162" i="8"/>
  <c r="L162" i="8"/>
  <c r="M162" i="8"/>
  <c r="N162" i="8"/>
  <c r="O162" i="8"/>
  <c r="P162" i="8"/>
  <c r="J162" i="8"/>
  <c r="K161" i="8"/>
  <c r="L161" i="8"/>
  <c r="M161" i="8"/>
  <c r="N161" i="8"/>
  <c r="O161" i="8"/>
  <c r="P161" i="8"/>
  <c r="J161" i="8"/>
  <c r="K160" i="8"/>
  <c r="L160" i="8"/>
  <c r="M160" i="8"/>
  <c r="N160" i="8"/>
  <c r="O160" i="8"/>
  <c r="P160" i="8"/>
  <c r="J160" i="8"/>
  <c r="K159" i="8"/>
  <c r="L159" i="8"/>
  <c r="M159" i="8"/>
  <c r="N159" i="8"/>
  <c r="N163" i="8" s="1"/>
  <c r="N164" i="8" s="1"/>
  <c r="O159" i="8"/>
  <c r="P159" i="8"/>
  <c r="J159" i="8"/>
  <c r="K158" i="8"/>
  <c r="L158" i="8"/>
  <c r="L163" i="8" s="1"/>
  <c r="L164" i="8" s="1"/>
  <c r="M158" i="8"/>
  <c r="M163" i="8" s="1"/>
  <c r="M164" i="8" s="1"/>
  <c r="N158" i="8"/>
  <c r="K15" i="15" s="1"/>
  <c r="O158" i="8"/>
  <c r="O163" i="8" s="1"/>
  <c r="O164" i="8" s="1"/>
  <c r="P158" i="8"/>
  <c r="P163" i="8" s="1"/>
  <c r="P164" i="8" s="1"/>
  <c r="J158" i="8"/>
  <c r="Q156" i="8"/>
  <c r="R156" i="8"/>
  <c r="S156" i="8"/>
  <c r="T156" i="8"/>
  <c r="U156" i="8"/>
  <c r="V156" i="8"/>
  <c r="W156" i="8"/>
  <c r="X156" i="8"/>
  <c r="Y156" i="8"/>
  <c r="Z156" i="8"/>
  <c r="K152" i="8"/>
  <c r="L152" i="8"/>
  <c r="M152" i="8"/>
  <c r="N152" i="8"/>
  <c r="O152" i="8"/>
  <c r="P152" i="8"/>
  <c r="J152" i="8"/>
  <c r="K151" i="8"/>
  <c r="L151" i="8"/>
  <c r="M151" i="8"/>
  <c r="N151" i="8"/>
  <c r="O151" i="8"/>
  <c r="P151" i="8"/>
  <c r="Q151" i="8"/>
  <c r="R151" i="8"/>
  <c r="S151" i="8"/>
  <c r="T151" i="8"/>
  <c r="U151" i="8"/>
  <c r="V151" i="8"/>
  <c r="W151" i="8"/>
  <c r="X151" i="8"/>
  <c r="Y151" i="8"/>
  <c r="Z151" i="8"/>
  <c r="J151" i="8"/>
  <c r="K140" i="8"/>
  <c r="L140" i="8"/>
  <c r="M140" i="8"/>
  <c r="N140" i="8"/>
  <c r="O140" i="8"/>
  <c r="P140" i="8"/>
  <c r="Q140" i="8"/>
  <c r="R140" i="8"/>
  <c r="S140" i="8"/>
  <c r="T140" i="8"/>
  <c r="U140" i="8"/>
  <c r="V140" i="8"/>
  <c r="W140" i="8"/>
  <c r="X140" i="8"/>
  <c r="Y140" i="8"/>
  <c r="Z140" i="8"/>
  <c r="J140" i="8"/>
  <c r="K139" i="8"/>
  <c r="L139" i="8"/>
  <c r="M139" i="8"/>
  <c r="N139" i="8"/>
  <c r="O139" i="8"/>
  <c r="P139" i="8"/>
  <c r="J139" i="8"/>
  <c r="L135" i="8"/>
  <c r="K137" i="8"/>
  <c r="L137" i="8"/>
  <c r="M137" i="8"/>
  <c r="N137" i="8"/>
  <c r="O137" i="8"/>
  <c r="O135" i="8" s="1"/>
  <c r="P137" i="8"/>
  <c r="J137" i="8"/>
  <c r="K136" i="8"/>
  <c r="K135" i="8" s="1"/>
  <c r="L136" i="8"/>
  <c r="M136" i="8"/>
  <c r="M135" i="8" s="1"/>
  <c r="N136" i="8"/>
  <c r="N135" i="8" s="1"/>
  <c r="O136" i="8"/>
  <c r="P136" i="8"/>
  <c r="P135" i="8" s="1"/>
  <c r="J136" i="8"/>
  <c r="J135" i="8" s="1"/>
  <c r="K134" i="8"/>
  <c r="L134" i="8"/>
  <c r="M134" i="8"/>
  <c r="N134" i="8"/>
  <c r="O134" i="8"/>
  <c r="P134" i="8"/>
  <c r="Q134" i="8"/>
  <c r="R134" i="8"/>
  <c r="S134" i="8"/>
  <c r="T134" i="8"/>
  <c r="U134" i="8"/>
  <c r="V134" i="8"/>
  <c r="W134" i="8"/>
  <c r="X134" i="8"/>
  <c r="Y134" i="8"/>
  <c r="Z134" i="8"/>
  <c r="J134" i="8"/>
  <c r="K150" i="8"/>
  <c r="L150" i="8"/>
  <c r="M150" i="8"/>
  <c r="N150" i="8"/>
  <c r="O150" i="8"/>
  <c r="P150" i="8"/>
  <c r="Q150" i="8"/>
  <c r="R150" i="8"/>
  <c r="S150" i="8"/>
  <c r="T150" i="8"/>
  <c r="U150" i="8"/>
  <c r="V150" i="8"/>
  <c r="W150" i="8"/>
  <c r="X150" i="8"/>
  <c r="Y150" i="8"/>
  <c r="Z150" i="8"/>
  <c r="J150" i="8"/>
  <c r="K149" i="8"/>
  <c r="L149" i="8"/>
  <c r="M149" i="8"/>
  <c r="N149" i="8"/>
  <c r="O149" i="8"/>
  <c r="P149" i="8"/>
  <c r="Q149" i="8"/>
  <c r="R149" i="8"/>
  <c r="S149" i="8"/>
  <c r="T149" i="8"/>
  <c r="U149" i="8"/>
  <c r="V149" i="8"/>
  <c r="W149" i="8"/>
  <c r="X149" i="8"/>
  <c r="Y149" i="8"/>
  <c r="Z149" i="8"/>
  <c r="J149" i="8"/>
  <c r="K148" i="8"/>
  <c r="L148" i="8"/>
  <c r="M148" i="8"/>
  <c r="N148" i="8"/>
  <c r="O148" i="8"/>
  <c r="P148" i="8"/>
  <c r="J148" i="8"/>
  <c r="K147" i="8"/>
  <c r="L147" i="8"/>
  <c r="M147" i="8"/>
  <c r="N147" i="8"/>
  <c r="O147" i="8"/>
  <c r="P147" i="8"/>
  <c r="J147" i="8"/>
  <c r="K146" i="8"/>
  <c r="L146" i="8"/>
  <c r="M146" i="8"/>
  <c r="N146" i="8"/>
  <c r="O146" i="8"/>
  <c r="P146" i="8"/>
  <c r="Q146" i="8"/>
  <c r="R146" i="8"/>
  <c r="S146" i="8"/>
  <c r="T146" i="8"/>
  <c r="U146" i="8"/>
  <c r="V146" i="8"/>
  <c r="W146" i="8"/>
  <c r="X146" i="8"/>
  <c r="Y146" i="8"/>
  <c r="Z146" i="8"/>
  <c r="J146" i="8"/>
  <c r="K145" i="8"/>
  <c r="L145" i="8"/>
  <c r="M145" i="8"/>
  <c r="N145" i="8"/>
  <c r="O145" i="8"/>
  <c r="P145" i="8"/>
  <c r="J145" i="8"/>
  <c r="K144" i="8"/>
  <c r="L144" i="8"/>
  <c r="M144" i="8"/>
  <c r="N144" i="8"/>
  <c r="O144" i="8"/>
  <c r="O154" i="8" s="1"/>
  <c r="P144" i="8"/>
  <c r="J144" i="8"/>
  <c r="K143" i="8"/>
  <c r="K154" i="8" s="1"/>
  <c r="L143" i="8"/>
  <c r="L154" i="8" s="1"/>
  <c r="M143" i="8"/>
  <c r="M154" i="8" s="1"/>
  <c r="N143" i="8"/>
  <c r="N154" i="8" s="1"/>
  <c r="O143" i="8"/>
  <c r="P143" i="8"/>
  <c r="P154" i="8" s="1"/>
  <c r="J143" i="8"/>
  <c r="K133" i="8"/>
  <c r="L133" i="8"/>
  <c r="M133" i="8"/>
  <c r="N133" i="8"/>
  <c r="O133" i="8"/>
  <c r="P133" i="8"/>
  <c r="J133" i="8"/>
  <c r="K111" i="8"/>
  <c r="K110" i="8"/>
  <c r="L110" i="8"/>
  <c r="M178" i="8" s="1"/>
  <c r="M110" i="8"/>
  <c r="N110" i="8"/>
  <c r="O110" i="8"/>
  <c r="P110" i="8"/>
  <c r="J110" i="8"/>
  <c r="K109" i="8"/>
  <c r="L109" i="8"/>
  <c r="M109" i="8"/>
  <c r="N109" i="8"/>
  <c r="O109" i="8"/>
  <c r="P109" i="8"/>
  <c r="J109" i="8"/>
  <c r="K108" i="8"/>
  <c r="K178" i="8" s="1"/>
  <c r="L108" i="8"/>
  <c r="M108" i="8"/>
  <c r="N108" i="8"/>
  <c r="N178" i="8" s="1"/>
  <c r="O108" i="8"/>
  <c r="O178" i="8" s="1"/>
  <c r="P108" i="8"/>
  <c r="P178" i="8" s="1"/>
  <c r="Q108" i="8"/>
  <c r="R108" i="8"/>
  <c r="S108" i="8"/>
  <c r="T108" i="8"/>
  <c r="U108" i="8"/>
  <c r="V108" i="8"/>
  <c r="W108" i="8"/>
  <c r="X108" i="8"/>
  <c r="Y108" i="8"/>
  <c r="Z108" i="8"/>
  <c r="J108" i="8"/>
  <c r="K107" i="8"/>
  <c r="K177" i="8" s="1"/>
  <c r="L107" i="8"/>
  <c r="M107" i="8"/>
  <c r="M111" i="8" s="1"/>
  <c r="N107" i="8"/>
  <c r="O107" i="8"/>
  <c r="O111" i="8" s="1"/>
  <c r="P107" i="8"/>
  <c r="P177" i="8" s="1"/>
  <c r="Q107" i="8"/>
  <c r="Q177" i="8" s="1"/>
  <c r="R107" i="8"/>
  <c r="S107" i="8"/>
  <c r="S177" i="8" s="1"/>
  <c r="T107" i="8"/>
  <c r="U107" i="8"/>
  <c r="U177" i="8" s="1"/>
  <c r="V107" i="8"/>
  <c r="W107" i="8"/>
  <c r="W177" i="8" s="1"/>
  <c r="X107" i="8"/>
  <c r="X177" i="8" s="1"/>
  <c r="Y107" i="8"/>
  <c r="Y177" i="8" s="1"/>
  <c r="Z107" i="8"/>
  <c r="J107" i="8"/>
  <c r="J177" i="8" s="1"/>
  <c r="K106" i="8"/>
  <c r="L106" i="8"/>
  <c r="L176" i="8" s="1"/>
  <c r="M106" i="8"/>
  <c r="N106" i="8"/>
  <c r="N111" i="8" s="1"/>
  <c r="O106" i="8"/>
  <c r="O176" i="8" s="1"/>
  <c r="P106" i="8"/>
  <c r="P111" i="8" s="1"/>
  <c r="Q106" i="8"/>
  <c r="R106" i="8"/>
  <c r="R176" i="8" s="1"/>
  <c r="S106" i="8"/>
  <c r="T106" i="8"/>
  <c r="T176" i="8" s="1"/>
  <c r="U106" i="8"/>
  <c r="V106" i="8"/>
  <c r="V176" i="8" s="1"/>
  <c r="W106" i="8"/>
  <c r="W176" i="8" s="1"/>
  <c r="X106" i="8"/>
  <c r="X176" i="8" s="1"/>
  <c r="Y106" i="8"/>
  <c r="Z106" i="8"/>
  <c r="Z176" i="8" s="1"/>
  <c r="J106" i="8"/>
  <c r="J111" i="8" s="1"/>
  <c r="K103" i="8"/>
  <c r="L103" i="8"/>
  <c r="M103" i="8"/>
  <c r="N103" i="8"/>
  <c r="O103" i="8"/>
  <c r="P103" i="8"/>
  <c r="J103" i="8"/>
  <c r="M98" i="8"/>
  <c r="K97" i="8"/>
  <c r="L97" i="8"/>
  <c r="M97" i="8"/>
  <c r="N97" i="8"/>
  <c r="O97" i="8"/>
  <c r="P97" i="8"/>
  <c r="J97" i="8"/>
  <c r="K96" i="8"/>
  <c r="K171" i="8" s="1"/>
  <c r="L96" i="8"/>
  <c r="L171" i="8" s="1"/>
  <c r="M96" i="8"/>
  <c r="N96" i="8"/>
  <c r="N171" i="8" s="1"/>
  <c r="O96" i="8"/>
  <c r="O171" i="8" s="1"/>
  <c r="P96" i="8"/>
  <c r="P171" i="8" s="1"/>
  <c r="Q96" i="8"/>
  <c r="R96" i="8"/>
  <c r="S96" i="8"/>
  <c r="S171" i="8" s="1"/>
  <c r="T96" i="8"/>
  <c r="T171" i="8" s="1"/>
  <c r="U96" i="8"/>
  <c r="V96" i="8"/>
  <c r="V171" i="8" s="1"/>
  <c r="W96" i="8"/>
  <c r="W171" i="8" s="1"/>
  <c r="X96" i="8"/>
  <c r="X171" i="8" s="1"/>
  <c r="Y96" i="8"/>
  <c r="Z96" i="8"/>
  <c r="J96" i="8"/>
  <c r="J171" i="8" s="1"/>
  <c r="Q299" i="6"/>
  <c r="K92" i="8"/>
  <c r="L92" i="8"/>
  <c r="M92" i="8"/>
  <c r="N92" i="8"/>
  <c r="O92" i="8"/>
  <c r="P92" i="8"/>
  <c r="P98" i="8" s="1"/>
  <c r="P99" i="8" s="1"/>
  <c r="J92" i="8"/>
  <c r="K91" i="8"/>
  <c r="K98" i="8" s="1"/>
  <c r="L91" i="8"/>
  <c r="L98" i="8" s="1"/>
  <c r="L99" i="8" s="1"/>
  <c r="M91" i="8"/>
  <c r="N91" i="8"/>
  <c r="O91" i="8"/>
  <c r="O98" i="8" s="1"/>
  <c r="P91" i="8"/>
  <c r="J91" i="8"/>
  <c r="J98" i="8" s="1"/>
  <c r="O82" i="8"/>
  <c r="O88" i="8" s="1"/>
  <c r="O89" i="8" s="1"/>
  <c r="P82" i="8"/>
  <c r="K87" i="8"/>
  <c r="L87" i="8"/>
  <c r="M87" i="8"/>
  <c r="N87" i="8"/>
  <c r="O87" i="8"/>
  <c r="P87" i="8"/>
  <c r="J87" i="8"/>
  <c r="K86" i="8"/>
  <c r="L86" i="8"/>
  <c r="M86" i="8"/>
  <c r="N86" i="8"/>
  <c r="O86" i="8"/>
  <c r="P86" i="8"/>
  <c r="J86" i="8"/>
  <c r="K85" i="8"/>
  <c r="L85" i="8"/>
  <c r="M85" i="8"/>
  <c r="N85" i="8"/>
  <c r="O85" i="8"/>
  <c r="P85" i="8"/>
  <c r="P88" i="8" s="1"/>
  <c r="P89" i="8" s="1"/>
  <c r="J85" i="8"/>
  <c r="K84" i="8"/>
  <c r="L84" i="8"/>
  <c r="M84" i="8"/>
  <c r="N84" i="8"/>
  <c r="O84" i="8"/>
  <c r="P84" i="8"/>
  <c r="J84" i="8"/>
  <c r="K83" i="8"/>
  <c r="K82" i="8" s="1"/>
  <c r="K88" i="8" s="1"/>
  <c r="K89" i="8" s="1"/>
  <c r="L83" i="8"/>
  <c r="L82" i="8" s="1"/>
  <c r="L88" i="8" s="1"/>
  <c r="L89" i="8" s="1"/>
  <c r="M83" i="8"/>
  <c r="M82" i="8" s="1"/>
  <c r="M88" i="8" s="1"/>
  <c r="M89" i="8" s="1"/>
  <c r="N83" i="8"/>
  <c r="N82" i="8" s="1"/>
  <c r="N88" i="8" s="1"/>
  <c r="N89" i="8" s="1"/>
  <c r="O83" i="8"/>
  <c r="P83" i="8"/>
  <c r="J83" i="8"/>
  <c r="J82" i="8" s="1"/>
  <c r="J88" i="8" s="1"/>
  <c r="J89" i="8" s="1"/>
  <c r="Y163" i="6"/>
  <c r="X163" i="6"/>
  <c r="W163" i="6"/>
  <c r="V163" i="6"/>
  <c r="U163" i="6"/>
  <c r="T163" i="6"/>
  <c r="S163" i="6"/>
  <c r="K70" i="8"/>
  <c r="L70" i="8"/>
  <c r="M70" i="8"/>
  <c r="N70" i="8"/>
  <c r="O70" i="8"/>
  <c r="P70" i="8"/>
  <c r="K71" i="8"/>
  <c r="L71" i="8"/>
  <c r="M71" i="8"/>
  <c r="N71" i="8"/>
  <c r="O71" i="8"/>
  <c r="P71" i="8"/>
  <c r="K72" i="8"/>
  <c r="L72" i="8"/>
  <c r="M72" i="8"/>
  <c r="N72" i="8"/>
  <c r="O72" i="8"/>
  <c r="P72" i="8"/>
  <c r="K73" i="8"/>
  <c r="L73" i="8"/>
  <c r="M73" i="8"/>
  <c r="N73" i="8"/>
  <c r="O73" i="8"/>
  <c r="P73" i="8"/>
  <c r="K74" i="8"/>
  <c r="L74" i="8"/>
  <c r="M74" i="8"/>
  <c r="N74" i="8"/>
  <c r="O74" i="8"/>
  <c r="P74" i="8"/>
  <c r="K75" i="8"/>
  <c r="L75" i="8"/>
  <c r="M75" i="8"/>
  <c r="N75" i="8"/>
  <c r="O75" i="8"/>
  <c r="P75" i="8"/>
  <c r="Q162" i="8" s="1"/>
  <c r="Q75" i="8"/>
  <c r="R162" i="8" s="1"/>
  <c r="R75" i="8"/>
  <c r="S162" i="8" s="1"/>
  <c r="S75" i="8"/>
  <c r="T162" i="8" s="1"/>
  <c r="T75" i="8"/>
  <c r="U162" i="8" s="1"/>
  <c r="U75" i="8"/>
  <c r="V162" i="8" s="1"/>
  <c r="V75" i="8"/>
  <c r="W162" i="8" s="1"/>
  <c r="W75" i="8"/>
  <c r="X162" i="8" s="1"/>
  <c r="X75" i="8"/>
  <c r="Y162" i="8" s="1"/>
  <c r="Y75" i="8"/>
  <c r="Z162" i="8" s="1"/>
  <c r="Z75" i="8"/>
  <c r="K76" i="8"/>
  <c r="L76" i="8"/>
  <c r="M76" i="8"/>
  <c r="N76" i="8"/>
  <c r="O76" i="8"/>
  <c r="P76" i="8"/>
  <c r="J76" i="8"/>
  <c r="J75" i="8"/>
  <c r="J74" i="8"/>
  <c r="J73" i="8"/>
  <c r="J72" i="8"/>
  <c r="J71" i="8"/>
  <c r="J70" i="8"/>
  <c r="K69" i="8"/>
  <c r="K77" i="8" s="1"/>
  <c r="L69" i="8"/>
  <c r="L77" i="8" s="1"/>
  <c r="M69" i="8"/>
  <c r="M77" i="8" s="1"/>
  <c r="N69" i="8"/>
  <c r="N77" i="8" s="1"/>
  <c r="O69" i="8"/>
  <c r="O77" i="8" s="1"/>
  <c r="P69" i="8"/>
  <c r="P77" i="8" s="1"/>
  <c r="J69" i="8"/>
  <c r="J77" i="8" s="1"/>
  <c r="L59" i="8"/>
  <c r="N59" i="8"/>
  <c r="N66" i="8" s="1"/>
  <c r="K65" i="8"/>
  <c r="L65" i="8"/>
  <c r="M65" i="8"/>
  <c r="N65" i="8"/>
  <c r="O65" i="8"/>
  <c r="P65" i="8"/>
  <c r="J65" i="8"/>
  <c r="K64" i="8"/>
  <c r="L64" i="8"/>
  <c r="M64" i="8"/>
  <c r="N64" i="8"/>
  <c r="O64" i="8"/>
  <c r="P64" i="8"/>
  <c r="J64" i="8"/>
  <c r="K63" i="8"/>
  <c r="L63" i="8"/>
  <c r="M63" i="8"/>
  <c r="N63" i="8"/>
  <c r="O63" i="8"/>
  <c r="P63" i="8"/>
  <c r="J63" i="8"/>
  <c r="K62" i="8"/>
  <c r="L62" i="8"/>
  <c r="L66" i="8" s="1"/>
  <c r="M62" i="8"/>
  <c r="N62" i="8"/>
  <c r="O62" i="8"/>
  <c r="P62" i="8"/>
  <c r="J62" i="8"/>
  <c r="K61" i="8"/>
  <c r="I16" i="15" s="1"/>
  <c r="L61" i="8"/>
  <c r="J16" i="15" s="1"/>
  <c r="M61" i="8"/>
  <c r="K16" i="15" s="1"/>
  <c r="N61" i="8"/>
  <c r="O61" i="8"/>
  <c r="M16" i="15" s="1"/>
  <c r="P61" i="8"/>
  <c r="J61" i="8"/>
  <c r="H16" i="15" s="1"/>
  <c r="K60" i="8"/>
  <c r="K59" i="8" s="1"/>
  <c r="K66" i="8" s="1"/>
  <c r="L60" i="8"/>
  <c r="M60" i="8"/>
  <c r="M59" i="8" s="1"/>
  <c r="M66" i="8" s="1"/>
  <c r="N60" i="8"/>
  <c r="O60" i="8"/>
  <c r="O59" i="8" s="1"/>
  <c r="P60" i="8"/>
  <c r="J60" i="8"/>
  <c r="J59" i="8" s="1"/>
  <c r="J66" i="8" s="1"/>
  <c r="E57" i="8"/>
  <c r="F57" i="8" s="1"/>
  <c r="G57" i="8" s="1"/>
  <c r="H57" i="8" s="1"/>
  <c r="I57" i="8" s="1"/>
  <c r="J57" i="8" s="1"/>
  <c r="K57" i="8" s="1"/>
  <c r="L57" i="8" s="1"/>
  <c r="M57" i="8" s="1"/>
  <c r="N57" i="8" s="1"/>
  <c r="O57" i="8" s="1"/>
  <c r="P57" i="8" s="1"/>
  <c r="Q57" i="8" s="1"/>
  <c r="R57" i="8" s="1"/>
  <c r="S57" i="8" s="1"/>
  <c r="T57" i="8" s="1"/>
  <c r="U57" i="8" s="1"/>
  <c r="V57" i="8" s="1"/>
  <c r="W57" i="8" s="1"/>
  <c r="X57" i="8" s="1"/>
  <c r="Y57" i="8" s="1"/>
  <c r="Z57" i="8" s="1"/>
  <c r="K43" i="8"/>
  <c r="L43" i="8"/>
  <c r="M43" i="8"/>
  <c r="N43" i="8"/>
  <c r="O43" i="8"/>
  <c r="J136" i="6"/>
  <c r="J43" i="8" s="1"/>
  <c r="K136" i="6"/>
  <c r="L136" i="6"/>
  <c r="M136" i="6"/>
  <c r="N136" i="6"/>
  <c r="O136" i="6"/>
  <c r="K42" i="8"/>
  <c r="K174" i="8" s="1"/>
  <c r="L42" i="8"/>
  <c r="M42" i="8"/>
  <c r="M174" i="8" s="1"/>
  <c r="N42" i="8"/>
  <c r="N174" i="8" s="1"/>
  <c r="O42" i="8"/>
  <c r="P42" i="8"/>
  <c r="P174" i="8" s="1"/>
  <c r="Q42" i="8"/>
  <c r="R42" i="8"/>
  <c r="S42" i="8"/>
  <c r="S174" i="8" s="1"/>
  <c r="T42" i="8"/>
  <c r="U42" i="8"/>
  <c r="U174" i="8" s="1"/>
  <c r="V42" i="8"/>
  <c r="V174" i="8" s="1"/>
  <c r="W42" i="8"/>
  <c r="X42" i="8"/>
  <c r="X174" i="8" s="1"/>
  <c r="J42" i="8"/>
  <c r="J174" i="8" s="1"/>
  <c r="K39" i="8"/>
  <c r="L39" i="8"/>
  <c r="L173" i="8" s="1"/>
  <c r="M39" i="8"/>
  <c r="M173" i="8" s="1"/>
  <c r="N39" i="8"/>
  <c r="O39" i="8"/>
  <c r="O173" i="8" s="1"/>
  <c r="P39" i="8"/>
  <c r="P173" i="8" s="1"/>
  <c r="Q39" i="8"/>
  <c r="Q173" i="8" s="1"/>
  <c r="Q172" i="8" s="1"/>
  <c r="R39" i="8"/>
  <c r="S39" i="8"/>
  <c r="T39" i="8"/>
  <c r="T173" i="8" s="1"/>
  <c r="T172" i="8" s="1"/>
  <c r="U39" i="8"/>
  <c r="U173" i="8" s="1"/>
  <c r="U172" i="8" s="1"/>
  <c r="V39" i="8"/>
  <c r="W39" i="8"/>
  <c r="W173" i="8" s="1"/>
  <c r="W172" i="8" s="1"/>
  <c r="X39" i="8"/>
  <c r="X173" i="8" s="1"/>
  <c r="Y39" i="8"/>
  <c r="Y173" i="8" s="1"/>
  <c r="Z39" i="8"/>
  <c r="J39" i="8"/>
  <c r="K38" i="8"/>
  <c r="L38" i="8"/>
  <c r="M38" i="8"/>
  <c r="N38" i="8"/>
  <c r="O38" i="8"/>
  <c r="P38" i="8"/>
  <c r="Q38" i="8"/>
  <c r="R38" i="8"/>
  <c r="S38" i="8"/>
  <c r="T38" i="8"/>
  <c r="U38" i="8"/>
  <c r="V38" i="8"/>
  <c r="W38" i="8"/>
  <c r="X38" i="8"/>
  <c r="Y38" i="8"/>
  <c r="Z38" i="8"/>
  <c r="J38" i="8"/>
  <c r="K37" i="8"/>
  <c r="L37" i="8"/>
  <c r="M37" i="8"/>
  <c r="M40" i="8" s="1"/>
  <c r="J10" i="15" s="1"/>
  <c r="N37" i="8"/>
  <c r="O37" i="8"/>
  <c r="O40" i="8" s="1"/>
  <c r="L10" i="15" s="1"/>
  <c r="J37" i="8"/>
  <c r="K35" i="8"/>
  <c r="K40" i="8" s="1"/>
  <c r="H10" i="15" s="1"/>
  <c r="L35" i="8"/>
  <c r="L40" i="8" s="1"/>
  <c r="I10" i="15" s="1"/>
  <c r="M35" i="8"/>
  <c r="N35" i="8"/>
  <c r="N40" i="8" s="1"/>
  <c r="K10" i="15" s="1"/>
  <c r="O35" i="8"/>
  <c r="P35" i="8"/>
  <c r="J35" i="8"/>
  <c r="J40" i="8" s="1"/>
  <c r="G10" i="15" s="1"/>
  <c r="K34" i="8"/>
  <c r="L34" i="8"/>
  <c r="M34" i="8"/>
  <c r="N34" i="8"/>
  <c r="O34" i="8"/>
  <c r="P34" i="8"/>
  <c r="J34" i="8"/>
  <c r="K31" i="8"/>
  <c r="L31" i="8"/>
  <c r="M31" i="8"/>
  <c r="N31" i="8"/>
  <c r="O31" i="8"/>
  <c r="P31" i="8"/>
  <c r="J31" i="8"/>
  <c r="Q27" i="8"/>
  <c r="R27" i="8"/>
  <c r="R25" i="8" s="1"/>
  <c r="R136" i="8" s="1"/>
  <c r="R159" i="8" s="1"/>
  <c r="S27" i="8"/>
  <c r="T27" i="8"/>
  <c r="U27" i="8"/>
  <c r="U25" i="8" s="1"/>
  <c r="U136" i="8" s="1"/>
  <c r="U159" i="8" s="1"/>
  <c r="V27" i="8"/>
  <c r="W27" i="8"/>
  <c r="W25" i="8" s="1"/>
  <c r="W136" i="8" s="1"/>
  <c r="W159" i="8" s="1"/>
  <c r="X27" i="8"/>
  <c r="Y27" i="8"/>
  <c r="Z27" i="8"/>
  <c r="Z25" i="8" s="1"/>
  <c r="Z136" i="8" s="1"/>
  <c r="Z159" i="8" s="1"/>
  <c r="Q26" i="8"/>
  <c r="R26" i="8"/>
  <c r="S26" i="8"/>
  <c r="T26" i="8"/>
  <c r="U26" i="8"/>
  <c r="V26" i="8"/>
  <c r="W26" i="8"/>
  <c r="X26" i="8"/>
  <c r="X25" i="8" s="1"/>
  <c r="X136" i="8" s="1"/>
  <c r="X159" i="8" s="1"/>
  <c r="Y26" i="8"/>
  <c r="Z26" i="8"/>
  <c r="S25" i="8"/>
  <c r="S136" i="8" s="1"/>
  <c r="S159" i="8" s="1"/>
  <c r="T25" i="8"/>
  <c r="T136" i="8" s="1"/>
  <c r="T159" i="8" s="1"/>
  <c r="M25" i="8"/>
  <c r="P25" i="8"/>
  <c r="K27" i="8"/>
  <c r="K25" i="8" s="1"/>
  <c r="L27" i="8"/>
  <c r="M27" i="8"/>
  <c r="N27" i="8"/>
  <c r="O27" i="8"/>
  <c r="P27" i="8"/>
  <c r="J27" i="8"/>
  <c r="K26" i="8"/>
  <c r="L26" i="8"/>
  <c r="L25" i="8" s="1"/>
  <c r="M26" i="8"/>
  <c r="N26" i="8"/>
  <c r="N25" i="8" s="1"/>
  <c r="O26" i="8"/>
  <c r="O25" i="8" s="1"/>
  <c r="P26" i="8"/>
  <c r="J26" i="8"/>
  <c r="J25" i="8" s="1"/>
  <c r="K24" i="8"/>
  <c r="H12" i="15" s="1"/>
  <c r="L24" i="8"/>
  <c r="M24" i="8"/>
  <c r="J12" i="15" s="1"/>
  <c r="N24" i="8"/>
  <c r="K12" i="15" s="1"/>
  <c r="O24" i="8"/>
  <c r="L12" i="15" s="1"/>
  <c r="P24" i="8"/>
  <c r="M12" i="15" s="1"/>
  <c r="J24" i="8"/>
  <c r="G12" i="15" s="1"/>
  <c r="K23" i="8"/>
  <c r="L23" i="8"/>
  <c r="M23" i="8"/>
  <c r="N23" i="8"/>
  <c r="O23" i="8"/>
  <c r="P23" i="8"/>
  <c r="J23" i="8"/>
  <c r="K22" i="8"/>
  <c r="L22" i="8"/>
  <c r="M22" i="8"/>
  <c r="N22" i="8"/>
  <c r="O22" i="8"/>
  <c r="P22" i="8"/>
  <c r="J22" i="8"/>
  <c r="K21" i="8"/>
  <c r="L21" i="8"/>
  <c r="M21" i="8"/>
  <c r="N21" i="8"/>
  <c r="O21" i="8"/>
  <c r="P21" i="8"/>
  <c r="J21" i="8"/>
  <c r="N578" i="14"/>
  <c r="N577" i="14"/>
  <c r="M577" i="14"/>
  <c r="G577" i="14"/>
  <c r="D577" i="14"/>
  <c r="N576" i="14"/>
  <c r="M576" i="14"/>
  <c r="G576" i="14"/>
  <c r="D576" i="14"/>
  <c r="N575" i="14"/>
  <c r="M575" i="14"/>
  <c r="G575" i="14"/>
  <c r="D575" i="14"/>
  <c r="N574" i="14"/>
  <c r="M574" i="14"/>
  <c r="G574" i="14"/>
  <c r="D574" i="14"/>
  <c r="N573" i="14"/>
  <c r="M573" i="14"/>
  <c r="G573" i="14"/>
  <c r="D573" i="14"/>
  <c r="N572" i="14"/>
  <c r="M572" i="14"/>
  <c r="G572" i="14"/>
  <c r="D572" i="14"/>
  <c r="N571" i="14"/>
  <c r="M571" i="14"/>
  <c r="G571" i="14"/>
  <c r="D571" i="14"/>
  <c r="N570" i="14"/>
  <c r="M570" i="14"/>
  <c r="G570" i="14"/>
  <c r="D570" i="14"/>
  <c r="N569" i="14"/>
  <c r="M569" i="14"/>
  <c r="G569" i="14"/>
  <c r="D569" i="14"/>
  <c r="N568" i="14"/>
  <c r="M568" i="14"/>
  <c r="G568" i="14"/>
  <c r="D568" i="14"/>
  <c r="N567" i="14"/>
  <c r="M567" i="14"/>
  <c r="G567" i="14"/>
  <c r="D567" i="14"/>
  <c r="N566" i="14"/>
  <c r="M566" i="14"/>
  <c r="G566" i="14"/>
  <c r="D566" i="14"/>
  <c r="N565" i="14"/>
  <c r="M565" i="14"/>
  <c r="G565" i="14"/>
  <c r="D565" i="14"/>
  <c r="N564" i="14"/>
  <c r="M564" i="14"/>
  <c r="G564" i="14"/>
  <c r="D564" i="14"/>
  <c r="N563" i="14"/>
  <c r="M563" i="14"/>
  <c r="G563" i="14"/>
  <c r="D563" i="14"/>
  <c r="N562" i="14"/>
  <c r="M562" i="14"/>
  <c r="G562" i="14"/>
  <c r="D562" i="14"/>
  <c r="N561" i="14"/>
  <c r="M561" i="14"/>
  <c r="G561" i="14"/>
  <c r="D561" i="14"/>
  <c r="N560" i="14"/>
  <c r="M560" i="14"/>
  <c r="G560" i="14"/>
  <c r="D560" i="14"/>
  <c r="N559" i="14"/>
  <c r="M559" i="14"/>
  <c r="G559" i="14"/>
  <c r="D559" i="14"/>
  <c r="N558" i="14"/>
  <c r="M558" i="14"/>
  <c r="G558" i="14"/>
  <c r="D558" i="14"/>
  <c r="N557" i="14"/>
  <c r="M557" i="14"/>
  <c r="G557" i="14"/>
  <c r="D557" i="14"/>
  <c r="N556" i="14"/>
  <c r="M556" i="14"/>
  <c r="G556" i="14"/>
  <c r="D556" i="14"/>
  <c r="N555" i="14"/>
  <c r="M555" i="14"/>
  <c r="G555" i="14"/>
  <c r="D555" i="14"/>
  <c r="N554" i="14"/>
  <c r="M554" i="14"/>
  <c r="G554" i="14"/>
  <c r="D554" i="14"/>
  <c r="N553" i="14"/>
  <c r="M553" i="14"/>
  <c r="G553" i="14"/>
  <c r="D553" i="14"/>
  <c r="N552" i="14"/>
  <c r="M552" i="14"/>
  <c r="G552" i="14"/>
  <c r="D552" i="14"/>
  <c r="N551" i="14"/>
  <c r="M551" i="14"/>
  <c r="G551" i="14"/>
  <c r="D551" i="14"/>
  <c r="N550" i="14"/>
  <c r="M550" i="14"/>
  <c r="G550" i="14"/>
  <c r="D550" i="14"/>
  <c r="N549" i="14"/>
  <c r="M549" i="14"/>
  <c r="G549" i="14"/>
  <c r="D549" i="14"/>
  <c r="N548" i="14"/>
  <c r="M548" i="14"/>
  <c r="G548" i="14"/>
  <c r="D548" i="14"/>
  <c r="N547" i="14"/>
  <c r="M547" i="14"/>
  <c r="G547" i="14"/>
  <c r="D547" i="14"/>
  <c r="N546" i="14"/>
  <c r="M546" i="14"/>
  <c r="G546" i="14"/>
  <c r="D546" i="14"/>
  <c r="N545" i="14"/>
  <c r="M545" i="14"/>
  <c r="G545" i="14"/>
  <c r="D545" i="14"/>
  <c r="N544" i="14"/>
  <c r="M544" i="14"/>
  <c r="G544" i="14"/>
  <c r="D544" i="14"/>
  <c r="N543" i="14"/>
  <c r="M543" i="14"/>
  <c r="G543" i="14"/>
  <c r="D543" i="14"/>
  <c r="N542" i="14"/>
  <c r="M542" i="14"/>
  <c r="G542" i="14"/>
  <c r="D542" i="14"/>
  <c r="N541" i="14"/>
  <c r="M541" i="14"/>
  <c r="G541" i="14"/>
  <c r="D541" i="14"/>
  <c r="N540" i="14"/>
  <c r="M540" i="14"/>
  <c r="G540" i="14"/>
  <c r="D540" i="14"/>
  <c r="N539" i="14"/>
  <c r="M539" i="14"/>
  <c r="G539" i="14"/>
  <c r="D539" i="14"/>
  <c r="N538" i="14"/>
  <c r="M538" i="14"/>
  <c r="G538" i="14"/>
  <c r="D538" i="14"/>
  <c r="N537" i="14"/>
  <c r="M537" i="14"/>
  <c r="G537" i="14"/>
  <c r="D537" i="14"/>
  <c r="N536" i="14"/>
  <c r="M536" i="14"/>
  <c r="G536" i="14"/>
  <c r="D536" i="14"/>
  <c r="N535" i="14"/>
  <c r="M535" i="14"/>
  <c r="G535" i="14"/>
  <c r="D535" i="14"/>
  <c r="N534" i="14"/>
  <c r="M534" i="14"/>
  <c r="G534" i="14"/>
  <c r="D534" i="14"/>
  <c r="N533" i="14"/>
  <c r="M533" i="14"/>
  <c r="G533" i="14"/>
  <c r="D533" i="14"/>
  <c r="N532" i="14"/>
  <c r="M532" i="14"/>
  <c r="G532" i="14"/>
  <c r="D532" i="14"/>
  <c r="N531" i="14"/>
  <c r="M531" i="14"/>
  <c r="G531" i="14"/>
  <c r="D531" i="14"/>
  <c r="N530" i="14"/>
  <c r="M530" i="14"/>
  <c r="G530" i="14"/>
  <c r="D530" i="14"/>
  <c r="N529" i="14"/>
  <c r="M529" i="14"/>
  <c r="G529" i="14"/>
  <c r="D529" i="14"/>
  <c r="N528" i="14"/>
  <c r="M528" i="14"/>
  <c r="G528" i="14"/>
  <c r="D528" i="14"/>
  <c r="N527" i="14"/>
  <c r="M527" i="14"/>
  <c r="G527" i="14"/>
  <c r="D527" i="14"/>
  <c r="N526" i="14"/>
  <c r="M526" i="14"/>
  <c r="G526" i="14"/>
  <c r="D526" i="14"/>
  <c r="N525" i="14"/>
  <c r="M525" i="14"/>
  <c r="G525" i="14"/>
  <c r="D525" i="14"/>
  <c r="N524" i="14"/>
  <c r="M524" i="14"/>
  <c r="G524" i="14"/>
  <c r="D524" i="14"/>
  <c r="N523" i="14"/>
  <c r="M523" i="14"/>
  <c r="G523" i="14"/>
  <c r="D523" i="14"/>
  <c r="N522" i="14"/>
  <c r="M522" i="14"/>
  <c r="G522" i="14"/>
  <c r="D522" i="14"/>
  <c r="N521" i="14"/>
  <c r="M521" i="14"/>
  <c r="G521" i="14"/>
  <c r="D521" i="14"/>
  <c r="N520" i="14"/>
  <c r="M520" i="14"/>
  <c r="G520" i="14"/>
  <c r="D520" i="14"/>
  <c r="N519" i="14"/>
  <c r="M519" i="14"/>
  <c r="G519" i="14"/>
  <c r="D519" i="14"/>
  <c r="N518" i="14"/>
  <c r="M518" i="14"/>
  <c r="G518" i="14"/>
  <c r="D518" i="14"/>
  <c r="N517" i="14"/>
  <c r="M517" i="14"/>
  <c r="G517" i="14"/>
  <c r="D517" i="14"/>
  <c r="N516" i="14"/>
  <c r="M516" i="14"/>
  <c r="G516" i="14"/>
  <c r="D516" i="14"/>
  <c r="N515" i="14"/>
  <c r="M515" i="14"/>
  <c r="G515" i="14"/>
  <c r="D515" i="14"/>
  <c r="N514" i="14"/>
  <c r="M514" i="14"/>
  <c r="G514" i="14"/>
  <c r="D514" i="14"/>
  <c r="N513" i="14"/>
  <c r="M513" i="14"/>
  <c r="G513" i="14"/>
  <c r="D513" i="14"/>
  <c r="N512" i="14"/>
  <c r="M512" i="14"/>
  <c r="G512" i="14"/>
  <c r="D512" i="14"/>
  <c r="N511" i="14"/>
  <c r="M511" i="14"/>
  <c r="G511" i="14"/>
  <c r="D511" i="14"/>
  <c r="N510" i="14"/>
  <c r="M510" i="14"/>
  <c r="G510" i="14"/>
  <c r="D510" i="14"/>
  <c r="N509" i="14"/>
  <c r="M509" i="14"/>
  <c r="G509" i="14"/>
  <c r="D509" i="14"/>
  <c r="N508" i="14"/>
  <c r="M508" i="14"/>
  <c r="G508" i="14"/>
  <c r="D508" i="14"/>
  <c r="N507" i="14"/>
  <c r="M507" i="14"/>
  <c r="G507" i="14"/>
  <c r="D507" i="14"/>
  <c r="N506" i="14"/>
  <c r="M506" i="14"/>
  <c r="G506" i="14"/>
  <c r="D506" i="14"/>
  <c r="N505" i="14"/>
  <c r="M505" i="14"/>
  <c r="G505" i="14"/>
  <c r="D505" i="14"/>
  <c r="N504" i="14"/>
  <c r="M504" i="14"/>
  <c r="G504" i="14"/>
  <c r="D504" i="14"/>
  <c r="N503" i="14"/>
  <c r="M503" i="14"/>
  <c r="G503" i="14"/>
  <c r="D503" i="14"/>
  <c r="N502" i="14"/>
  <c r="M502" i="14"/>
  <c r="G502" i="14"/>
  <c r="D502" i="14"/>
  <c r="N501" i="14"/>
  <c r="M501" i="14"/>
  <c r="G501" i="14"/>
  <c r="D501" i="14"/>
  <c r="N500" i="14"/>
  <c r="M500" i="14"/>
  <c r="G500" i="14"/>
  <c r="D500" i="14"/>
  <c r="N499" i="14"/>
  <c r="M499" i="14"/>
  <c r="G499" i="14"/>
  <c r="D499" i="14"/>
  <c r="N498" i="14"/>
  <c r="M498" i="14"/>
  <c r="G498" i="14"/>
  <c r="D498" i="14"/>
  <c r="N497" i="14"/>
  <c r="M497" i="14"/>
  <c r="G497" i="14"/>
  <c r="D497" i="14"/>
  <c r="N496" i="14"/>
  <c r="M496" i="14"/>
  <c r="G496" i="14"/>
  <c r="D496" i="14"/>
  <c r="N495" i="14"/>
  <c r="M495" i="14"/>
  <c r="G495" i="14"/>
  <c r="D495" i="14"/>
  <c r="N494" i="14"/>
  <c r="M494" i="14"/>
  <c r="G494" i="14"/>
  <c r="D494" i="14"/>
  <c r="N493" i="14"/>
  <c r="M493" i="14"/>
  <c r="G493" i="14"/>
  <c r="D493" i="14"/>
  <c r="N492" i="14"/>
  <c r="M492" i="14"/>
  <c r="G492" i="14"/>
  <c r="D492" i="14"/>
  <c r="N491" i="14"/>
  <c r="M491" i="14"/>
  <c r="G491" i="14"/>
  <c r="D491" i="14"/>
  <c r="N490" i="14"/>
  <c r="M490" i="14"/>
  <c r="G490" i="14"/>
  <c r="D490" i="14"/>
  <c r="N489" i="14"/>
  <c r="M489" i="14"/>
  <c r="G489" i="14"/>
  <c r="D489" i="14"/>
  <c r="N488" i="14"/>
  <c r="M488" i="14"/>
  <c r="G488" i="14"/>
  <c r="D488" i="14"/>
  <c r="N487" i="14"/>
  <c r="M487" i="14"/>
  <c r="G487" i="14"/>
  <c r="D487" i="14"/>
  <c r="N486" i="14"/>
  <c r="M486" i="14"/>
  <c r="G486" i="14"/>
  <c r="D486" i="14"/>
  <c r="N485" i="14"/>
  <c r="M485" i="14"/>
  <c r="G485" i="14"/>
  <c r="D485" i="14"/>
  <c r="N484" i="14"/>
  <c r="M484" i="14"/>
  <c r="G484" i="14"/>
  <c r="D484" i="14"/>
  <c r="N483" i="14"/>
  <c r="M483" i="14"/>
  <c r="G483" i="14"/>
  <c r="D483" i="14"/>
  <c r="N482" i="14"/>
  <c r="M482" i="14"/>
  <c r="G482" i="14"/>
  <c r="D482" i="14"/>
  <c r="N481" i="14"/>
  <c r="M481" i="14"/>
  <c r="G481" i="14"/>
  <c r="D481" i="14"/>
  <c r="N480" i="14"/>
  <c r="M480" i="14"/>
  <c r="G480" i="14"/>
  <c r="D480" i="14"/>
  <c r="N479" i="14"/>
  <c r="M479" i="14"/>
  <c r="G479" i="14"/>
  <c r="D479" i="14"/>
  <c r="N478" i="14"/>
  <c r="M478" i="14"/>
  <c r="G478" i="14"/>
  <c r="D478" i="14"/>
  <c r="N477" i="14"/>
  <c r="M477" i="14"/>
  <c r="G477" i="14"/>
  <c r="D477" i="14"/>
  <c r="N476" i="14"/>
  <c r="M476" i="14"/>
  <c r="G476" i="14"/>
  <c r="D476" i="14"/>
  <c r="N475" i="14"/>
  <c r="M475" i="14"/>
  <c r="G475" i="14"/>
  <c r="D475" i="14"/>
  <c r="N474" i="14"/>
  <c r="M474" i="14"/>
  <c r="G474" i="14"/>
  <c r="D474" i="14"/>
  <c r="N473" i="14"/>
  <c r="M473" i="14"/>
  <c r="G473" i="14"/>
  <c r="D473" i="14"/>
  <c r="N472" i="14"/>
  <c r="M472" i="14"/>
  <c r="G472" i="14"/>
  <c r="D472" i="14"/>
  <c r="N471" i="14"/>
  <c r="M471" i="14"/>
  <c r="G471" i="14"/>
  <c r="D471" i="14"/>
  <c r="N470" i="14"/>
  <c r="M470" i="14"/>
  <c r="G470" i="14"/>
  <c r="D470" i="14"/>
  <c r="N469" i="14"/>
  <c r="M469" i="14"/>
  <c r="G469" i="14"/>
  <c r="D469" i="14"/>
  <c r="N468" i="14"/>
  <c r="M468" i="14"/>
  <c r="G468" i="14"/>
  <c r="D468" i="14"/>
  <c r="N467" i="14"/>
  <c r="M467" i="14"/>
  <c r="G467" i="14"/>
  <c r="D467" i="14"/>
  <c r="N466" i="14"/>
  <c r="M466" i="14"/>
  <c r="G466" i="14"/>
  <c r="D466" i="14"/>
  <c r="N465" i="14"/>
  <c r="M465" i="14"/>
  <c r="G465" i="14"/>
  <c r="D465" i="14"/>
  <c r="N464" i="14"/>
  <c r="M464" i="14"/>
  <c r="G464" i="14"/>
  <c r="D464" i="14"/>
  <c r="N463" i="14"/>
  <c r="M463" i="14"/>
  <c r="G463" i="14"/>
  <c r="D463" i="14"/>
  <c r="N462" i="14"/>
  <c r="M462" i="14"/>
  <c r="G462" i="14"/>
  <c r="D462" i="14"/>
  <c r="N461" i="14"/>
  <c r="M461" i="14"/>
  <c r="G461" i="14"/>
  <c r="D461" i="14"/>
  <c r="N460" i="14"/>
  <c r="M460" i="14"/>
  <c r="G460" i="14"/>
  <c r="D460" i="14"/>
  <c r="N459" i="14"/>
  <c r="M459" i="14"/>
  <c r="G459" i="14"/>
  <c r="D459" i="14"/>
  <c r="N458" i="14"/>
  <c r="M458" i="14"/>
  <c r="G458" i="14"/>
  <c r="D458" i="14"/>
  <c r="N457" i="14"/>
  <c r="M457" i="14"/>
  <c r="G457" i="14"/>
  <c r="D457" i="14"/>
  <c r="N456" i="14"/>
  <c r="M456" i="14"/>
  <c r="G456" i="14"/>
  <c r="D456" i="14"/>
  <c r="N455" i="14"/>
  <c r="M455" i="14"/>
  <c r="G455" i="14"/>
  <c r="D455" i="14"/>
  <c r="N454" i="14"/>
  <c r="M454" i="14"/>
  <c r="G454" i="14"/>
  <c r="D454" i="14"/>
  <c r="N453" i="14"/>
  <c r="M453" i="14"/>
  <c r="G453" i="14"/>
  <c r="D453" i="14"/>
  <c r="N452" i="14"/>
  <c r="M452" i="14"/>
  <c r="G452" i="14"/>
  <c r="D452" i="14"/>
  <c r="N451" i="14"/>
  <c r="M451" i="14"/>
  <c r="G451" i="14"/>
  <c r="D451" i="14"/>
  <c r="N450" i="14"/>
  <c r="M450" i="14"/>
  <c r="G450" i="14"/>
  <c r="D450" i="14"/>
  <c r="N449" i="14"/>
  <c r="M449" i="14"/>
  <c r="G449" i="14"/>
  <c r="D449" i="14"/>
  <c r="N448" i="14"/>
  <c r="M448" i="14"/>
  <c r="G448" i="14"/>
  <c r="D448" i="14"/>
  <c r="N447" i="14"/>
  <c r="M447" i="14"/>
  <c r="G447" i="14"/>
  <c r="D447" i="14"/>
  <c r="N446" i="14"/>
  <c r="M446" i="14"/>
  <c r="G446" i="14"/>
  <c r="D446" i="14"/>
  <c r="N445" i="14"/>
  <c r="M445" i="14"/>
  <c r="G445" i="14"/>
  <c r="D445" i="14"/>
  <c r="N444" i="14"/>
  <c r="M444" i="14"/>
  <c r="G444" i="14"/>
  <c r="D444" i="14"/>
  <c r="N443" i="14"/>
  <c r="M443" i="14"/>
  <c r="G443" i="14"/>
  <c r="D443" i="14"/>
  <c r="N442" i="14"/>
  <c r="M442" i="14"/>
  <c r="G442" i="14"/>
  <c r="D442" i="14"/>
  <c r="N441" i="14"/>
  <c r="M441" i="14"/>
  <c r="G441" i="14"/>
  <c r="D441" i="14"/>
  <c r="N440" i="14"/>
  <c r="M440" i="14"/>
  <c r="G440" i="14"/>
  <c r="D440" i="14"/>
  <c r="N439" i="14"/>
  <c r="M439" i="14"/>
  <c r="G439" i="14"/>
  <c r="D439" i="14"/>
  <c r="N438" i="14"/>
  <c r="M438" i="14"/>
  <c r="G438" i="14"/>
  <c r="D438" i="14"/>
  <c r="N437" i="14"/>
  <c r="M437" i="14"/>
  <c r="G437" i="14"/>
  <c r="D437" i="14"/>
  <c r="N436" i="14"/>
  <c r="M436" i="14"/>
  <c r="G436" i="14"/>
  <c r="D436" i="14"/>
  <c r="N435" i="14"/>
  <c r="M435" i="14"/>
  <c r="G435" i="14"/>
  <c r="D435" i="14"/>
  <c r="N434" i="14"/>
  <c r="M434" i="14"/>
  <c r="G434" i="14"/>
  <c r="D434" i="14"/>
  <c r="N433" i="14"/>
  <c r="M433" i="14"/>
  <c r="G433" i="14"/>
  <c r="D433" i="14"/>
  <c r="N432" i="14"/>
  <c r="M432" i="14"/>
  <c r="G432" i="14"/>
  <c r="D432" i="14"/>
  <c r="N431" i="14"/>
  <c r="M431" i="14"/>
  <c r="G431" i="14"/>
  <c r="D431" i="14"/>
  <c r="N430" i="14"/>
  <c r="M430" i="14"/>
  <c r="G430" i="14"/>
  <c r="D430" i="14"/>
  <c r="N429" i="14"/>
  <c r="M429" i="14"/>
  <c r="G429" i="14"/>
  <c r="D429" i="14"/>
  <c r="N428" i="14"/>
  <c r="M428" i="14"/>
  <c r="G428" i="14"/>
  <c r="D428" i="14"/>
  <c r="N427" i="14"/>
  <c r="M427" i="14"/>
  <c r="G427" i="14"/>
  <c r="D427" i="14"/>
  <c r="N426" i="14"/>
  <c r="M426" i="14"/>
  <c r="G426" i="14"/>
  <c r="D426" i="14"/>
  <c r="N425" i="14"/>
  <c r="M425" i="14"/>
  <c r="G425" i="14"/>
  <c r="D425" i="14"/>
  <c r="N424" i="14"/>
  <c r="M424" i="14"/>
  <c r="G424" i="14"/>
  <c r="D424" i="14"/>
  <c r="N423" i="14"/>
  <c r="M423" i="14"/>
  <c r="G423" i="14"/>
  <c r="D423" i="14"/>
  <c r="N422" i="14"/>
  <c r="M422" i="14"/>
  <c r="G422" i="14"/>
  <c r="D422" i="14"/>
  <c r="N421" i="14"/>
  <c r="M421" i="14"/>
  <c r="G421" i="14"/>
  <c r="D421" i="14"/>
  <c r="N420" i="14"/>
  <c r="M420" i="14"/>
  <c r="G420" i="14"/>
  <c r="D420" i="14"/>
  <c r="N419" i="14"/>
  <c r="M419" i="14"/>
  <c r="G419" i="14"/>
  <c r="D419" i="14"/>
  <c r="N418" i="14"/>
  <c r="M418" i="14"/>
  <c r="G418" i="14"/>
  <c r="D418" i="14"/>
  <c r="N417" i="14"/>
  <c r="M417" i="14"/>
  <c r="G417" i="14"/>
  <c r="D417" i="14"/>
  <c r="N416" i="14"/>
  <c r="M416" i="14"/>
  <c r="G416" i="14"/>
  <c r="D416" i="14"/>
  <c r="N415" i="14"/>
  <c r="M415" i="14"/>
  <c r="G415" i="14"/>
  <c r="D415" i="14"/>
  <c r="N414" i="14"/>
  <c r="M414" i="14"/>
  <c r="G414" i="14"/>
  <c r="D414" i="14"/>
  <c r="N413" i="14"/>
  <c r="M413" i="14"/>
  <c r="G413" i="14"/>
  <c r="D413" i="14"/>
  <c r="N412" i="14"/>
  <c r="M412" i="14"/>
  <c r="G412" i="14"/>
  <c r="D412" i="14"/>
  <c r="N411" i="14"/>
  <c r="M411" i="14"/>
  <c r="G411" i="14"/>
  <c r="D411" i="14"/>
  <c r="N410" i="14"/>
  <c r="M410" i="14"/>
  <c r="G410" i="14"/>
  <c r="D410" i="14"/>
  <c r="N409" i="14"/>
  <c r="M409" i="14"/>
  <c r="G409" i="14"/>
  <c r="D409" i="14"/>
  <c r="N408" i="14"/>
  <c r="M408" i="14"/>
  <c r="G408" i="14"/>
  <c r="D408" i="14"/>
  <c r="N407" i="14"/>
  <c r="M407" i="14"/>
  <c r="G407" i="14"/>
  <c r="D407" i="14"/>
  <c r="N406" i="14"/>
  <c r="M406" i="14"/>
  <c r="G406" i="14"/>
  <c r="D406" i="14"/>
  <c r="N405" i="14"/>
  <c r="M405" i="14"/>
  <c r="G405" i="14"/>
  <c r="D405" i="14"/>
  <c r="N404" i="14"/>
  <c r="M404" i="14"/>
  <c r="G404" i="14"/>
  <c r="D404" i="14"/>
  <c r="N403" i="14"/>
  <c r="M403" i="14"/>
  <c r="G403" i="14"/>
  <c r="D403" i="14"/>
  <c r="N402" i="14"/>
  <c r="M402" i="14"/>
  <c r="G402" i="14"/>
  <c r="D402" i="14"/>
  <c r="N401" i="14"/>
  <c r="M401" i="14"/>
  <c r="G401" i="14"/>
  <c r="D401" i="14"/>
  <c r="N400" i="14"/>
  <c r="M400" i="14"/>
  <c r="G400" i="14"/>
  <c r="D400" i="14"/>
  <c r="N399" i="14"/>
  <c r="M399" i="14"/>
  <c r="G399" i="14"/>
  <c r="D399" i="14"/>
  <c r="N398" i="14"/>
  <c r="M398" i="14"/>
  <c r="G398" i="14"/>
  <c r="D398" i="14"/>
  <c r="N397" i="14"/>
  <c r="M397" i="14"/>
  <c r="G397" i="14"/>
  <c r="D397" i="14"/>
  <c r="N396" i="14"/>
  <c r="M396" i="14"/>
  <c r="G396" i="14"/>
  <c r="D396" i="14"/>
  <c r="N395" i="14"/>
  <c r="M395" i="14"/>
  <c r="G395" i="14"/>
  <c r="D395" i="14"/>
  <c r="N394" i="14"/>
  <c r="M394" i="14"/>
  <c r="G394" i="14"/>
  <c r="D394" i="14"/>
  <c r="N393" i="14"/>
  <c r="M393" i="14"/>
  <c r="G393" i="14"/>
  <c r="D393" i="14"/>
  <c r="N392" i="14"/>
  <c r="M392" i="14"/>
  <c r="G392" i="14"/>
  <c r="D392" i="14"/>
  <c r="N391" i="14"/>
  <c r="M391" i="14"/>
  <c r="G391" i="14"/>
  <c r="D391" i="14"/>
  <c r="N390" i="14"/>
  <c r="M390" i="14"/>
  <c r="G390" i="14"/>
  <c r="D390" i="14"/>
  <c r="N389" i="14"/>
  <c r="M389" i="14"/>
  <c r="G389" i="14"/>
  <c r="D389" i="14"/>
  <c r="N388" i="14"/>
  <c r="M388" i="14"/>
  <c r="G388" i="14"/>
  <c r="D388" i="14"/>
  <c r="N387" i="14"/>
  <c r="M387" i="14"/>
  <c r="G387" i="14"/>
  <c r="D387" i="14"/>
  <c r="N386" i="14"/>
  <c r="M386" i="14"/>
  <c r="G386" i="14"/>
  <c r="D386" i="14"/>
  <c r="N385" i="14"/>
  <c r="M385" i="14"/>
  <c r="G385" i="14"/>
  <c r="D385" i="14"/>
  <c r="N384" i="14"/>
  <c r="M384" i="14"/>
  <c r="G384" i="14"/>
  <c r="D384" i="14"/>
  <c r="N383" i="14"/>
  <c r="M383" i="14"/>
  <c r="G383" i="14"/>
  <c r="D383" i="14"/>
  <c r="N382" i="14"/>
  <c r="M382" i="14"/>
  <c r="G382" i="14"/>
  <c r="D382" i="14"/>
  <c r="N381" i="14"/>
  <c r="M381" i="14"/>
  <c r="G381" i="14"/>
  <c r="D381" i="14"/>
  <c r="N380" i="14"/>
  <c r="M380" i="14"/>
  <c r="G380" i="14"/>
  <c r="D380" i="14"/>
  <c r="N379" i="14"/>
  <c r="M379" i="14"/>
  <c r="G379" i="14"/>
  <c r="D379" i="14"/>
  <c r="N378" i="14"/>
  <c r="M378" i="14"/>
  <c r="G378" i="14"/>
  <c r="D378" i="14"/>
  <c r="N377" i="14"/>
  <c r="M377" i="14"/>
  <c r="G377" i="14"/>
  <c r="D377" i="14"/>
  <c r="N376" i="14"/>
  <c r="M376" i="14"/>
  <c r="G376" i="14"/>
  <c r="D376" i="14"/>
  <c r="N375" i="14"/>
  <c r="M375" i="14"/>
  <c r="G375" i="14"/>
  <c r="D375" i="14"/>
  <c r="N374" i="14"/>
  <c r="M374" i="14"/>
  <c r="G374" i="14"/>
  <c r="D374" i="14"/>
  <c r="N373" i="14"/>
  <c r="M373" i="14"/>
  <c r="G373" i="14"/>
  <c r="D373" i="14"/>
  <c r="N372" i="14"/>
  <c r="M372" i="14"/>
  <c r="G372" i="14"/>
  <c r="D372" i="14"/>
  <c r="N371" i="14"/>
  <c r="M371" i="14"/>
  <c r="G371" i="14"/>
  <c r="D371" i="14"/>
  <c r="N370" i="14"/>
  <c r="M370" i="14"/>
  <c r="G370" i="14"/>
  <c r="D370" i="14"/>
  <c r="N369" i="14"/>
  <c r="M369" i="14"/>
  <c r="G369" i="14"/>
  <c r="D369" i="14"/>
  <c r="N368" i="14"/>
  <c r="M368" i="14"/>
  <c r="G368" i="14"/>
  <c r="D368" i="14"/>
  <c r="N367" i="14"/>
  <c r="M367" i="14"/>
  <c r="G367" i="14"/>
  <c r="D367" i="14"/>
  <c r="N366" i="14"/>
  <c r="M366" i="14"/>
  <c r="G366" i="14"/>
  <c r="D366" i="14"/>
  <c r="N365" i="14"/>
  <c r="M365" i="14"/>
  <c r="G365" i="14"/>
  <c r="D365" i="14"/>
  <c r="N364" i="14"/>
  <c r="M364" i="14"/>
  <c r="G364" i="14"/>
  <c r="D364" i="14"/>
  <c r="N363" i="14"/>
  <c r="M363" i="14"/>
  <c r="G363" i="14"/>
  <c r="D363" i="14"/>
  <c r="N362" i="14"/>
  <c r="M362" i="14"/>
  <c r="G362" i="14"/>
  <c r="D362" i="14"/>
  <c r="N361" i="14"/>
  <c r="M361" i="14"/>
  <c r="G361" i="14"/>
  <c r="D361" i="14"/>
  <c r="N360" i="14"/>
  <c r="M360" i="14"/>
  <c r="G360" i="14"/>
  <c r="D360" i="14"/>
  <c r="N359" i="14"/>
  <c r="M359" i="14"/>
  <c r="G359" i="14"/>
  <c r="D359" i="14"/>
  <c r="N358" i="14"/>
  <c r="M358" i="14"/>
  <c r="G358" i="14"/>
  <c r="D358" i="14"/>
  <c r="N357" i="14"/>
  <c r="M357" i="14"/>
  <c r="G357" i="14"/>
  <c r="D357" i="14"/>
  <c r="N356" i="14"/>
  <c r="M356" i="14"/>
  <c r="G356" i="14"/>
  <c r="D356" i="14"/>
  <c r="N355" i="14"/>
  <c r="M355" i="14"/>
  <c r="G355" i="14"/>
  <c r="D355" i="14"/>
  <c r="N354" i="14"/>
  <c r="M354" i="14"/>
  <c r="G354" i="14"/>
  <c r="D354" i="14"/>
  <c r="N353" i="14"/>
  <c r="M353" i="14"/>
  <c r="G353" i="14"/>
  <c r="D353" i="14"/>
  <c r="N352" i="14"/>
  <c r="M352" i="14"/>
  <c r="G352" i="14"/>
  <c r="D352" i="14"/>
  <c r="N351" i="14"/>
  <c r="M351" i="14"/>
  <c r="G351" i="14"/>
  <c r="D351" i="14"/>
  <c r="N350" i="14"/>
  <c r="M350" i="14"/>
  <c r="G350" i="14"/>
  <c r="D350" i="14"/>
  <c r="N349" i="14"/>
  <c r="M349" i="14"/>
  <c r="G349" i="14"/>
  <c r="D349" i="14"/>
  <c r="N348" i="14"/>
  <c r="M348" i="14"/>
  <c r="G348" i="14"/>
  <c r="D348" i="14"/>
  <c r="N347" i="14"/>
  <c r="M347" i="14"/>
  <c r="G347" i="14"/>
  <c r="D347" i="14"/>
  <c r="N346" i="14"/>
  <c r="M346" i="14"/>
  <c r="G346" i="14"/>
  <c r="D346" i="14"/>
  <c r="N345" i="14"/>
  <c r="M345" i="14"/>
  <c r="G345" i="14"/>
  <c r="D345" i="14"/>
  <c r="N344" i="14"/>
  <c r="M344" i="14"/>
  <c r="G344" i="14"/>
  <c r="D344" i="14"/>
  <c r="N343" i="14"/>
  <c r="M343" i="14"/>
  <c r="G343" i="14"/>
  <c r="D343" i="14"/>
  <c r="N342" i="14"/>
  <c r="M342" i="14"/>
  <c r="G342" i="14"/>
  <c r="D342" i="14"/>
  <c r="N341" i="14"/>
  <c r="M341" i="14"/>
  <c r="G341" i="14"/>
  <c r="D341" i="14"/>
  <c r="N340" i="14"/>
  <c r="M340" i="14"/>
  <c r="G340" i="14"/>
  <c r="D340" i="14"/>
  <c r="N339" i="14"/>
  <c r="M339" i="14"/>
  <c r="G339" i="14"/>
  <c r="D339" i="14"/>
  <c r="N338" i="14"/>
  <c r="M338" i="14"/>
  <c r="G338" i="14"/>
  <c r="D338" i="14"/>
  <c r="N337" i="14"/>
  <c r="M337" i="14"/>
  <c r="G337" i="14"/>
  <c r="D337" i="14"/>
  <c r="N336" i="14"/>
  <c r="M336" i="14"/>
  <c r="G336" i="14"/>
  <c r="D336" i="14"/>
  <c r="N335" i="14"/>
  <c r="M335" i="14"/>
  <c r="G335" i="14"/>
  <c r="D335" i="14"/>
  <c r="N334" i="14"/>
  <c r="M334" i="14"/>
  <c r="G334" i="14"/>
  <c r="D334" i="14"/>
  <c r="N333" i="14"/>
  <c r="M333" i="14"/>
  <c r="G333" i="14"/>
  <c r="D333" i="14"/>
  <c r="N332" i="14"/>
  <c r="M332" i="14"/>
  <c r="G332" i="14"/>
  <c r="D332" i="14"/>
  <c r="N331" i="14"/>
  <c r="M331" i="14"/>
  <c r="G331" i="14"/>
  <c r="D331" i="14"/>
  <c r="N330" i="14"/>
  <c r="M330" i="14"/>
  <c r="G330" i="14"/>
  <c r="D330" i="14"/>
  <c r="N329" i="14"/>
  <c r="M329" i="14"/>
  <c r="G329" i="14"/>
  <c r="D329" i="14"/>
  <c r="N328" i="14"/>
  <c r="M328" i="14"/>
  <c r="G328" i="14"/>
  <c r="D328" i="14"/>
  <c r="N327" i="14"/>
  <c r="M327" i="14"/>
  <c r="G327" i="14"/>
  <c r="D327" i="14"/>
  <c r="N326" i="14"/>
  <c r="M326" i="14"/>
  <c r="G326" i="14"/>
  <c r="D326" i="14"/>
  <c r="N325" i="14"/>
  <c r="M325" i="14"/>
  <c r="G325" i="14"/>
  <c r="D325" i="14"/>
  <c r="N324" i="14"/>
  <c r="M324" i="14"/>
  <c r="G324" i="14"/>
  <c r="D324" i="14"/>
  <c r="N323" i="14"/>
  <c r="M323" i="14"/>
  <c r="G323" i="14"/>
  <c r="D323" i="14"/>
  <c r="N322" i="14"/>
  <c r="M322" i="14"/>
  <c r="G322" i="14"/>
  <c r="D322" i="14"/>
  <c r="N321" i="14"/>
  <c r="M321" i="14"/>
  <c r="G321" i="14"/>
  <c r="D321" i="14"/>
  <c r="N320" i="14"/>
  <c r="M320" i="14"/>
  <c r="G320" i="14"/>
  <c r="D320" i="14"/>
  <c r="N319" i="14"/>
  <c r="M319" i="14"/>
  <c r="G319" i="14"/>
  <c r="D319" i="14"/>
  <c r="N318" i="14"/>
  <c r="M318" i="14"/>
  <c r="G318" i="14"/>
  <c r="D318" i="14"/>
  <c r="N317" i="14"/>
  <c r="M317" i="14"/>
  <c r="G317" i="14"/>
  <c r="D317" i="14"/>
  <c r="N316" i="14"/>
  <c r="M316" i="14"/>
  <c r="G316" i="14"/>
  <c r="D316" i="14"/>
  <c r="N315" i="14"/>
  <c r="M315" i="14"/>
  <c r="G315" i="14"/>
  <c r="D315" i="14"/>
  <c r="N314" i="14"/>
  <c r="M314" i="14"/>
  <c r="G314" i="14"/>
  <c r="D314" i="14"/>
  <c r="N313" i="14"/>
  <c r="M313" i="14"/>
  <c r="G313" i="14"/>
  <c r="D313" i="14"/>
  <c r="N312" i="14"/>
  <c r="M312" i="14"/>
  <c r="G312" i="14"/>
  <c r="D312" i="14"/>
  <c r="N311" i="14"/>
  <c r="M311" i="14"/>
  <c r="G311" i="14"/>
  <c r="D311" i="14"/>
  <c r="N310" i="14"/>
  <c r="M310" i="14"/>
  <c r="G310" i="14"/>
  <c r="D310" i="14"/>
  <c r="N309" i="14"/>
  <c r="M309" i="14"/>
  <c r="G309" i="14"/>
  <c r="D309" i="14"/>
  <c r="N308" i="14"/>
  <c r="M308" i="14"/>
  <c r="G308" i="14"/>
  <c r="D308" i="14"/>
  <c r="N307" i="14"/>
  <c r="M307" i="14"/>
  <c r="G307" i="14"/>
  <c r="D307" i="14"/>
  <c r="N306" i="14"/>
  <c r="M306" i="14"/>
  <c r="G306" i="14"/>
  <c r="D306" i="14"/>
  <c r="N305" i="14"/>
  <c r="M305" i="14"/>
  <c r="G305" i="14"/>
  <c r="D305" i="14"/>
  <c r="N304" i="14"/>
  <c r="M304" i="14"/>
  <c r="G304" i="14"/>
  <c r="D304" i="14"/>
  <c r="N303" i="14"/>
  <c r="M303" i="14"/>
  <c r="G303" i="14"/>
  <c r="D303" i="14"/>
  <c r="N302" i="14"/>
  <c r="M302" i="14"/>
  <c r="G302" i="14"/>
  <c r="D302" i="14"/>
  <c r="N301" i="14"/>
  <c r="M301" i="14"/>
  <c r="G301" i="14"/>
  <c r="D301" i="14"/>
  <c r="N300" i="14"/>
  <c r="M300" i="14"/>
  <c r="G300" i="14"/>
  <c r="D300" i="14"/>
  <c r="N299" i="14"/>
  <c r="M299" i="14"/>
  <c r="G299" i="14"/>
  <c r="D299" i="14"/>
  <c r="N298" i="14"/>
  <c r="M298" i="14"/>
  <c r="G298" i="14"/>
  <c r="D298" i="14"/>
  <c r="N297" i="14"/>
  <c r="M297" i="14"/>
  <c r="G297" i="14"/>
  <c r="D297" i="14"/>
  <c r="N296" i="14"/>
  <c r="M296" i="14"/>
  <c r="G296" i="14"/>
  <c r="D296" i="14"/>
  <c r="N295" i="14"/>
  <c r="M295" i="14"/>
  <c r="G295" i="14"/>
  <c r="D295" i="14"/>
  <c r="N294" i="14"/>
  <c r="M294" i="14"/>
  <c r="G294" i="14"/>
  <c r="D294" i="14"/>
  <c r="N293" i="14"/>
  <c r="M293" i="14"/>
  <c r="G293" i="14"/>
  <c r="D293" i="14"/>
  <c r="N292" i="14"/>
  <c r="M292" i="14"/>
  <c r="G292" i="14"/>
  <c r="D292" i="14"/>
  <c r="N291" i="14"/>
  <c r="M291" i="14"/>
  <c r="G291" i="14"/>
  <c r="D291" i="14"/>
  <c r="T290" i="14"/>
  <c r="S290" i="14"/>
  <c r="N290" i="14"/>
  <c r="M290" i="14"/>
  <c r="G290" i="14"/>
  <c r="D290" i="14"/>
  <c r="T289" i="14"/>
  <c r="S289" i="14"/>
  <c r="N289" i="14"/>
  <c r="M289" i="14"/>
  <c r="G289" i="14"/>
  <c r="D289" i="14"/>
  <c r="T288" i="14"/>
  <c r="S288" i="14"/>
  <c r="N288" i="14"/>
  <c r="M288" i="14"/>
  <c r="G288" i="14"/>
  <c r="D288" i="14"/>
  <c r="T287" i="14"/>
  <c r="S287" i="14"/>
  <c r="N287" i="14"/>
  <c r="M287" i="14"/>
  <c r="G287" i="14"/>
  <c r="D287" i="14"/>
  <c r="T286" i="14"/>
  <c r="S286" i="14"/>
  <c r="N286" i="14"/>
  <c r="M286" i="14"/>
  <c r="G286" i="14"/>
  <c r="D286" i="14"/>
  <c r="T285" i="14"/>
  <c r="S285" i="14"/>
  <c r="N285" i="14"/>
  <c r="M285" i="14"/>
  <c r="G285" i="14"/>
  <c r="D285" i="14"/>
  <c r="T284" i="14"/>
  <c r="S284" i="14"/>
  <c r="N284" i="14"/>
  <c r="M284" i="14"/>
  <c r="G284" i="14"/>
  <c r="D284" i="14"/>
  <c r="T283" i="14"/>
  <c r="S283" i="14"/>
  <c r="N283" i="14"/>
  <c r="M283" i="14"/>
  <c r="G283" i="14"/>
  <c r="D283" i="14"/>
  <c r="T282" i="14"/>
  <c r="S282" i="14"/>
  <c r="N282" i="14"/>
  <c r="M282" i="14"/>
  <c r="G282" i="14"/>
  <c r="D282" i="14"/>
  <c r="T281" i="14"/>
  <c r="S281" i="14"/>
  <c r="N281" i="14"/>
  <c r="M281" i="14"/>
  <c r="G281" i="14"/>
  <c r="D281" i="14"/>
  <c r="T280" i="14"/>
  <c r="S280" i="14"/>
  <c r="N280" i="14"/>
  <c r="M280" i="14"/>
  <c r="G280" i="14"/>
  <c r="D280" i="14"/>
  <c r="T279" i="14"/>
  <c r="S279" i="14"/>
  <c r="N279" i="14"/>
  <c r="M279" i="14"/>
  <c r="G279" i="14"/>
  <c r="D279" i="14"/>
  <c r="T278" i="14"/>
  <c r="S278" i="14"/>
  <c r="N278" i="14"/>
  <c r="M278" i="14"/>
  <c r="G278" i="14"/>
  <c r="D278" i="14"/>
  <c r="T277" i="14"/>
  <c r="S277" i="14"/>
  <c r="N277" i="14"/>
  <c r="M277" i="14"/>
  <c r="G277" i="14"/>
  <c r="D277" i="14"/>
  <c r="T276" i="14"/>
  <c r="S276" i="14"/>
  <c r="N276" i="14"/>
  <c r="M276" i="14"/>
  <c r="G276" i="14"/>
  <c r="D276" i="14"/>
  <c r="T275" i="14"/>
  <c r="S275" i="14"/>
  <c r="N275" i="14"/>
  <c r="M275" i="14"/>
  <c r="G275" i="14"/>
  <c r="D275" i="14"/>
  <c r="T274" i="14"/>
  <c r="S274" i="14"/>
  <c r="N274" i="14"/>
  <c r="M274" i="14"/>
  <c r="G274" i="14"/>
  <c r="D274" i="14"/>
  <c r="T273" i="14"/>
  <c r="S273" i="14"/>
  <c r="N273" i="14"/>
  <c r="M273" i="14"/>
  <c r="G273" i="14"/>
  <c r="D273" i="14"/>
  <c r="T272" i="14"/>
  <c r="S272" i="14"/>
  <c r="N272" i="14"/>
  <c r="M272" i="14"/>
  <c r="G272" i="14"/>
  <c r="D272" i="14"/>
  <c r="T271" i="14"/>
  <c r="S271" i="14"/>
  <c r="N271" i="14"/>
  <c r="M271" i="14"/>
  <c r="G271" i="14"/>
  <c r="D271" i="14"/>
  <c r="T270" i="14"/>
  <c r="S270" i="14"/>
  <c r="N270" i="14"/>
  <c r="M270" i="14"/>
  <c r="G270" i="14"/>
  <c r="D270" i="14"/>
  <c r="T269" i="14"/>
  <c r="S269" i="14"/>
  <c r="N269" i="14"/>
  <c r="M269" i="14"/>
  <c r="G269" i="14"/>
  <c r="D269" i="14"/>
  <c r="T268" i="14"/>
  <c r="S268" i="14"/>
  <c r="N268" i="14"/>
  <c r="M268" i="14"/>
  <c r="G268" i="14"/>
  <c r="D268" i="14"/>
  <c r="T267" i="14"/>
  <c r="S267" i="14"/>
  <c r="N267" i="14"/>
  <c r="M267" i="14"/>
  <c r="G267" i="14"/>
  <c r="D267" i="14"/>
  <c r="T266" i="14"/>
  <c r="S266" i="14"/>
  <c r="N266" i="14"/>
  <c r="M266" i="14"/>
  <c r="G266" i="14"/>
  <c r="D266" i="14"/>
  <c r="T265" i="14"/>
  <c r="S265" i="14"/>
  <c r="N265" i="14"/>
  <c r="M265" i="14"/>
  <c r="G265" i="14"/>
  <c r="D265" i="14"/>
  <c r="T264" i="14"/>
  <c r="S264" i="14"/>
  <c r="N264" i="14"/>
  <c r="M264" i="14"/>
  <c r="G264" i="14"/>
  <c r="D264" i="14"/>
  <c r="T263" i="14"/>
  <c r="S263" i="14"/>
  <c r="N263" i="14"/>
  <c r="M263" i="14"/>
  <c r="G263" i="14"/>
  <c r="D263" i="14"/>
  <c r="T262" i="14"/>
  <c r="S262" i="14"/>
  <c r="N262" i="14"/>
  <c r="M262" i="14"/>
  <c r="G262" i="14"/>
  <c r="D262" i="14"/>
  <c r="T261" i="14"/>
  <c r="S261" i="14"/>
  <c r="N261" i="14"/>
  <c r="M261" i="14"/>
  <c r="G261" i="14"/>
  <c r="D261" i="14"/>
  <c r="T260" i="14"/>
  <c r="S260" i="14"/>
  <c r="N260" i="14"/>
  <c r="M260" i="14"/>
  <c r="G260" i="14"/>
  <c r="D260" i="14"/>
  <c r="T259" i="14"/>
  <c r="S259" i="14"/>
  <c r="N259" i="14"/>
  <c r="M259" i="14"/>
  <c r="G259" i="14"/>
  <c r="D259" i="14"/>
  <c r="T258" i="14"/>
  <c r="S258" i="14"/>
  <c r="N258" i="14"/>
  <c r="M258" i="14"/>
  <c r="G258" i="14"/>
  <c r="D258" i="14"/>
  <c r="T257" i="14"/>
  <c r="S257" i="14"/>
  <c r="N257" i="14"/>
  <c r="M257" i="14"/>
  <c r="G257" i="14"/>
  <c r="D257" i="14"/>
  <c r="T256" i="14"/>
  <c r="S256" i="14"/>
  <c r="N256" i="14"/>
  <c r="M256" i="14"/>
  <c r="G256" i="14"/>
  <c r="D256" i="14"/>
  <c r="T255" i="14"/>
  <c r="S255" i="14"/>
  <c r="N255" i="14"/>
  <c r="M255" i="14"/>
  <c r="G255" i="14"/>
  <c r="D255" i="14"/>
  <c r="T254" i="14"/>
  <c r="S254" i="14"/>
  <c r="N254" i="14"/>
  <c r="M254" i="14"/>
  <c r="G254" i="14"/>
  <c r="D254" i="14"/>
  <c r="T253" i="14"/>
  <c r="S253" i="14"/>
  <c r="N253" i="14"/>
  <c r="M253" i="14"/>
  <c r="G253" i="14"/>
  <c r="D253" i="14"/>
  <c r="T252" i="14"/>
  <c r="S252" i="14"/>
  <c r="N252" i="14"/>
  <c r="M252" i="14"/>
  <c r="G252" i="14"/>
  <c r="D252" i="14"/>
  <c r="T251" i="14"/>
  <c r="S251" i="14"/>
  <c r="N251" i="14"/>
  <c r="M251" i="14"/>
  <c r="G251" i="14"/>
  <c r="D251" i="14"/>
  <c r="T250" i="14"/>
  <c r="S250" i="14"/>
  <c r="N250" i="14"/>
  <c r="M250" i="14"/>
  <c r="G250" i="14"/>
  <c r="D250" i="14"/>
  <c r="T249" i="14"/>
  <c r="S249" i="14"/>
  <c r="N249" i="14"/>
  <c r="M249" i="14"/>
  <c r="G249" i="14"/>
  <c r="D249" i="14"/>
  <c r="T248" i="14"/>
  <c r="S248" i="14"/>
  <c r="N248" i="14"/>
  <c r="M248" i="14"/>
  <c r="G248" i="14"/>
  <c r="D248" i="14"/>
  <c r="T247" i="14"/>
  <c r="S247" i="14"/>
  <c r="N247" i="14"/>
  <c r="M247" i="14"/>
  <c r="G247" i="14"/>
  <c r="D247" i="14"/>
  <c r="T246" i="14"/>
  <c r="S246" i="14"/>
  <c r="N246" i="14"/>
  <c r="M246" i="14"/>
  <c r="G246" i="14"/>
  <c r="D246" i="14"/>
  <c r="T245" i="14"/>
  <c r="S245" i="14"/>
  <c r="N245" i="14"/>
  <c r="M245" i="14"/>
  <c r="G245" i="14"/>
  <c r="D245" i="14"/>
  <c r="T244" i="14"/>
  <c r="S244" i="14"/>
  <c r="N244" i="14"/>
  <c r="M244" i="14"/>
  <c r="G244" i="14"/>
  <c r="D244" i="14"/>
  <c r="T243" i="14"/>
  <c r="S243" i="14"/>
  <c r="N243" i="14"/>
  <c r="M243" i="14"/>
  <c r="G243" i="14"/>
  <c r="D243" i="14"/>
  <c r="T242" i="14"/>
  <c r="S242" i="14"/>
  <c r="N242" i="14"/>
  <c r="M242" i="14"/>
  <c r="G242" i="14"/>
  <c r="D242" i="14"/>
  <c r="T241" i="14"/>
  <c r="S241" i="14"/>
  <c r="N241" i="14"/>
  <c r="M241" i="14"/>
  <c r="G241" i="14"/>
  <c r="D241" i="14"/>
  <c r="T240" i="14"/>
  <c r="S240" i="14"/>
  <c r="N240" i="14"/>
  <c r="M240" i="14"/>
  <c r="G240" i="14"/>
  <c r="D240" i="14"/>
  <c r="T239" i="14"/>
  <c r="S239" i="14"/>
  <c r="N239" i="14"/>
  <c r="M239" i="14"/>
  <c r="G239" i="14"/>
  <c r="D239" i="14"/>
  <c r="T238" i="14"/>
  <c r="S238" i="14"/>
  <c r="N238" i="14"/>
  <c r="M238" i="14"/>
  <c r="G238" i="14"/>
  <c r="D238" i="14"/>
  <c r="T237" i="14"/>
  <c r="S237" i="14"/>
  <c r="N237" i="14"/>
  <c r="M237" i="14"/>
  <c r="G237" i="14"/>
  <c r="D237" i="14"/>
  <c r="T236" i="14"/>
  <c r="S236" i="14"/>
  <c r="N236" i="14"/>
  <c r="M236" i="14"/>
  <c r="G236" i="14"/>
  <c r="D236" i="14"/>
  <c r="T235" i="14"/>
  <c r="S235" i="14"/>
  <c r="N235" i="14"/>
  <c r="M235" i="14"/>
  <c r="G235" i="14"/>
  <c r="D235" i="14"/>
  <c r="T234" i="14"/>
  <c r="S234" i="14"/>
  <c r="N234" i="14"/>
  <c r="M234" i="14"/>
  <c r="G234" i="14"/>
  <c r="D234" i="14"/>
  <c r="T233" i="14"/>
  <c r="S233" i="14"/>
  <c r="N233" i="14"/>
  <c r="M233" i="14"/>
  <c r="G233" i="14"/>
  <c r="D233" i="14"/>
  <c r="T232" i="14"/>
  <c r="S232" i="14"/>
  <c r="N232" i="14"/>
  <c r="M232" i="14"/>
  <c r="G232" i="14"/>
  <c r="D232" i="14"/>
  <c r="T231" i="14"/>
  <c r="S231" i="14"/>
  <c r="N231" i="14"/>
  <c r="M231" i="14"/>
  <c r="G231" i="14"/>
  <c r="D231" i="14"/>
  <c r="T230" i="14"/>
  <c r="S230" i="14"/>
  <c r="N230" i="14"/>
  <c r="M230" i="14"/>
  <c r="G230" i="14"/>
  <c r="D230" i="14"/>
  <c r="T229" i="14"/>
  <c r="S229" i="14"/>
  <c r="N229" i="14"/>
  <c r="M229" i="14"/>
  <c r="G229" i="14"/>
  <c r="D229" i="14"/>
  <c r="T228" i="14"/>
  <c r="S228" i="14"/>
  <c r="N228" i="14"/>
  <c r="M228" i="14"/>
  <c r="G228" i="14"/>
  <c r="D228" i="14"/>
  <c r="T227" i="14"/>
  <c r="S227" i="14"/>
  <c r="N227" i="14"/>
  <c r="M227" i="14"/>
  <c r="G227" i="14"/>
  <c r="D227" i="14"/>
  <c r="T226" i="14"/>
  <c r="S226" i="14"/>
  <c r="N226" i="14"/>
  <c r="M226" i="14"/>
  <c r="G226" i="14"/>
  <c r="D226" i="14"/>
  <c r="T225" i="14"/>
  <c r="S225" i="14"/>
  <c r="N225" i="14"/>
  <c r="M225" i="14"/>
  <c r="G225" i="14"/>
  <c r="D225" i="14"/>
  <c r="T224" i="14"/>
  <c r="S224" i="14"/>
  <c r="N224" i="14"/>
  <c r="M224" i="14"/>
  <c r="G224" i="14"/>
  <c r="D224" i="14"/>
  <c r="T223" i="14"/>
  <c r="S223" i="14"/>
  <c r="N223" i="14"/>
  <c r="M223" i="14"/>
  <c r="G223" i="14"/>
  <c r="D223" i="14"/>
  <c r="T222" i="14"/>
  <c r="S222" i="14"/>
  <c r="N222" i="14"/>
  <c r="M222" i="14"/>
  <c r="G222" i="14"/>
  <c r="D222" i="14"/>
  <c r="T221" i="14"/>
  <c r="S221" i="14"/>
  <c r="N221" i="14"/>
  <c r="M221" i="14"/>
  <c r="G221" i="14"/>
  <c r="D221" i="14"/>
  <c r="T220" i="14"/>
  <c r="S220" i="14"/>
  <c r="N220" i="14"/>
  <c r="M220" i="14"/>
  <c r="G220" i="14"/>
  <c r="D220" i="14"/>
  <c r="T219" i="14"/>
  <c r="S219" i="14"/>
  <c r="N219" i="14"/>
  <c r="M219" i="14"/>
  <c r="G219" i="14"/>
  <c r="D219" i="14"/>
  <c r="T218" i="14"/>
  <c r="S218" i="14"/>
  <c r="N218" i="14"/>
  <c r="M218" i="14"/>
  <c r="G218" i="14"/>
  <c r="D218" i="14"/>
  <c r="T217" i="14"/>
  <c r="S217" i="14"/>
  <c r="N217" i="14"/>
  <c r="M217" i="14"/>
  <c r="G217" i="14"/>
  <c r="D217" i="14"/>
  <c r="T216" i="14"/>
  <c r="S216" i="14"/>
  <c r="N216" i="14"/>
  <c r="M216" i="14"/>
  <c r="G216" i="14"/>
  <c r="D216" i="14"/>
  <c r="T215" i="14"/>
  <c r="S215" i="14"/>
  <c r="N215" i="14"/>
  <c r="M215" i="14"/>
  <c r="G215" i="14"/>
  <c r="D215" i="14"/>
  <c r="T214" i="14"/>
  <c r="S214" i="14"/>
  <c r="N214" i="14"/>
  <c r="M214" i="14"/>
  <c r="G214" i="14"/>
  <c r="D214" i="14"/>
  <c r="T213" i="14"/>
  <c r="S213" i="14"/>
  <c r="N213" i="14"/>
  <c r="M213" i="14"/>
  <c r="G213" i="14"/>
  <c r="D213" i="14"/>
  <c r="T212" i="14"/>
  <c r="S212" i="14"/>
  <c r="N212" i="14"/>
  <c r="M212" i="14"/>
  <c r="G212" i="14"/>
  <c r="D212" i="14"/>
  <c r="T211" i="14"/>
  <c r="S211" i="14"/>
  <c r="N211" i="14"/>
  <c r="M211" i="14"/>
  <c r="G211" i="14"/>
  <c r="D211" i="14"/>
  <c r="T210" i="14"/>
  <c r="S210" i="14"/>
  <c r="N210" i="14"/>
  <c r="M210" i="14"/>
  <c r="G210" i="14"/>
  <c r="D210" i="14"/>
  <c r="T209" i="14"/>
  <c r="S209" i="14"/>
  <c r="N209" i="14"/>
  <c r="M209" i="14"/>
  <c r="G209" i="14"/>
  <c r="D209" i="14"/>
  <c r="T208" i="14"/>
  <c r="S208" i="14"/>
  <c r="N208" i="14"/>
  <c r="M208" i="14"/>
  <c r="G208" i="14"/>
  <c r="D208" i="14"/>
  <c r="T207" i="14"/>
  <c r="S207" i="14"/>
  <c r="N207" i="14"/>
  <c r="M207" i="14"/>
  <c r="G207" i="14"/>
  <c r="D207" i="14"/>
  <c r="T206" i="14"/>
  <c r="S206" i="14"/>
  <c r="N206" i="14"/>
  <c r="M206" i="14"/>
  <c r="G206" i="14"/>
  <c r="D206" i="14"/>
  <c r="T205" i="14"/>
  <c r="S205" i="14"/>
  <c r="N205" i="14"/>
  <c r="M205" i="14"/>
  <c r="G205" i="14"/>
  <c r="D205" i="14"/>
  <c r="T204" i="14"/>
  <c r="S204" i="14"/>
  <c r="N204" i="14"/>
  <c r="M204" i="14"/>
  <c r="G204" i="14"/>
  <c r="D204" i="14"/>
  <c r="T203" i="14"/>
  <c r="S203" i="14"/>
  <c r="N203" i="14"/>
  <c r="M203" i="14"/>
  <c r="G203" i="14"/>
  <c r="D203" i="14"/>
  <c r="T202" i="14"/>
  <c r="S202" i="14"/>
  <c r="N202" i="14"/>
  <c r="M202" i="14"/>
  <c r="G202" i="14"/>
  <c r="D202" i="14"/>
  <c r="T201" i="14"/>
  <c r="S201" i="14"/>
  <c r="N201" i="14"/>
  <c r="M201" i="14"/>
  <c r="G201" i="14"/>
  <c r="D201" i="14"/>
  <c r="T200" i="14"/>
  <c r="S200" i="14"/>
  <c r="N200" i="14"/>
  <c r="M200" i="14"/>
  <c r="G200" i="14"/>
  <c r="D200" i="14"/>
  <c r="T199" i="14"/>
  <c r="S199" i="14"/>
  <c r="N199" i="14"/>
  <c r="M199" i="14"/>
  <c r="G199" i="14"/>
  <c r="D199" i="14"/>
  <c r="T198" i="14"/>
  <c r="S198" i="14"/>
  <c r="N198" i="14"/>
  <c r="M198" i="14"/>
  <c r="G198" i="14"/>
  <c r="D198" i="14"/>
  <c r="T197" i="14"/>
  <c r="S197" i="14"/>
  <c r="N197" i="14"/>
  <c r="M197" i="14"/>
  <c r="G197" i="14"/>
  <c r="D197" i="14"/>
  <c r="T196" i="14"/>
  <c r="S196" i="14"/>
  <c r="N196" i="14"/>
  <c r="M196" i="14"/>
  <c r="G196" i="14"/>
  <c r="D196" i="14"/>
  <c r="T195" i="14"/>
  <c r="S195" i="14"/>
  <c r="N195" i="14"/>
  <c r="M195" i="14"/>
  <c r="G195" i="14"/>
  <c r="D195" i="14"/>
  <c r="T194" i="14"/>
  <c r="S194" i="14"/>
  <c r="N194" i="14"/>
  <c r="M194" i="14"/>
  <c r="G194" i="14"/>
  <c r="D194" i="14"/>
  <c r="T193" i="14"/>
  <c r="S193" i="14"/>
  <c r="N193" i="14"/>
  <c r="M193" i="14"/>
  <c r="G193" i="14"/>
  <c r="D193" i="14"/>
  <c r="T192" i="14"/>
  <c r="S192" i="14"/>
  <c r="N192" i="14"/>
  <c r="M192" i="14"/>
  <c r="G192" i="14"/>
  <c r="D192" i="14"/>
  <c r="T191" i="14"/>
  <c r="S191" i="14"/>
  <c r="N191" i="14"/>
  <c r="M191" i="14"/>
  <c r="G191" i="14"/>
  <c r="D191" i="14"/>
  <c r="T190" i="14"/>
  <c r="S190" i="14"/>
  <c r="N190" i="14"/>
  <c r="M190" i="14"/>
  <c r="G190" i="14"/>
  <c r="D190" i="14"/>
  <c r="T189" i="14"/>
  <c r="S189" i="14"/>
  <c r="N189" i="14"/>
  <c r="M189" i="14"/>
  <c r="G189" i="14"/>
  <c r="D189" i="14"/>
  <c r="T188" i="14"/>
  <c r="S188" i="14"/>
  <c r="N188" i="14"/>
  <c r="M188" i="14"/>
  <c r="G188" i="14"/>
  <c r="D188" i="14"/>
  <c r="T187" i="14"/>
  <c r="S187" i="14"/>
  <c r="N187" i="14"/>
  <c r="M187" i="14"/>
  <c r="G187" i="14"/>
  <c r="D187" i="14"/>
  <c r="T186" i="14"/>
  <c r="S186" i="14"/>
  <c r="N186" i="14"/>
  <c r="M186" i="14"/>
  <c r="G186" i="14"/>
  <c r="D186" i="14"/>
  <c r="T185" i="14"/>
  <c r="S185" i="14"/>
  <c r="N185" i="14"/>
  <c r="M185" i="14"/>
  <c r="G185" i="14"/>
  <c r="D185" i="14"/>
  <c r="T184" i="14"/>
  <c r="S184" i="14"/>
  <c r="N184" i="14"/>
  <c r="M184" i="14"/>
  <c r="G184" i="14"/>
  <c r="D184" i="14"/>
  <c r="T183" i="14"/>
  <c r="S183" i="14"/>
  <c r="N183" i="14"/>
  <c r="M183" i="14"/>
  <c r="G183" i="14"/>
  <c r="D183" i="14"/>
  <c r="T182" i="14"/>
  <c r="S182" i="14"/>
  <c r="N182" i="14"/>
  <c r="M182" i="14"/>
  <c r="G182" i="14"/>
  <c r="D182" i="14"/>
  <c r="T181" i="14"/>
  <c r="S181" i="14"/>
  <c r="N181" i="14"/>
  <c r="M181" i="14"/>
  <c r="G181" i="14"/>
  <c r="D181" i="14"/>
  <c r="T180" i="14"/>
  <c r="S180" i="14"/>
  <c r="N180" i="14"/>
  <c r="M180" i="14"/>
  <c r="G180" i="14"/>
  <c r="D180" i="14"/>
  <c r="T179" i="14"/>
  <c r="S179" i="14"/>
  <c r="N179" i="14"/>
  <c r="M179" i="14"/>
  <c r="G179" i="14"/>
  <c r="D179" i="14"/>
  <c r="T178" i="14"/>
  <c r="S178" i="14"/>
  <c r="N178" i="14"/>
  <c r="M178" i="14"/>
  <c r="G178" i="14"/>
  <c r="D178" i="14"/>
  <c r="T177" i="14"/>
  <c r="S177" i="14"/>
  <c r="N177" i="14"/>
  <c r="M177" i="14"/>
  <c r="G177" i="14"/>
  <c r="D177" i="14"/>
  <c r="T176" i="14"/>
  <c r="S176" i="14"/>
  <c r="N176" i="14"/>
  <c r="M176" i="14"/>
  <c r="G176" i="14"/>
  <c r="D176" i="14"/>
  <c r="T175" i="14"/>
  <c r="S175" i="14"/>
  <c r="N175" i="14"/>
  <c r="M175" i="14"/>
  <c r="G175" i="14"/>
  <c r="D175" i="14"/>
  <c r="T174" i="14"/>
  <c r="S174" i="14"/>
  <c r="N174" i="14"/>
  <c r="M174" i="14"/>
  <c r="G174" i="14"/>
  <c r="D174" i="14"/>
  <c r="T173" i="14"/>
  <c r="S173" i="14"/>
  <c r="N173" i="14"/>
  <c r="M173" i="14"/>
  <c r="G173" i="14"/>
  <c r="D173" i="14"/>
  <c r="T172" i="14"/>
  <c r="S172" i="14"/>
  <c r="N172" i="14"/>
  <c r="M172" i="14"/>
  <c r="G172" i="14"/>
  <c r="D172" i="14"/>
  <c r="T171" i="14"/>
  <c r="S171" i="14"/>
  <c r="N171" i="14"/>
  <c r="M171" i="14"/>
  <c r="G171" i="14"/>
  <c r="D171" i="14"/>
  <c r="T170" i="14"/>
  <c r="S170" i="14"/>
  <c r="N170" i="14"/>
  <c r="M170" i="14"/>
  <c r="G170" i="14"/>
  <c r="D170" i="14"/>
  <c r="T169" i="14"/>
  <c r="S169" i="14"/>
  <c r="N169" i="14"/>
  <c r="M169" i="14"/>
  <c r="G169" i="14"/>
  <c r="D169" i="14"/>
  <c r="T168" i="14"/>
  <c r="S168" i="14"/>
  <c r="N168" i="14"/>
  <c r="M168" i="14"/>
  <c r="G168" i="14"/>
  <c r="D168" i="14"/>
  <c r="T167" i="14"/>
  <c r="S167" i="14"/>
  <c r="N167" i="14"/>
  <c r="M167" i="14"/>
  <c r="G167" i="14"/>
  <c r="D167" i="14"/>
  <c r="T166" i="14"/>
  <c r="S166" i="14"/>
  <c r="N166" i="14"/>
  <c r="M166" i="14"/>
  <c r="G166" i="14"/>
  <c r="D166" i="14"/>
  <c r="T165" i="14"/>
  <c r="S165" i="14"/>
  <c r="N165" i="14"/>
  <c r="M165" i="14"/>
  <c r="G165" i="14"/>
  <c r="D165" i="14"/>
  <c r="T164" i="14"/>
  <c r="S164" i="14"/>
  <c r="N164" i="14"/>
  <c r="M164" i="14"/>
  <c r="G164" i="14"/>
  <c r="D164" i="14"/>
  <c r="T163" i="14"/>
  <c r="S163" i="14"/>
  <c r="N163" i="14"/>
  <c r="M163" i="14"/>
  <c r="G163" i="14"/>
  <c r="D163" i="14"/>
  <c r="T162" i="14"/>
  <c r="S162" i="14"/>
  <c r="N162" i="14"/>
  <c r="M162" i="14"/>
  <c r="G162" i="14"/>
  <c r="D162" i="14"/>
  <c r="T161" i="14"/>
  <c r="S161" i="14"/>
  <c r="N161" i="14"/>
  <c r="M161" i="14"/>
  <c r="G161" i="14"/>
  <c r="D161" i="14"/>
  <c r="T160" i="14"/>
  <c r="S160" i="14"/>
  <c r="N160" i="14"/>
  <c r="M160" i="14"/>
  <c r="G160" i="14"/>
  <c r="D160" i="14"/>
  <c r="T159" i="14"/>
  <c r="S159" i="14"/>
  <c r="N159" i="14"/>
  <c r="M159" i="14"/>
  <c r="G159" i="14"/>
  <c r="D159" i="14"/>
  <c r="T158" i="14"/>
  <c r="S158" i="14"/>
  <c r="N158" i="14"/>
  <c r="M158" i="14"/>
  <c r="G158" i="14"/>
  <c r="D158" i="14"/>
  <c r="T157" i="14"/>
  <c r="S157" i="14"/>
  <c r="N157" i="14"/>
  <c r="M157" i="14"/>
  <c r="G157" i="14"/>
  <c r="D157" i="14"/>
  <c r="T156" i="14"/>
  <c r="S156" i="14"/>
  <c r="N156" i="14"/>
  <c r="M156" i="14"/>
  <c r="G156" i="14"/>
  <c r="D156" i="14"/>
  <c r="T155" i="14"/>
  <c r="S155" i="14"/>
  <c r="N155" i="14"/>
  <c r="M155" i="14"/>
  <c r="G155" i="14"/>
  <c r="D155" i="14"/>
  <c r="T154" i="14"/>
  <c r="S154" i="14"/>
  <c r="N154" i="14"/>
  <c r="M154" i="14"/>
  <c r="G154" i="14"/>
  <c r="D154" i="14"/>
  <c r="T153" i="14"/>
  <c r="S153" i="14"/>
  <c r="N153" i="14"/>
  <c r="M153" i="14"/>
  <c r="G153" i="14"/>
  <c r="D153" i="14"/>
  <c r="T152" i="14"/>
  <c r="S152" i="14"/>
  <c r="N152" i="14"/>
  <c r="M152" i="14"/>
  <c r="G152" i="14"/>
  <c r="D152" i="14"/>
  <c r="T151" i="14"/>
  <c r="S151" i="14"/>
  <c r="N151" i="14"/>
  <c r="M151" i="14"/>
  <c r="G151" i="14"/>
  <c r="D151" i="14"/>
  <c r="T150" i="14"/>
  <c r="S150" i="14"/>
  <c r="N150" i="14"/>
  <c r="M150" i="14"/>
  <c r="G150" i="14"/>
  <c r="D150" i="14"/>
  <c r="T149" i="14"/>
  <c r="S149" i="14"/>
  <c r="N149" i="14"/>
  <c r="M149" i="14"/>
  <c r="G149" i="14"/>
  <c r="D149" i="14"/>
  <c r="T148" i="14"/>
  <c r="S148" i="14"/>
  <c r="N148" i="14"/>
  <c r="M148" i="14"/>
  <c r="G148" i="14"/>
  <c r="D148" i="14"/>
  <c r="T147" i="14"/>
  <c r="S147" i="14"/>
  <c r="N147" i="14"/>
  <c r="M147" i="14"/>
  <c r="G147" i="14"/>
  <c r="D147" i="14"/>
  <c r="T146" i="14"/>
  <c r="S146" i="14"/>
  <c r="N146" i="14"/>
  <c r="M146" i="14"/>
  <c r="G146" i="14"/>
  <c r="D146" i="14"/>
  <c r="T145" i="14"/>
  <c r="S145" i="14"/>
  <c r="N145" i="14"/>
  <c r="M145" i="14"/>
  <c r="G145" i="14"/>
  <c r="D145" i="14"/>
  <c r="T144" i="14"/>
  <c r="S144" i="14"/>
  <c r="N144" i="14"/>
  <c r="M144" i="14"/>
  <c r="G144" i="14"/>
  <c r="D144" i="14"/>
  <c r="T143" i="14"/>
  <c r="S143" i="14"/>
  <c r="N143" i="14"/>
  <c r="M143" i="14"/>
  <c r="G143" i="14"/>
  <c r="D143" i="14"/>
  <c r="T142" i="14"/>
  <c r="S142" i="14"/>
  <c r="N142" i="14"/>
  <c r="M142" i="14"/>
  <c r="G142" i="14"/>
  <c r="D142" i="14"/>
  <c r="T141" i="14"/>
  <c r="S141" i="14"/>
  <c r="N141" i="14"/>
  <c r="M141" i="14"/>
  <c r="G141" i="14"/>
  <c r="D141" i="14"/>
  <c r="T140" i="14"/>
  <c r="S140" i="14"/>
  <c r="N140" i="14"/>
  <c r="M140" i="14"/>
  <c r="G140" i="14"/>
  <c r="D140" i="14"/>
  <c r="T139" i="14"/>
  <c r="S139" i="14"/>
  <c r="N139" i="14"/>
  <c r="M139" i="14"/>
  <c r="G139" i="14"/>
  <c r="D139" i="14"/>
  <c r="T138" i="14"/>
  <c r="S138" i="14"/>
  <c r="N138" i="14"/>
  <c r="M138" i="14"/>
  <c r="G138" i="14"/>
  <c r="D138" i="14"/>
  <c r="T137" i="14"/>
  <c r="S137" i="14"/>
  <c r="N137" i="14"/>
  <c r="M137" i="14"/>
  <c r="G137" i="14"/>
  <c r="D137" i="14"/>
  <c r="T136" i="14"/>
  <c r="S136" i="14"/>
  <c r="N136" i="14"/>
  <c r="M136" i="14"/>
  <c r="G136" i="14"/>
  <c r="D136" i="14"/>
  <c r="T135" i="14"/>
  <c r="S135" i="14"/>
  <c r="N135" i="14"/>
  <c r="M135" i="14"/>
  <c r="G135" i="14"/>
  <c r="D135" i="14"/>
  <c r="T134" i="14"/>
  <c r="S134" i="14"/>
  <c r="N134" i="14"/>
  <c r="M134" i="14"/>
  <c r="G134" i="14"/>
  <c r="D134" i="14"/>
  <c r="T133" i="14"/>
  <c r="S133" i="14"/>
  <c r="N133" i="14"/>
  <c r="M133" i="14"/>
  <c r="G133" i="14"/>
  <c r="D133" i="14"/>
  <c r="T132" i="14"/>
  <c r="S132" i="14"/>
  <c r="N132" i="14"/>
  <c r="M132" i="14"/>
  <c r="G132" i="14"/>
  <c r="D132" i="14"/>
  <c r="T131" i="14"/>
  <c r="S131" i="14"/>
  <c r="N131" i="14"/>
  <c r="M131" i="14"/>
  <c r="G131" i="14"/>
  <c r="D131" i="14"/>
  <c r="T130" i="14"/>
  <c r="S130" i="14"/>
  <c r="N130" i="14"/>
  <c r="M130" i="14"/>
  <c r="G130" i="14"/>
  <c r="D130" i="14"/>
  <c r="T129" i="14"/>
  <c r="S129" i="14"/>
  <c r="N129" i="14"/>
  <c r="M129" i="14"/>
  <c r="G129" i="14"/>
  <c r="D129" i="14"/>
  <c r="T128" i="14"/>
  <c r="S128" i="14"/>
  <c r="N128" i="14"/>
  <c r="M128" i="14"/>
  <c r="G128" i="14"/>
  <c r="D128" i="14"/>
  <c r="T127" i="14"/>
  <c r="S127" i="14"/>
  <c r="N127" i="14"/>
  <c r="M127" i="14"/>
  <c r="G127" i="14"/>
  <c r="D127" i="14"/>
  <c r="T126" i="14"/>
  <c r="S126" i="14"/>
  <c r="N126" i="14"/>
  <c r="M126" i="14"/>
  <c r="G126" i="14"/>
  <c r="D126" i="14"/>
  <c r="T125" i="14"/>
  <c r="S125" i="14"/>
  <c r="N125" i="14"/>
  <c r="M125" i="14"/>
  <c r="G125" i="14"/>
  <c r="D125" i="14"/>
  <c r="T124" i="14"/>
  <c r="S124" i="14"/>
  <c r="N124" i="14"/>
  <c r="M124" i="14"/>
  <c r="G124" i="14"/>
  <c r="D124" i="14"/>
  <c r="T123" i="14"/>
  <c r="S123" i="14"/>
  <c r="N123" i="14"/>
  <c r="M123" i="14"/>
  <c r="G123" i="14"/>
  <c r="D123" i="14"/>
  <c r="T122" i="14"/>
  <c r="S122" i="14"/>
  <c r="N122" i="14"/>
  <c r="M122" i="14"/>
  <c r="G122" i="14"/>
  <c r="D122" i="14"/>
  <c r="T121" i="14"/>
  <c r="S121" i="14"/>
  <c r="N121" i="14"/>
  <c r="M121" i="14"/>
  <c r="G121" i="14"/>
  <c r="D121" i="14"/>
  <c r="T120" i="14"/>
  <c r="S120" i="14"/>
  <c r="N120" i="14"/>
  <c r="M120" i="14"/>
  <c r="G120" i="14"/>
  <c r="D120" i="14"/>
  <c r="T119" i="14"/>
  <c r="S119" i="14"/>
  <c r="N119" i="14"/>
  <c r="M119" i="14"/>
  <c r="G119" i="14"/>
  <c r="D119" i="14"/>
  <c r="T118" i="14"/>
  <c r="S118" i="14"/>
  <c r="N118" i="14"/>
  <c r="M118" i="14"/>
  <c r="G118" i="14"/>
  <c r="D118" i="14"/>
  <c r="T117" i="14"/>
  <c r="S117" i="14"/>
  <c r="N117" i="14"/>
  <c r="M117" i="14"/>
  <c r="G117" i="14"/>
  <c r="D117" i="14"/>
  <c r="T116" i="14"/>
  <c r="S116" i="14"/>
  <c r="N116" i="14"/>
  <c r="M116" i="14"/>
  <c r="G116" i="14"/>
  <c r="D116" i="14"/>
  <c r="T115" i="14"/>
  <c r="S115" i="14"/>
  <c r="N115" i="14"/>
  <c r="M115" i="14"/>
  <c r="G115" i="14"/>
  <c r="D115" i="14"/>
  <c r="T114" i="14"/>
  <c r="S114" i="14"/>
  <c r="N114" i="14"/>
  <c r="M114" i="14"/>
  <c r="G114" i="14"/>
  <c r="D114" i="14"/>
  <c r="T113" i="14"/>
  <c r="S113" i="14"/>
  <c r="N113" i="14"/>
  <c r="M113" i="14"/>
  <c r="G113" i="14"/>
  <c r="D113" i="14"/>
  <c r="T112" i="14"/>
  <c r="S112" i="14"/>
  <c r="N112" i="14"/>
  <c r="M112" i="14"/>
  <c r="G112" i="14"/>
  <c r="D112" i="14"/>
  <c r="T111" i="14"/>
  <c r="S111" i="14"/>
  <c r="N111" i="14"/>
  <c r="M111" i="14"/>
  <c r="G111" i="14"/>
  <c r="D111" i="14"/>
  <c r="T110" i="14"/>
  <c r="S110" i="14"/>
  <c r="N110" i="14"/>
  <c r="M110" i="14"/>
  <c r="G110" i="14"/>
  <c r="D110" i="14"/>
  <c r="T109" i="14"/>
  <c r="S109" i="14"/>
  <c r="N109" i="14"/>
  <c r="M109" i="14"/>
  <c r="G109" i="14"/>
  <c r="D109" i="14"/>
  <c r="T108" i="14"/>
  <c r="S108" i="14"/>
  <c r="N108" i="14"/>
  <c r="M108" i="14"/>
  <c r="G108" i="14"/>
  <c r="D108" i="14"/>
  <c r="T107" i="14"/>
  <c r="S107" i="14"/>
  <c r="N107" i="14"/>
  <c r="M107" i="14"/>
  <c r="G107" i="14"/>
  <c r="D107" i="14"/>
  <c r="T106" i="14"/>
  <c r="S106" i="14"/>
  <c r="N106" i="14"/>
  <c r="M106" i="14"/>
  <c r="G106" i="14"/>
  <c r="D106" i="14"/>
  <c r="T105" i="14"/>
  <c r="S105" i="14"/>
  <c r="N105" i="14"/>
  <c r="M105" i="14"/>
  <c r="G105" i="14"/>
  <c r="D105" i="14"/>
  <c r="T104" i="14"/>
  <c r="S104" i="14"/>
  <c r="N104" i="14"/>
  <c r="M104" i="14"/>
  <c r="G104" i="14"/>
  <c r="D104" i="14"/>
  <c r="T103" i="14"/>
  <c r="S103" i="14"/>
  <c r="N103" i="14"/>
  <c r="M103" i="14"/>
  <c r="G103" i="14"/>
  <c r="D103" i="14"/>
  <c r="T102" i="14"/>
  <c r="S102" i="14"/>
  <c r="N102" i="14"/>
  <c r="M102" i="14"/>
  <c r="G102" i="14"/>
  <c r="D102" i="14"/>
  <c r="T101" i="14"/>
  <c r="S101" i="14"/>
  <c r="N101" i="14"/>
  <c r="M101" i="14"/>
  <c r="G101" i="14"/>
  <c r="D101" i="14"/>
  <c r="T100" i="14"/>
  <c r="S100" i="14"/>
  <c r="N100" i="14"/>
  <c r="M100" i="14"/>
  <c r="G100" i="14"/>
  <c r="D100" i="14"/>
  <c r="T99" i="14"/>
  <c r="S99" i="14"/>
  <c r="N99" i="14"/>
  <c r="M99" i="14"/>
  <c r="G99" i="14"/>
  <c r="D99" i="14"/>
  <c r="T98" i="14"/>
  <c r="S98" i="14"/>
  <c r="N98" i="14"/>
  <c r="M98" i="14"/>
  <c r="G98" i="14"/>
  <c r="D98" i="14"/>
  <c r="T97" i="14"/>
  <c r="S97" i="14"/>
  <c r="N97" i="14"/>
  <c r="M97" i="14"/>
  <c r="G97" i="14"/>
  <c r="D97" i="14"/>
  <c r="T96" i="14"/>
  <c r="S96" i="14"/>
  <c r="N96" i="14"/>
  <c r="M96" i="14"/>
  <c r="G96" i="14"/>
  <c r="D96" i="14"/>
  <c r="T95" i="14"/>
  <c r="S95" i="14"/>
  <c r="N95" i="14"/>
  <c r="M95" i="14"/>
  <c r="G95" i="14"/>
  <c r="D95" i="14"/>
  <c r="T94" i="14"/>
  <c r="S94" i="14"/>
  <c r="N94" i="14"/>
  <c r="M94" i="14"/>
  <c r="G94" i="14"/>
  <c r="D94" i="14"/>
  <c r="T93" i="14"/>
  <c r="S93" i="14"/>
  <c r="N93" i="14"/>
  <c r="M93" i="14"/>
  <c r="G93" i="14"/>
  <c r="D93" i="14"/>
  <c r="T92" i="14"/>
  <c r="S92" i="14"/>
  <c r="N92" i="14"/>
  <c r="M92" i="14"/>
  <c r="G92" i="14"/>
  <c r="D92" i="14"/>
  <c r="T91" i="14"/>
  <c r="S91" i="14"/>
  <c r="N91" i="14"/>
  <c r="M91" i="14"/>
  <c r="G91" i="14"/>
  <c r="D91" i="14"/>
  <c r="T90" i="14"/>
  <c r="S90" i="14"/>
  <c r="N90" i="14"/>
  <c r="M90" i="14"/>
  <c r="G90" i="14"/>
  <c r="D90" i="14"/>
  <c r="T89" i="14"/>
  <c r="S89" i="14"/>
  <c r="N89" i="14"/>
  <c r="M89" i="14"/>
  <c r="G89" i="14"/>
  <c r="D89" i="14"/>
  <c r="T88" i="14"/>
  <c r="S88" i="14"/>
  <c r="N88" i="14"/>
  <c r="M88" i="14"/>
  <c r="G88" i="14"/>
  <c r="D88" i="14"/>
  <c r="T87" i="14"/>
  <c r="S87" i="14"/>
  <c r="N87" i="14"/>
  <c r="M87" i="14"/>
  <c r="G87" i="14"/>
  <c r="D87" i="14"/>
  <c r="T86" i="14"/>
  <c r="S86" i="14"/>
  <c r="N86" i="14"/>
  <c r="M86" i="14"/>
  <c r="G86" i="14"/>
  <c r="D86" i="14"/>
  <c r="T85" i="14"/>
  <c r="S85" i="14"/>
  <c r="N85" i="14"/>
  <c r="M85" i="14"/>
  <c r="G85" i="14"/>
  <c r="D85" i="14"/>
  <c r="T84" i="14"/>
  <c r="S84" i="14"/>
  <c r="N84" i="14"/>
  <c r="M84" i="14"/>
  <c r="G84" i="14"/>
  <c r="D84" i="14"/>
  <c r="T83" i="14"/>
  <c r="S83" i="14"/>
  <c r="N83" i="14"/>
  <c r="M83" i="14"/>
  <c r="G83" i="14"/>
  <c r="D83" i="14"/>
  <c r="T82" i="14"/>
  <c r="S82" i="14"/>
  <c r="N82" i="14"/>
  <c r="M82" i="14"/>
  <c r="G82" i="14"/>
  <c r="D82" i="14"/>
  <c r="T81" i="14"/>
  <c r="S81" i="14"/>
  <c r="N81" i="14"/>
  <c r="M81" i="14"/>
  <c r="G81" i="14"/>
  <c r="D81" i="14"/>
  <c r="T80" i="14"/>
  <c r="S80" i="14"/>
  <c r="N80" i="14"/>
  <c r="M80" i="14"/>
  <c r="G80" i="14"/>
  <c r="D80" i="14"/>
  <c r="T79" i="14"/>
  <c r="S79" i="14"/>
  <c r="N79" i="14"/>
  <c r="M79" i="14"/>
  <c r="G79" i="14"/>
  <c r="D79" i="14"/>
  <c r="T78" i="14"/>
  <c r="S78" i="14"/>
  <c r="N78" i="14"/>
  <c r="M78" i="14"/>
  <c r="G78" i="14"/>
  <c r="D78" i="14"/>
  <c r="T77" i="14"/>
  <c r="S77" i="14"/>
  <c r="N77" i="14"/>
  <c r="M77" i="14"/>
  <c r="G77" i="14"/>
  <c r="D77" i="14"/>
  <c r="T76" i="14"/>
  <c r="S76" i="14"/>
  <c r="N76" i="14"/>
  <c r="M76" i="14"/>
  <c r="G76" i="14"/>
  <c r="D76" i="14"/>
  <c r="T75" i="14"/>
  <c r="S75" i="14"/>
  <c r="N75" i="14"/>
  <c r="M75" i="14"/>
  <c r="G75" i="14"/>
  <c r="D75" i="14"/>
  <c r="T74" i="14"/>
  <c r="S74" i="14"/>
  <c r="N74" i="14"/>
  <c r="M74" i="14"/>
  <c r="G74" i="14"/>
  <c r="D74" i="14"/>
  <c r="T73" i="14"/>
  <c r="S73" i="14"/>
  <c r="N73" i="14"/>
  <c r="M73" i="14"/>
  <c r="G73" i="14"/>
  <c r="D73" i="14"/>
  <c r="T72" i="14"/>
  <c r="S72" i="14"/>
  <c r="N72" i="14"/>
  <c r="M72" i="14"/>
  <c r="G72" i="14"/>
  <c r="D72" i="14"/>
  <c r="T71" i="14"/>
  <c r="S71" i="14"/>
  <c r="N71" i="14"/>
  <c r="M71" i="14"/>
  <c r="G71" i="14"/>
  <c r="D71" i="14"/>
  <c r="T70" i="14"/>
  <c r="S70" i="14"/>
  <c r="N70" i="14"/>
  <c r="M70" i="14"/>
  <c r="G70" i="14"/>
  <c r="D70" i="14"/>
  <c r="T69" i="14"/>
  <c r="S69" i="14"/>
  <c r="N69" i="14"/>
  <c r="M69" i="14"/>
  <c r="G69" i="14"/>
  <c r="D69" i="14"/>
  <c r="T68" i="14"/>
  <c r="S68" i="14"/>
  <c r="N68" i="14"/>
  <c r="M68" i="14"/>
  <c r="G68" i="14"/>
  <c r="D68" i="14"/>
  <c r="T67" i="14"/>
  <c r="S67" i="14"/>
  <c r="N67" i="14"/>
  <c r="M67" i="14"/>
  <c r="G67" i="14"/>
  <c r="D67" i="14"/>
  <c r="T66" i="14"/>
  <c r="S66" i="14"/>
  <c r="N66" i="14"/>
  <c r="M66" i="14"/>
  <c r="G66" i="14"/>
  <c r="D66" i="14"/>
  <c r="T65" i="14"/>
  <c r="S65" i="14"/>
  <c r="N65" i="14"/>
  <c r="M65" i="14"/>
  <c r="G65" i="14"/>
  <c r="D65" i="14"/>
  <c r="T64" i="14"/>
  <c r="S64" i="14"/>
  <c r="N64" i="14"/>
  <c r="M64" i="14"/>
  <c r="G64" i="14"/>
  <c r="D64" i="14"/>
  <c r="T63" i="14"/>
  <c r="S63" i="14"/>
  <c r="N63" i="14"/>
  <c r="M63" i="14"/>
  <c r="G63" i="14"/>
  <c r="D63" i="14"/>
  <c r="T62" i="14"/>
  <c r="S62" i="14"/>
  <c r="N62" i="14"/>
  <c r="M62" i="14"/>
  <c r="G62" i="14"/>
  <c r="D62" i="14"/>
  <c r="T61" i="14"/>
  <c r="S61" i="14"/>
  <c r="N61" i="14"/>
  <c r="M61" i="14"/>
  <c r="G61" i="14"/>
  <c r="D61" i="14"/>
  <c r="T60" i="14"/>
  <c r="S60" i="14"/>
  <c r="N60" i="14"/>
  <c r="M60" i="14"/>
  <c r="G60" i="14"/>
  <c r="D60" i="14"/>
  <c r="T59" i="14"/>
  <c r="S59" i="14"/>
  <c r="N59" i="14"/>
  <c r="M59" i="14"/>
  <c r="G59" i="14"/>
  <c r="D59" i="14"/>
  <c r="T58" i="14"/>
  <c r="S58" i="14"/>
  <c r="N58" i="14"/>
  <c r="M58" i="14"/>
  <c r="G58" i="14"/>
  <c r="D58" i="14"/>
  <c r="T57" i="14"/>
  <c r="S57" i="14"/>
  <c r="N57" i="14"/>
  <c r="M57" i="14"/>
  <c r="G57" i="14"/>
  <c r="D57" i="14"/>
  <c r="T56" i="14"/>
  <c r="S56" i="14"/>
  <c r="N56" i="14"/>
  <c r="M56" i="14"/>
  <c r="G56" i="14"/>
  <c r="D56" i="14"/>
  <c r="T55" i="14"/>
  <c r="S55" i="14"/>
  <c r="N55" i="14"/>
  <c r="M55" i="14"/>
  <c r="G55" i="14"/>
  <c r="D55" i="14"/>
  <c r="T54" i="14"/>
  <c r="S54" i="14"/>
  <c r="N54" i="14"/>
  <c r="M54" i="14"/>
  <c r="G54" i="14"/>
  <c r="D54" i="14"/>
  <c r="T53" i="14"/>
  <c r="S53" i="14"/>
  <c r="N53" i="14"/>
  <c r="M53" i="14"/>
  <c r="G53" i="14"/>
  <c r="D53" i="14"/>
  <c r="T52" i="14"/>
  <c r="S52" i="14"/>
  <c r="N52" i="14"/>
  <c r="M52" i="14"/>
  <c r="G52" i="14"/>
  <c r="D52" i="14"/>
  <c r="T51" i="14"/>
  <c r="S51" i="14"/>
  <c r="N51" i="14"/>
  <c r="M51" i="14"/>
  <c r="G51" i="14"/>
  <c r="D51" i="14"/>
  <c r="T50" i="14"/>
  <c r="S50" i="14"/>
  <c r="N50" i="14"/>
  <c r="M50" i="14"/>
  <c r="G50" i="14"/>
  <c r="D50" i="14"/>
  <c r="T49" i="14"/>
  <c r="S49" i="14"/>
  <c r="N49" i="14"/>
  <c r="M49" i="14"/>
  <c r="G49" i="14"/>
  <c r="D49" i="14"/>
  <c r="T48" i="14"/>
  <c r="S48" i="14"/>
  <c r="N48" i="14"/>
  <c r="M48" i="14"/>
  <c r="G48" i="14"/>
  <c r="D48" i="14"/>
  <c r="T47" i="14"/>
  <c r="S47" i="14"/>
  <c r="N47" i="14"/>
  <c r="M47" i="14"/>
  <c r="G47" i="14"/>
  <c r="D47" i="14"/>
  <c r="T46" i="14"/>
  <c r="S46" i="14"/>
  <c r="N46" i="14"/>
  <c r="M46" i="14"/>
  <c r="G46" i="14"/>
  <c r="D46" i="14"/>
  <c r="T45" i="14"/>
  <c r="S45" i="14"/>
  <c r="N45" i="14"/>
  <c r="M45" i="14"/>
  <c r="G45" i="14"/>
  <c r="D45" i="14"/>
  <c r="T44" i="14"/>
  <c r="S44" i="14"/>
  <c r="N44" i="14"/>
  <c r="M44" i="14"/>
  <c r="G44" i="14"/>
  <c r="D44" i="14"/>
  <c r="T43" i="14"/>
  <c r="S43" i="14"/>
  <c r="N43" i="14"/>
  <c r="M43" i="14"/>
  <c r="G43" i="14"/>
  <c r="D43" i="14"/>
  <c r="T42" i="14"/>
  <c r="S42" i="14"/>
  <c r="N42" i="14"/>
  <c r="M42" i="14"/>
  <c r="G42" i="14"/>
  <c r="D42" i="14"/>
  <c r="T41" i="14"/>
  <c r="S41" i="14"/>
  <c r="N41" i="14"/>
  <c r="M41" i="14"/>
  <c r="G41" i="14"/>
  <c r="D41" i="14"/>
  <c r="T40" i="14"/>
  <c r="S40" i="14"/>
  <c r="N40" i="14"/>
  <c r="M40" i="14"/>
  <c r="G40" i="14"/>
  <c r="D40" i="14"/>
  <c r="T39" i="14"/>
  <c r="S39" i="14"/>
  <c r="N39" i="14"/>
  <c r="M39" i="14"/>
  <c r="G39" i="14"/>
  <c r="D39" i="14"/>
  <c r="T38" i="14"/>
  <c r="S38" i="14"/>
  <c r="N38" i="14"/>
  <c r="M38" i="14"/>
  <c r="G38" i="14"/>
  <c r="D38" i="14"/>
  <c r="T37" i="14"/>
  <c r="S37" i="14"/>
  <c r="N37" i="14"/>
  <c r="M37" i="14"/>
  <c r="G37" i="14"/>
  <c r="D37" i="14"/>
  <c r="T36" i="14"/>
  <c r="S36" i="14"/>
  <c r="N36" i="14"/>
  <c r="M36" i="14"/>
  <c r="G36" i="14"/>
  <c r="D36" i="14"/>
  <c r="T35" i="14"/>
  <c r="S35" i="14"/>
  <c r="N35" i="14"/>
  <c r="M35" i="14"/>
  <c r="G35" i="14"/>
  <c r="D35" i="14"/>
  <c r="T34" i="14"/>
  <c r="S34" i="14"/>
  <c r="N34" i="14"/>
  <c r="M34" i="14"/>
  <c r="G34" i="14"/>
  <c r="D34" i="14"/>
  <c r="T33" i="14"/>
  <c r="S33" i="14"/>
  <c r="N33" i="14"/>
  <c r="M33" i="14"/>
  <c r="G33" i="14"/>
  <c r="D33" i="14"/>
  <c r="T32" i="14"/>
  <c r="S32" i="14"/>
  <c r="N32" i="14"/>
  <c r="M32" i="14"/>
  <c r="G32" i="14"/>
  <c r="D32" i="14"/>
  <c r="T31" i="14"/>
  <c r="S31" i="14"/>
  <c r="N31" i="14"/>
  <c r="M31" i="14"/>
  <c r="G31" i="14"/>
  <c r="D31" i="14"/>
  <c r="T30" i="14"/>
  <c r="S30" i="14"/>
  <c r="S22" i="14" s="1"/>
  <c r="N30" i="14"/>
  <c r="M30" i="14"/>
  <c r="G30" i="14"/>
  <c r="D30" i="14"/>
  <c r="S29" i="14"/>
  <c r="N29" i="14"/>
  <c r="M29" i="14"/>
  <c r="G29" i="14"/>
  <c r="D29" i="14"/>
  <c r="N28" i="14"/>
  <c r="M28" i="14"/>
  <c r="G28" i="14"/>
  <c r="D28" i="14"/>
  <c r="N27" i="14"/>
  <c r="M27" i="14"/>
  <c r="G27" i="14"/>
  <c r="D27" i="14"/>
  <c r="N26" i="14"/>
  <c r="M26" i="14"/>
  <c r="G26" i="14"/>
  <c r="D26" i="14"/>
  <c r="N25" i="14"/>
  <c r="M25" i="14"/>
  <c r="G25" i="14"/>
  <c r="D25" i="14"/>
  <c r="D21" i="17"/>
  <c r="W11" i="17" s="1"/>
  <c r="N24" i="14"/>
  <c r="M24" i="14"/>
  <c r="G24" i="14"/>
  <c r="D24" i="14"/>
  <c r="Q25" i="14"/>
  <c r="D10" i="17" s="1"/>
  <c r="D43" i="15" s="1"/>
  <c r="N23" i="14"/>
  <c r="M23" i="14"/>
  <c r="G23" i="14"/>
  <c r="D23" i="14"/>
  <c r="N22" i="14"/>
  <c r="M22" i="14"/>
  <c r="L22" i="14"/>
  <c r="G22" i="14"/>
  <c r="D22" i="14"/>
  <c r="N21" i="14"/>
  <c r="M21" i="14"/>
  <c r="G21" i="14"/>
  <c r="D21" i="14"/>
  <c r="N20" i="14"/>
  <c r="M20" i="14"/>
  <c r="L20" i="14"/>
  <c r="L23" i="14" s="1"/>
  <c r="G20" i="14"/>
  <c r="D20" i="14"/>
  <c r="N19" i="14"/>
  <c r="M19" i="14"/>
  <c r="G19" i="14"/>
  <c r="D19" i="14"/>
  <c r="N18" i="14"/>
  <c r="M18" i="14"/>
  <c r="G18" i="14"/>
  <c r="D18" i="14"/>
  <c r="N17" i="14"/>
  <c r="M17" i="14"/>
  <c r="G17" i="14"/>
  <c r="D17" i="14"/>
  <c r="N16" i="14"/>
  <c r="M16" i="14"/>
  <c r="G16" i="14"/>
  <c r="D16" i="14"/>
  <c r="N15" i="14"/>
  <c r="M15" i="14"/>
  <c r="G15" i="14"/>
  <c r="D15" i="14"/>
  <c r="N14" i="14"/>
  <c r="M14" i="14"/>
  <c r="L14" i="14"/>
  <c r="L17" i="14" s="1"/>
  <c r="G14" i="14"/>
  <c r="D14" i="14"/>
  <c r="N13" i="14"/>
  <c r="M13" i="14"/>
  <c r="G13" i="14"/>
  <c r="D13" i="14"/>
  <c r="N12" i="14"/>
  <c r="M12" i="14"/>
  <c r="G12" i="14"/>
  <c r="D12" i="14"/>
  <c r="N11" i="14"/>
  <c r="M11" i="14"/>
  <c r="G11" i="14"/>
  <c r="D11" i="14"/>
  <c r="N10" i="14"/>
  <c r="M10" i="14"/>
  <c r="G10" i="14"/>
  <c r="D10" i="14"/>
  <c r="N9" i="14"/>
  <c r="M9" i="14"/>
  <c r="G9" i="14"/>
  <c r="D9" i="14"/>
  <c r="N8" i="14"/>
  <c r="M8" i="14"/>
  <c r="G8" i="14"/>
  <c r="D8" i="14"/>
  <c r="N7" i="14"/>
  <c r="M7" i="14"/>
  <c r="G7" i="14"/>
  <c r="D7" i="14"/>
  <c r="N6" i="14"/>
  <c r="M6" i="14"/>
  <c r="K6" i="14"/>
  <c r="G6" i="14"/>
  <c r="D6" i="14"/>
  <c r="J6" i="14" s="1"/>
  <c r="L6" i="14" s="1"/>
  <c r="L10" i="14" s="1"/>
  <c r="L11" i="14" s="1"/>
  <c r="T9" i="17" l="1"/>
  <c r="D44" i="15"/>
  <c r="J3" i="19"/>
  <c r="I2" i="19"/>
  <c r="T8" i="17"/>
  <c r="I135" i="8"/>
  <c r="J180" i="8"/>
  <c r="J181" i="8" s="1"/>
  <c r="J99" i="8"/>
  <c r="J112" i="8" s="1"/>
  <c r="J113" i="8" s="1"/>
  <c r="K99" i="8"/>
  <c r="K112" i="8" s="1"/>
  <c r="K113" i="8" s="1"/>
  <c r="S172" i="8"/>
  <c r="J78" i="8"/>
  <c r="J79" i="8" s="1"/>
  <c r="J67" i="8"/>
  <c r="M99" i="8"/>
  <c r="M112" i="8" s="1"/>
  <c r="M113" i="8" s="1"/>
  <c r="V172" i="8"/>
  <c r="O66" i="8"/>
  <c r="N78" i="8"/>
  <c r="N79" i="8" s="1"/>
  <c r="P180" i="8"/>
  <c r="P181" i="8" s="1"/>
  <c r="M67" i="8"/>
  <c r="M78" i="8"/>
  <c r="M79" i="8" s="1"/>
  <c r="X172" i="8"/>
  <c r="L78" i="8"/>
  <c r="L79" i="8" s="1"/>
  <c r="L67" i="8"/>
  <c r="O99" i="8"/>
  <c r="O112" i="8" s="1"/>
  <c r="O113" i="8" s="1"/>
  <c r="P112" i="8"/>
  <c r="P113" i="8" s="1"/>
  <c r="K78" i="8"/>
  <c r="K79" i="8" s="1"/>
  <c r="K67" i="8"/>
  <c r="L180" i="8"/>
  <c r="L181" i="8" s="1"/>
  <c r="V25" i="8"/>
  <c r="V136" i="8" s="1"/>
  <c r="V159" i="8" s="1"/>
  <c r="N98" i="8"/>
  <c r="N99" i="8" s="1"/>
  <c r="N112" i="8" s="1"/>
  <c r="N113" i="8" s="1"/>
  <c r="L111" i="8"/>
  <c r="L112" i="8" s="1"/>
  <c r="L113" i="8" s="1"/>
  <c r="M15" i="15"/>
  <c r="N180" i="8"/>
  <c r="N181" i="8" s="1"/>
  <c r="P176" i="8"/>
  <c r="Y25" i="8"/>
  <c r="Y136" i="8" s="1"/>
  <c r="Y159" i="8" s="1"/>
  <c r="Q25" i="8"/>
  <c r="Q136" i="8" s="1"/>
  <c r="Q159" i="8" s="1"/>
  <c r="J15" i="15"/>
  <c r="N176" i="8"/>
  <c r="O177" i="8"/>
  <c r="K180" i="8"/>
  <c r="K181" i="8" s="1"/>
  <c r="P59" i="8"/>
  <c r="Y171" i="8"/>
  <c r="Q171" i="8"/>
  <c r="U176" i="8"/>
  <c r="M176" i="8"/>
  <c r="V177" i="8"/>
  <c r="N177" i="8"/>
  <c r="N67" i="8"/>
  <c r="M177" i="8"/>
  <c r="L178" i="8"/>
  <c r="I40" i="6"/>
  <c r="I89" i="6"/>
  <c r="J163" i="8"/>
  <c r="J164" i="8" s="1"/>
  <c r="G16" i="15"/>
  <c r="J154" i="8"/>
  <c r="I25" i="8"/>
  <c r="I112" i="6"/>
  <c r="I139" i="6"/>
  <c r="I109" i="6"/>
  <c r="I19" i="6"/>
  <c r="I18" i="6" s="1"/>
  <c r="L11" i="15"/>
  <c r="K11" i="15"/>
  <c r="J11" i="15"/>
  <c r="I11" i="15"/>
  <c r="G9" i="15"/>
  <c r="E22" i="15"/>
  <c r="K3" i="19" l="1"/>
  <c r="J2" i="19"/>
  <c r="P66" i="8"/>
  <c r="Q184" i="8"/>
  <c r="O78" i="8"/>
  <c r="O79" i="8" s="1"/>
  <c r="O67" i="8"/>
  <c r="I38" i="6"/>
  <c r="I41" i="6" s="1"/>
  <c r="I35" i="6"/>
  <c r="I15" i="8"/>
  <c r="I113" i="6"/>
  <c r="I110" i="6"/>
  <c r="G56" i="15"/>
  <c r="H9" i="15"/>
  <c r="L3" i="19" l="1"/>
  <c r="K2" i="19"/>
  <c r="P78" i="8"/>
  <c r="P79" i="8" s="1"/>
  <c r="P67" i="8"/>
  <c r="I34" i="6"/>
  <c r="I12" i="8"/>
  <c r="I13" i="8" s="1"/>
  <c r="I47" i="6"/>
  <c r="H56" i="15"/>
  <c r="I9" i="15"/>
  <c r="L2" i="19" l="1"/>
  <c r="M3" i="19"/>
  <c r="I18" i="8"/>
  <c r="I19" i="8" s="1"/>
  <c r="I86" i="6"/>
  <c r="I46" i="6"/>
  <c r="J9" i="15"/>
  <c r="I56" i="15"/>
  <c r="M2" i="19" l="1"/>
  <c r="N3" i="19"/>
  <c r="I85" i="6"/>
  <c r="I94" i="6"/>
  <c r="I28" i="8"/>
  <c r="I29" i="8" s="1"/>
  <c r="J56" i="15"/>
  <c r="K9" i="15"/>
  <c r="N2" i="19" l="1"/>
  <c r="O3" i="19"/>
  <c r="I93" i="6"/>
  <c r="I96" i="6"/>
  <c r="I32" i="8"/>
  <c r="K56" i="15"/>
  <c r="L9" i="15"/>
  <c r="O2" i="19" l="1"/>
  <c r="P3" i="19"/>
  <c r="I44" i="8"/>
  <c r="I33" i="8"/>
  <c r="L56" i="15"/>
  <c r="M9" i="15"/>
  <c r="Q3" i="19" l="1"/>
  <c r="P2" i="19"/>
  <c r="M56" i="15"/>
  <c r="N9" i="15"/>
  <c r="R3" i="19" l="1"/>
  <c r="Q2" i="19"/>
  <c r="N56" i="15"/>
  <c r="O9" i="15"/>
  <c r="N8" i="15"/>
  <c r="D5" i="15"/>
  <c r="S3" i="19" l="1"/>
  <c r="R2" i="19"/>
  <c r="O56" i="15"/>
  <c r="P9" i="15"/>
  <c r="O8" i="15"/>
  <c r="T3" i="19" l="1"/>
  <c r="S2" i="19"/>
  <c r="P56" i="15"/>
  <c r="Q9" i="15"/>
  <c r="P8" i="15"/>
  <c r="T2" i="19" l="1"/>
  <c r="U3" i="19"/>
  <c r="R9" i="15"/>
  <c r="Q8" i="15"/>
  <c r="Q56" i="15"/>
  <c r="U2" i="19" l="1"/>
  <c r="V3" i="19"/>
  <c r="R56" i="15"/>
  <c r="S9" i="15"/>
  <c r="R8" i="15"/>
  <c r="V2" i="19" l="1"/>
  <c r="W3" i="19"/>
  <c r="S56" i="15"/>
  <c r="T9" i="15"/>
  <c r="S8" i="15"/>
  <c r="W2" i="19" l="1"/>
  <c r="X3" i="19"/>
  <c r="T56" i="15"/>
  <c r="T8" i="15"/>
  <c r="U9" i="15"/>
  <c r="Y3" i="19" l="1"/>
  <c r="X2" i="19"/>
  <c r="U8" i="15"/>
  <c r="U56" i="15"/>
  <c r="V9" i="15"/>
  <c r="Z3" i="19" l="1"/>
  <c r="Y2" i="19"/>
  <c r="V56" i="15"/>
  <c r="W9" i="15"/>
  <c r="V8" i="15"/>
  <c r="AA3" i="19" l="1"/>
  <c r="Z2" i="19"/>
  <c r="W56" i="15"/>
  <c r="X9" i="15"/>
  <c r="W8" i="15"/>
  <c r="AB3" i="19" l="1"/>
  <c r="AA2" i="19"/>
  <c r="Y9" i="15"/>
  <c r="X8" i="15"/>
  <c r="AB2" i="19" l="1"/>
  <c r="AC3" i="19"/>
  <c r="Z9" i="15"/>
  <c r="Y8" i="15"/>
  <c r="AC2" i="19" l="1"/>
  <c r="AD3" i="19"/>
  <c r="AA9" i="15"/>
  <c r="Z8" i="15"/>
  <c r="AE3" i="19" l="1"/>
  <c r="AD2" i="19"/>
  <c r="AB9" i="15"/>
  <c r="AA8" i="15"/>
  <c r="AF3" i="19" l="1"/>
  <c r="AE2" i="19"/>
  <c r="AB8" i="15"/>
  <c r="AC9" i="15"/>
  <c r="AG3" i="19" l="1"/>
  <c r="AF2" i="19"/>
  <c r="AC8" i="15"/>
  <c r="AD9" i="15"/>
  <c r="AH3" i="19" l="1"/>
  <c r="AG2" i="19"/>
  <c r="AE9" i="15"/>
  <c r="AD8" i="15"/>
  <c r="AI3" i="19" l="1"/>
  <c r="AH2" i="19"/>
  <c r="AF9" i="15"/>
  <c r="AE8" i="15"/>
  <c r="AJ3" i="19" l="1"/>
  <c r="AI2" i="19"/>
  <c r="AG9" i="15"/>
  <c r="AF8" i="15"/>
  <c r="AJ2" i="19" l="1"/>
  <c r="AK3" i="19"/>
  <c r="AH9" i="15"/>
  <c r="AG8" i="15"/>
  <c r="AK2" i="19" l="1"/>
  <c r="AL3" i="19"/>
  <c r="AI9" i="15"/>
  <c r="AH8" i="15"/>
  <c r="AL2" i="19" l="1"/>
  <c r="AM3" i="19"/>
  <c r="AJ9" i="15"/>
  <c r="AI8" i="15"/>
  <c r="AN3" i="19" l="1"/>
  <c r="AM2" i="19"/>
  <c r="AJ8" i="15"/>
  <c r="AK9" i="15"/>
  <c r="AO3" i="19" l="1"/>
  <c r="AN2" i="19"/>
  <c r="AK8" i="15"/>
  <c r="AL9" i="15"/>
  <c r="AP3" i="19" l="1"/>
  <c r="AO2" i="19"/>
  <c r="AM9" i="15"/>
  <c r="AL8" i="15"/>
  <c r="AQ3" i="19" l="1"/>
  <c r="AP2" i="19"/>
  <c r="AN9" i="15"/>
  <c r="AM8" i="15"/>
  <c r="AR3" i="19" l="1"/>
  <c r="AQ2" i="19"/>
  <c r="AO9" i="15"/>
  <c r="AN8" i="15"/>
  <c r="AR2" i="19" l="1"/>
  <c r="AS3" i="19"/>
  <c r="AP9" i="15"/>
  <c r="AO8" i="15"/>
  <c r="AS2" i="19" l="1"/>
  <c r="AT3" i="19"/>
  <c r="AQ9" i="15"/>
  <c r="AP8" i="15"/>
  <c r="AT2" i="19" l="1"/>
  <c r="AU3" i="19"/>
  <c r="AR9" i="15"/>
  <c r="AQ8" i="15"/>
  <c r="AV3" i="19" l="1"/>
  <c r="AU2" i="19"/>
  <c r="AR8" i="15"/>
  <c r="AS9" i="15"/>
  <c r="AW3" i="19" l="1"/>
  <c r="AV2" i="19"/>
  <c r="AS8" i="15"/>
  <c r="AT9" i="15"/>
  <c r="AW2" i="19" l="1"/>
  <c r="AX3" i="19"/>
  <c r="AU9" i="15"/>
  <c r="AT8" i="15"/>
  <c r="AY3" i="19" l="1"/>
  <c r="AX2" i="19"/>
  <c r="AV9" i="15"/>
  <c r="AU8" i="15"/>
  <c r="AZ3" i="19" l="1"/>
  <c r="AY2" i="19"/>
  <c r="AW9" i="15"/>
  <c r="AV8" i="15"/>
  <c r="AZ2" i="19" l="1"/>
  <c r="BA3" i="19"/>
  <c r="BA2" i="19" s="1"/>
  <c r="AX9" i="15"/>
  <c r="AW8" i="15"/>
  <c r="AY9" i="15" l="1"/>
  <c r="AX8" i="15"/>
  <c r="AZ9" i="15" l="1"/>
  <c r="AY8" i="15"/>
  <c r="AZ8" i="15" l="1"/>
  <c r="BA9" i="15"/>
  <c r="BA8" i="15" l="1"/>
  <c r="T96" i="6" l="1"/>
  <c r="U96" i="6"/>
  <c r="V96" i="6"/>
  <c r="W96" i="6"/>
  <c r="X96" i="6"/>
  <c r="Y96" i="6"/>
  <c r="Z96" i="6"/>
  <c r="T297" i="6"/>
  <c r="U297" i="6"/>
  <c r="V297" i="6"/>
  <c r="W297" i="6"/>
  <c r="X297" i="6"/>
  <c r="Y297" i="6"/>
  <c r="Z297" i="6"/>
  <c r="V215" i="6"/>
  <c r="W215" i="6"/>
  <c r="X215" i="6"/>
  <c r="Y215" i="6"/>
  <c r="Z215" i="6"/>
  <c r="R389" i="6"/>
  <c r="S389" i="6"/>
  <c r="T389" i="6"/>
  <c r="U389" i="6"/>
  <c r="V389" i="6"/>
  <c r="W389" i="6"/>
  <c r="X389" i="6"/>
  <c r="Y389" i="6"/>
  <c r="Z389" i="6"/>
  <c r="T354" i="6"/>
  <c r="U354" i="6"/>
  <c r="V354" i="6"/>
  <c r="W354" i="6"/>
  <c r="X354" i="6"/>
  <c r="Y354" i="6"/>
  <c r="Z354" i="6"/>
  <c r="U266" i="6"/>
  <c r="V266" i="6"/>
  <c r="W266" i="6"/>
  <c r="X266" i="6"/>
  <c r="Y266" i="6"/>
  <c r="Z266" i="6"/>
  <c r="Q210" i="6"/>
  <c r="Q199" i="6"/>
  <c r="Q184" i="6"/>
  <c r="X292" i="6"/>
  <c r="X188" i="6"/>
  <c r="R184" i="6"/>
  <c r="S184" i="6" s="1"/>
  <c r="U184" i="6" s="1"/>
  <c r="V184" i="6" s="1"/>
  <c r="W184" i="6" s="1"/>
  <c r="Y184" i="6" s="1"/>
  <c r="R402" i="6"/>
  <c r="S402" i="6"/>
  <c r="T402" i="6"/>
  <c r="U402" i="6"/>
  <c r="V402" i="6"/>
  <c r="W402" i="6"/>
  <c r="X402" i="6"/>
  <c r="Y402" i="6"/>
  <c r="Z402" i="6"/>
  <c r="Q402" i="6"/>
  <c r="R401" i="6"/>
  <c r="S401" i="6"/>
  <c r="T401" i="6"/>
  <c r="U401" i="6"/>
  <c r="V401" i="6"/>
  <c r="W401" i="6"/>
  <c r="X401" i="6"/>
  <c r="Y401" i="6"/>
  <c r="Z401" i="6"/>
  <c r="Q401" i="6"/>
  <c r="R398" i="6"/>
  <c r="S398" i="6"/>
  <c r="T398" i="6"/>
  <c r="U398" i="6"/>
  <c r="V398" i="6"/>
  <c r="W398" i="6"/>
  <c r="X398" i="6"/>
  <c r="Y398" i="6"/>
  <c r="Z398" i="6"/>
  <c r="Q398" i="6"/>
  <c r="S381" i="6"/>
  <c r="T381" i="6"/>
  <c r="U381" i="6" s="1"/>
  <c r="V381" i="6" s="1"/>
  <c r="W381" i="6" s="1"/>
  <c r="X381" i="6" s="1"/>
  <c r="Y381" i="6" s="1"/>
  <c r="Z381" i="6" s="1"/>
  <c r="R381" i="6"/>
  <c r="Q381" i="6"/>
  <c r="K381" i="6"/>
  <c r="L381" i="6"/>
  <c r="M381" i="6"/>
  <c r="N381" i="6"/>
  <c r="O381" i="6"/>
  <c r="P381" i="6"/>
  <c r="J381" i="6"/>
  <c r="Q374" i="6"/>
  <c r="R374" i="6"/>
  <c r="S374" i="6"/>
  <c r="T374" i="6"/>
  <c r="U374" i="6"/>
  <c r="V374" i="6"/>
  <c r="W374" i="6"/>
  <c r="X374" i="6"/>
  <c r="Y374" i="6"/>
  <c r="Z374" i="6"/>
  <c r="R372" i="6"/>
  <c r="S372" i="6" s="1"/>
  <c r="T372" i="6" s="1"/>
  <c r="U372" i="6" s="1"/>
  <c r="V372" i="6" s="1"/>
  <c r="W372" i="6" s="1"/>
  <c r="X372" i="6" s="1"/>
  <c r="Y372" i="6" s="1"/>
  <c r="Z372" i="6" s="1"/>
  <c r="Q372" i="6"/>
  <c r="Q370" i="6"/>
  <c r="R370" i="6"/>
  <c r="S370" i="6"/>
  <c r="T370" i="6"/>
  <c r="U370" i="6"/>
  <c r="V370" i="6"/>
  <c r="W370" i="6"/>
  <c r="X370" i="6"/>
  <c r="Y370" i="6"/>
  <c r="Z370" i="6"/>
  <c r="R368" i="6"/>
  <c r="S368" i="6" s="1"/>
  <c r="T368" i="6" s="1"/>
  <c r="U368" i="6" s="1"/>
  <c r="V368" i="6" s="1"/>
  <c r="W368" i="6" s="1"/>
  <c r="X368" i="6" s="1"/>
  <c r="Y368" i="6" s="1"/>
  <c r="Z368" i="6" s="1"/>
  <c r="Q368" i="6"/>
  <c r="Q366" i="6"/>
  <c r="R366" i="6"/>
  <c r="S366" i="6"/>
  <c r="T366" i="6"/>
  <c r="U366" i="6"/>
  <c r="V366" i="6"/>
  <c r="W366" i="6"/>
  <c r="X366" i="6"/>
  <c r="Y366" i="6"/>
  <c r="Z366" i="6"/>
  <c r="R362" i="6"/>
  <c r="S362" i="6"/>
  <c r="T362" i="6" s="1"/>
  <c r="U362" i="6" s="1"/>
  <c r="V362" i="6" s="1"/>
  <c r="W362" i="6" s="1"/>
  <c r="X362" i="6" s="1"/>
  <c r="Y362" i="6" s="1"/>
  <c r="Z362" i="6" s="1"/>
  <c r="AA362" i="6" s="1"/>
  <c r="Q362" i="6"/>
  <c r="X132" i="6"/>
  <c r="Q130" i="6"/>
  <c r="Q133" i="6" s="1"/>
  <c r="R130" i="6"/>
  <c r="R133" i="6" s="1"/>
  <c r="R139" i="6"/>
  <c r="S139" i="6"/>
  <c r="T139" i="6" s="1"/>
  <c r="U139" i="6" s="1"/>
  <c r="V139" i="6" s="1"/>
  <c r="W139" i="6" s="1"/>
  <c r="X139" i="6" s="1"/>
  <c r="Y139" i="6" s="1"/>
  <c r="Z139" i="6" s="1"/>
  <c r="Q139" i="6"/>
  <c r="R138" i="6"/>
  <c r="S138" i="6"/>
  <c r="T138" i="6" s="1"/>
  <c r="U138" i="6" s="1"/>
  <c r="V138" i="6" s="1"/>
  <c r="W138" i="6" s="1"/>
  <c r="X138" i="6" s="1"/>
  <c r="Y138" i="6" s="1"/>
  <c r="Z138" i="6" s="1"/>
  <c r="Q138" i="6"/>
  <c r="L107" i="6"/>
  <c r="M107" i="6"/>
  <c r="N107" i="6"/>
  <c r="O107" i="6"/>
  <c r="P107" i="6"/>
  <c r="K107" i="6"/>
  <c r="S80" i="6"/>
  <c r="T80" i="6" s="1"/>
  <c r="U80" i="6" s="1"/>
  <c r="V80" i="6" s="1"/>
  <c r="W80" i="6" s="1"/>
  <c r="X80" i="6" s="1"/>
  <c r="Y80" i="6" s="1"/>
  <c r="Z80" i="6" s="1"/>
  <c r="R80" i="6"/>
  <c r="Q80" i="6"/>
  <c r="R75" i="6"/>
  <c r="T75" i="6" s="1"/>
  <c r="S75" i="6"/>
  <c r="Q75" i="6"/>
  <c r="R74" i="6"/>
  <c r="S74" i="6"/>
  <c r="T74" i="6"/>
  <c r="U74" i="6"/>
  <c r="V74" i="6"/>
  <c r="W74" i="6"/>
  <c r="X74" i="6"/>
  <c r="Y74" i="6"/>
  <c r="Z74" i="6"/>
  <c r="Q74" i="6"/>
  <c r="R73" i="6"/>
  <c r="S73" i="6"/>
  <c r="T73" i="6"/>
  <c r="U73" i="6"/>
  <c r="V73" i="6"/>
  <c r="W73" i="6"/>
  <c r="X73" i="6"/>
  <c r="Y73" i="6"/>
  <c r="Z73" i="6"/>
  <c r="Q73" i="6"/>
  <c r="R346" i="6"/>
  <c r="S346" i="6" s="1"/>
  <c r="T346" i="6" s="1"/>
  <c r="U346" i="6" s="1"/>
  <c r="V346" i="6" s="1"/>
  <c r="W346" i="6" s="1"/>
  <c r="X346" i="6" s="1"/>
  <c r="Y346" i="6" s="1"/>
  <c r="Z346" i="6" s="1"/>
  <c r="Q346" i="6"/>
  <c r="R341" i="6"/>
  <c r="S341" i="6"/>
  <c r="T341" i="6" s="1"/>
  <c r="U341" i="6" s="1"/>
  <c r="V341" i="6" s="1"/>
  <c r="W341" i="6" s="1"/>
  <c r="X341" i="6" s="1"/>
  <c r="Y341" i="6" s="1"/>
  <c r="Z341" i="6" s="1"/>
  <c r="Q341" i="6"/>
  <c r="R336" i="6"/>
  <c r="S336" i="6"/>
  <c r="T336" i="6"/>
  <c r="U336" i="6"/>
  <c r="V336" i="6"/>
  <c r="W336" i="6"/>
  <c r="X336" i="6"/>
  <c r="Y336" i="6"/>
  <c r="Z336" i="6"/>
  <c r="Q336" i="6"/>
  <c r="R332" i="6"/>
  <c r="S332" i="6"/>
  <c r="T332" i="6" s="1"/>
  <c r="U332" i="6" s="1"/>
  <c r="V332" i="6" s="1"/>
  <c r="W332" i="6" s="1"/>
  <c r="X332" i="6" s="1"/>
  <c r="Y332" i="6" s="1"/>
  <c r="Z332" i="6" s="1"/>
  <c r="Q332" i="6"/>
  <c r="Q306" i="6"/>
  <c r="R292" i="6"/>
  <c r="S292" i="6" s="1"/>
  <c r="Q292" i="6"/>
  <c r="R282" i="6"/>
  <c r="S282" i="6" s="1"/>
  <c r="T282" i="6" s="1"/>
  <c r="U282" i="6" s="1"/>
  <c r="V282" i="6" s="1"/>
  <c r="W282" i="6" s="1"/>
  <c r="X282" i="6" s="1"/>
  <c r="Y282" i="6" s="1"/>
  <c r="Z282" i="6" s="1"/>
  <c r="Q282" i="6"/>
  <c r="R257" i="6"/>
  <c r="T257" i="6" s="1"/>
  <c r="S257" i="6"/>
  <c r="Q257" i="6"/>
  <c r="Q254" i="6"/>
  <c r="R254" i="6"/>
  <c r="S254" i="6"/>
  <c r="T254" i="6"/>
  <c r="U254" i="6"/>
  <c r="V254" i="6"/>
  <c r="W254" i="6"/>
  <c r="X254" i="6"/>
  <c r="Y254" i="6"/>
  <c r="Z254" i="6"/>
  <c r="R251" i="6"/>
  <c r="S251" i="6" s="1"/>
  <c r="T251" i="6" s="1"/>
  <c r="U251" i="6" s="1"/>
  <c r="V251" i="6" s="1"/>
  <c r="W251" i="6" s="1"/>
  <c r="X251" i="6" s="1"/>
  <c r="Y251" i="6" s="1"/>
  <c r="Z251" i="6" s="1"/>
  <c r="Q251" i="6"/>
  <c r="R218" i="6"/>
  <c r="S218" i="6" s="1"/>
  <c r="T218" i="6" s="1"/>
  <c r="U218" i="6" s="1"/>
  <c r="V218" i="6" s="1"/>
  <c r="W218" i="6" s="1"/>
  <c r="X218" i="6" s="1"/>
  <c r="Y218" i="6" s="1"/>
  <c r="Z218" i="6" s="1"/>
  <c r="Q218" i="6"/>
  <c r="R179" i="6"/>
  <c r="T179" i="6" s="1"/>
  <c r="S179" i="6"/>
  <c r="Q179" i="6"/>
  <c r="R172" i="6"/>
  <c r="S172" i="6" s="1"/>
  <c r="T172" i="6" s="1"/>
  <c r="U172" i="6" s="1"/>
  <c r="V172" i="6" s="1"/>
  <c r="W172" i="6" s="1"/>
  <c r="X172" i="6" s="1"/>
  <c r="Y172" i="6" s="1"/>
  <c r="Z172" i="6" s="1"/>
  <c r="Q172" i="6"/>
  <c r="R171" i="6"/>
  <c r="S171" i="6" s="1"/>
  <c r="T171" i="6" s="1"/>
  <c r="U171" i="6" s="1"/>
  <c r="V171" i="6" s="1"/>
  <c r="W171" i="6" s="1"/>
  <c r="X171" i="6" s="1"/>
  <c r="Y171" i="6" s="1"/>
  <c r="Z171" i="6" s="1"/>
  <c r="Q171" i="6"/>
  <c r="S62" i="6"/>
  <c r="T62" i="6"/>
  <c r="U62" i="6" s="1"/>
  <c r="V62" i="6" s="1"/>
  <c r="W62" i="6" s="1"/>
  <c r="X62" i="6" s="1"/>
  <c r="Y62" i="6" s="1"/>
  <c r="Z62" i="6" s="1"/>
  <c r="S63" i="6"/>
  <c r="T63" i="6"/>
  <c r="U63" i="6" s="1"/>
  <c r="V63" i="6" s="1"/>
  <c r="W63" i="6" s="1"/>
  <c r="X63" i="6" s="1"/>
  <c r="Y63" i="6" s="1"/>
  <c r="Z63" i="6" s="1"/>
  <c r="S64" i="6"/>
  <c r="T64" i="6"/>
  <c r="U64" i="6" s="1"/>
  <c r="V64" i="6" s="1"/>
  <c r="W64" i="6" s="1"/>
  <c r="X64" i="6" s="1"/>
  <c r="Y64" i="6" s="1"/>
  <c r="Z64" i="6" s="1"/>
  <c r="R63" i="6"/>
  <c r="R64" i="6"/>
  <c r="R62" i="6"/>
  <c r="Q56" i="6"/>
  <c r="R56" i="6"/>
  <c r="S56" i="6"/>
  <c r="T56" i="6"/>
  <c r="U56" i="6"/>
  <c r="V56" i="6"/>
  <c r="W56" i="6"/>
  <c r="X56" i="6"/>
  <c r="Y56" i="6"/>
  <c r="Z56" i="6"/>
  <c r="S54" i="6"/>
  <c r="T54" i="6" s="1"/>
  <c r="U54" i="6" s="1"/>
  <c r="V54" i="6" s="1"/>
  <c r="W54" i="6" s="1"/>
  <c r="X54" i="6" s="1"/>
  <c r="Y54" i="6" s="1"/>
  <c r="Z54" i="6" s="1"/>
  <c r="R54" i="6"/>
  <c r="Q54" i="6"/>
  <c r="Q52" i="6"/>
  <c r="R52" i="6"/>
  <c r="S52" i="6"/>
  <c r="T52" i="6"/>
  <c r="U52" i="6"/>
  <c r="V52" i="6"/>
  <c r="W52" i="6"/>
  <c r="X52" i="6"/>
  <c r="Y52" i="6"/>
  <c r="Z52" i="6"/>
  <c r="R49" i="6"/>
  <c r="S49" i="6" s="1"/>
  <c r="Q49" i="6"/>
  <c r="AA8" i="12"/>
  <c r="P43" i="12"/>
  <c r="S287" i="6" l="1"/>
  <c r="U132" i="6"/>
  <c r="T130" i="6"/>
  <c r="T133" i="6" s="1"/>
  <c r="S130" i="6"/>
  <c r="U75" i="6"/>
  <c r="T292" i="6"/>
  <c r="U257" i="6"/>
  <c r="U179" i="6"/>
  <c r="T49" i="6"/>
  <c r="T287" i="6" l="1"/>
  <c r="S133" i="6"/>
  <c r="U130" i="6"/>
  <c r="U133" i="6" s="1"/>
  <c r="V75" i="6"/>
  <c r="Z75" i="6" s="1"/>
  <c r="W75" i="6"/>
  <c r="X75" i="6" s="1"/>
  <c r="Y75" i="6" s="1"/>
  <c r="V257" i="6"/>
  <c r="W257" i="6" s="1"/>
  <c r="V179" i="6"/>
  <c r="U49" i="6"/>
  <c r="V49" i="6"/>
  <c r="U287" i="6" l="1"/>
  <c r="V130" i="6"/>
  <c r="V133" i="6" s="1"/>
  <c r="X257" i="6"/>
  <c r="Y257" i="6"/>
  <c r="Z257" i="6" s="1"/>
  <c r="W179" i="6"/>
  <c r="X179" i="6" s="1"/>
  <c r="W49" i="6"/>
  <c r="X49" i="6"/>
  <c r="V287" i="6" l="1"/>
  <c r="W287" i="6"/>
  <c r="W130" i="6"/>
  <c r="W133" i="6" s="1"/>
  <c r="Y179" i="6"/>
  <c r="Z179" i="6" s="1"/>
  <c r="Y49" i="6"/>
  <c r="Z49" i="6" s="1"/>
  <c r="X287" i="6" l="1"/>
  <c r="Y287" i="6" s="1"/>
  <c r="X130" i="6"/>
  <c r="X133" i="6" s="1"/>
  <c r="Z287" i="6" l="1"/>
  <c r="Z130" i="6"/>
  <c r="Y130" i="6"/>
  <c r="Y133" i="6" l="1"/>
  <c r="Z133" i="6"/>
  <c r="Y42" i="19" l="1"/>
  <c r="Y174" i="19" s="1"/>
  <c r="Y172" i="19" s="1"/>
  <c r="Y42" i="8"/>
  <c r="Z42" i="19"/>
  <c r="Z174" i="19" s="1"/>
  <c r="Z172" i="19" s="1"/>
  <c r="Z42" i="8"/>
  <c r="B1" i="13"/>
  <c r="R262" i="13" s="1"/>
  <c r="R240" i="13"/>
  <c r="R229" i="13"/>
  <c r="R226" i="13"/>
  <c r="R218" i="13"/>
  <c r="R215" i="13"/>
  <c r="R207" i="13"/>
  <c r="R204" i="13"/>
  <c r="R192" i="13"/>
  <c r="R189" i="13"/>
  <c r="R181" i="13"/>
  <c r="R178" i="13"/>
  <c r="R166" i="13"/>
  <c r="R163" i="13"/>
  <c r="R113" i="13"/>
  <c r="R110" i="13"/>
  <c r="C53" i="13"/>
  <c r="S55" i="13" s="1"/>
  <c r="T58" i="13"/>
  <c r="S306" i="6" s="1"/>
  <c r="U58" i="13"/>
  <c r="T306" i="6" s="1"/>
  <c r="V58" i="13"/>
  <c r="U306" i="6" s="1"/>
  <c r="W58" i="13"/>
  <c r="V306" i="6" s="1"/>
  <c r="X58" i="13"/>
  <c r="W306" i="6" s="1"/>
  <c r="Y58" i="13"/>
  <c r="X306" i="6" s="1"/>
  <c r="Z58" i="13"/>
  <c r="Y306" i="6" s="1"/>
  <c r="AA58" i="13"/>
  <c r="Z306" i="6" s="1"/>
  <c r="AB58" i="13"/>
  <c r="S58" i="13"/>
  <c r="R306" i="6" s="1"/>
  <c r="S8" i="13"/>
  <c r="R58" i="13"/>
  <c r="R11" i="13"/>
  <c r="R8" i="13"/>
  <c r="R57" i="13"/>
  <c r="R27" i="13" s="1"/>
  <c r="R54" i="13"/>
  <c r="R24" i="13" s="1"/>
  <c r="R12" i="13"/>
  <c r="R13" i="13" s="1"/>
  <c r="R43" i="13"/>
  <c r="R17" i="13" s="1"/>
  <c r="R46" i="13"/>
  <c r="R20" i="13" s="1"/>
  <c r="Q278" i="6"/>
  <c r="R210" i="6"/>
  <c r="R199" i="6"/>
  <c r="R193" i="6"/>
  <c r="S193" i="6"/>
  <c r="T193" i="6"/>
  <c r="U193" i="6"/>
  <c r="V193" i="6" s="1"/>
  <c r="W193" i="6" s="1"/>
  <c r="X193" i="6" s="1"/>
  <c r="Y193" i="6" s="1"/>
  <c r="Z193" i="6" s="1"/>
  <c r="Q193" i="6"/>
  <c r="R191" i="6"/>
  <c r="S191" i="6" s="1"/>
  <c r="T191" i="6" s="1"/>
  <c r="U191" i="6" s="1"/>
  <c r="V191" i="6" s="1"/>
  <c r="W191" i="6" s="1"/>
  <c r="X191" i="6" s="1"/>
  <c r="Y191" i="6" s="1"/>
  <c r="Z191" i="6" s="1"/>
  <c r="Q191" i="6"/>
  <c r="R190" i="6"/>
  <c r="V190" i="6" s="1"/>
  <c r="S190" i="6"/>
  <c r="T190" i="6"/>
  <c r="U190" i="6"/>
  <c r="Q190" i="6"/>
  <c r="R188" i="6"/>
  <c r="S188" i="6"/>
  <c r="T188" i="6" s="1"/>
  <c r="U188" i="6" s="1"/>
  <c r="V188" i="6" s="1"/>
  <c r="W188" i="6" s="1"/>
  <c r="Y188" i="6" s="1"/>
  <c r="Z188" i="6" s="1"/>
  <c r="Q188" i="6"/>
  <c r="R186" i="6"/>
  <c r="S186" i="6" s="1"/>
  <c r="T186" i="6" s="1"/>
  <c r="U186" i="6" s="1"/>
  <c r="V186" i="6" s="1"/>
  <c r="W186" i="6" s="1"/>
  <c r="X186" i="6" s="1"/>
  <c r="Y186" i="6" s="1"/>
  <c r="Z186" i="6" s="1"/>
  <c r="Q186" i="6"/>
  <c r="R164" i="6"/>
  <c r="S164" i="6" s="1"/>
  <c r="T164" i="6" s="1"/>
  <c r="U164" i="6" s="1"/>
  <c r="V164" i="6" s="1"/>
  <c r="W164" i="6" s="1"/>
  <c r="X164" i="6" s="1"/>
  <c r="Y164" i="6" s="1"/>
  <c r="Z164" i="6" s="1"/>
  <c r="Q164" i="6"/>
  <c r="R163" i="6"/>
  <c r="Q163" i="6"/>
  <c r="R278" i="6"/>
  <c r="S278" i="6" s="1"/>
  <c r="T259" i="13"/>
  <c r="T248" i="13"/>
  <c r="T237" i="13"/>
  <c r="AB228" i="13"/>
  <c r="AA228" i="13"/>
  <c r="Z228" i="13"/>
  <c r="Y228" i="13"/>
  <c r="T226" i="13"/>
  <c r="T215" i="13"/>
  <c r="T204" i="13"/>
  <c r="T189" i="13"/>
  <c r="U178" i="13"/>
  <c r="T178" i="13"/>
  <c r="T163" i="13"/>
  <c r="D160" i="13"/>
  <c r="U156" i="13"/>
  <c r="D105" i="13"/>
  <c r="U104" i="13"/>
  <c r="U102" i="13"/>
  <c r="F109" i="13"/>
  <c r="S4" i="13"/>
  <c r="S190" i="13" s="1"/>
  <c r="S191" i="13" s="1"/>
  <c r="R3" i="13"/>
  <c r="Q215" i="12"/>
  <c r="S211" i="12"/>
  <c r="T211" i="12" s="1"/>
  <c r="U211" i="12" s="1"/>
  <c r="V211" i="12" s="1"/>
  <c r="W211" i="12" s="1"/>
  <c r="X211" i="12" s="1"/>
  <c r="Y211" i="12" s="1"/>
  <c r="Z211" i="12" s="1"/>
  <c r="S212" i="12"/>
  <c r="T212" i="12"/>
  <c r="U212" i="12" s="1"/>
  <c r="V212" i="12" s="1"/>
  <c r="W212" i="12" s="1"/>
  <c r="X212" i="12" s="1"/>
  <c r="Y212" i="12" s="1"/>
  <c r="Z212" i="12" s="1"/>
  <c r="S213" i="12"/>
  <c r="T213" i="12"/>
  <c r="U213" i="12" s="1"/>
  <c r="V213" i="12" s="1"/>
  <c r="W213" i="12" s="1"/>
  <c r="X213" i="12" s="1"/>
  <c r="Y213" i="12" s="1"/>
  <c r="Z213" i="12" s="1"/>
  <c r="R213" i="12"/>
  <c r="R212" i="12"/>
  <c r="R211" i="12"/>
  <c r="R210" i="12"/>
  <c r="Q214" i="12"/>
  <c r="Q210" i="12"/>
  <c r="S204" i="12"/>
  <c r="T204" i="12" s="1"/>
  <c r="U204" i="12" s="1"/>
  <c r="V204" i="12" s="1"/>
  <c r="W204" i="12" s="1"/>
  <c r="X204" i="12" s="1"/>
  <c r="Y204" i="12" s="1"/>
  <c r="Z204" i="12" s="1"/>
  <c r="S205" i="12"/>
  <c r="T205" i="12" s="1"/>
  <c r="U205" i="12" s="1"/>
  <c r="V205" i="12" s="1"/>
  <c r="W205" i="12" s="1"/>
  <c r="X205" i="12" s="1"/>
  <c r="Y205" i="12" s="1"/>
  <c r="Z205" i="12" s="1"/>
  <c r="S206" i="12"/>
  <c r="T206" i="12" s="1"/>
  <c r="U206" i="12" s="1"/>
  <c r="V206" i="12" s="1"/>
  <c r="W206" i="12" s="1"/>
  <c r="X206" i="12" s="1"/>
  <c r="Y206" i="12" s="1"/>
  <c r="Z206" i="12" s="1"/>
  <c r="R203" i="12"/>
  <c r="R207" i="12"/>
  <c r="S203" i="12" s="1"/>
  <c r="S207" i="12" s="1"/>
  <c r="T203" i="12" s="1"/>
  <c r="R205" i="12"/>
  <c r="R206" i="12"/>
  <c r="R204" i="12"/>
  <c r="Q207" i="12"/>
  <c r="Q203" i="12"/>
  <c r="R196" i="12"/>
  <c r="R200" i="12" s="1"/>
  <c r="S196" i="12" s="1"/>
  <c r="S200" i="12" s="1"/>
  <c r="T196" i="12" s="1"/>
  <c r="T200" i="12" s="1"/>
  <c r="U196" i="12" s="1"/>
  <c r="U200" i="12" s="1"/>
  <c r="V196" i="12" s="1"/>
  <c r="V200" i="12" s="1"/>
  <c r="W196" i="12" s="1"/>
  <c r="W200" i="12" s="1"/>
  <c r="X196" i="12" s="1"/>
  <c r="X200" i="12" s="1"/>
  <c r="Y196" i="12" s="1"/>
  <c r="Y200" i="12" s="1"/>
  <c r="Z196" i="12" s="1"/>
  <c r="Z200" i="12" s="1"/>
  <c r="S197" i="12"/>
  <c r="T197" i="12" s="1"/>
  <c r="U197" i="12" s="1"/>
  <c r="V197" i="12" s="1"/>
  <c r="W197" i="12" s="1"/>
  <c r="X197" i="12" s="1"/>
  <c r="Y197" i="12" s="1"/>
  <c r="Z197" i="12" s="1"/>
  <c r="S198" i="12"/>
  <c r="T198" i="12"/>
  <c r="U198" i="12" s="1"/>
  <c r="V198" i="12" s="1"/>
  <c r="W198" i="12" s="1"/>
  <c r="X198" i="12" s="1"/>
  <c r="Y198" i="12" s="1"/>
  <c r="Z198" i="12" s="1"/>
  <c r="S199" i="12"/>
  <c r="T199" i="12"/>
  <c r="U199" i="12" s="1"/>
  <c r="V199" i="12" s="1"/>
  <c r="W199" i="12" s="1"/>
  <c r="X199" i="12" s="1"/>
  <c r="Y199" i="12" s="1"/>
  <c r="Z199" i="12" s="1"/>
  <c r="R198" i="12"/>
  <c r="R199" i="12"/>
  <c r="R197" i="12"/>
  <c r="Q200" i="12"/>
  <c r="Q196" i="12"/>
  <c r="S190" i="12"/>
  <c r="T190" i="12" s="1"/>
  <c r="U190" i="12" s="1"/>
  <c r="V190" i="12" s="1"/>
  <c r="W190" i="12" s="1"/>
  <c r="X190" i="12" s="1"/>
  <c r="Y190" i="12" s="1"/>
  <c r="Z190" i="12" s="1"/>
  <c r="S191" i="12"/>
  <c r="T191" i="12" s="1"/>
  <c r="U191" i="12" s="1"/>
  <c r="V191" i="12" s="1"/>
  <c r="W191" i="12" s="1"/>
  <c r="X191" i="12" s="1"/>
  <c r="Y191" i="12" s="1"/>
  <c r="Z191" i="12" s="1"/>
  <c r="S192" i="12"/>
  <c r="T192" i="12" s="1"/>
  <c r="U192" i="12" s="1"/>
  <c r="V192" i="12" s="1"/>
  <c r="W192" i="12" s="1"/>
  <c r="X192" i="12" s="1"/>
  <c r="Y192" i="12" s="1"/>
  <c r="Z192" i="12" s="1"/>
  <c r="R191" i="12"/>
  <c r="R193" i="12" s="1"/>
  <c r="S189" i="12" s="1"/>
  <c r="S193" i="12" s="1"/>
  <c r="T189" i="12" s="1"/>
  <c r="R192" i="12"/>
  <c r="R190" i="12"/>
  <c r="R189" i="12"/>
  <c r="Q193" i="12"/>
  <c r="Q189" i="12"/>
  <c r="R186" i="12"/>
  <c r="S183" i="12"/>
  <c r="T183" i="12"/>
  <c r="U183" i="12" s="1"/>
  <c r="V183" i="12" s="1"/>
  <c r="W183" i="12" s="1"/>
  <c r="X183" i="12" s="1"/>
  <c r="Y183" i="12" s="1"/>
  <c r="Z183" i="12" s="1"/>
  <c r="S184" i="12"/>
  <c r="T184" i="12"/>
  <c r="U184" i="12" s="1"/>
  <c r="V184" i="12" s="1"/>
  <c r="W184" i="12" s="1"/>
  <c r="X184" i="12" s="1"/>
  <c r="Y184" i="12" s="1"/>
  <c r="Z184" i="12" s="1"/>
  <c r="S185" i="12"/>
  <c r="T185" i="12"/>
  <c r="U185" i="12" s="1"/>
  <c r="V185" i="12" s="1"/>
  <c r="W185" i="12" s="1"/>
  <c r="X185" i="12" s="1"/>
  <c r="Y185" i="12" s="1"/>
  <c r="Z185" i="12" s="1"/>
  <c r="R184" i="12"/>
  <c r="R185" i="12"/>
  <c r="R183" i="12"/>
  <c r="R182" i="12"/>
  <c r="S182" i="12"/>
  <c r="S186" i="12" s="1"/>
  <c r="T182" i="12" s="1"/>
  <c r="T186" i="12" s="1"/>
  <c r="U182" i="12" s="1"/>
  <c r="U186" i="12" s="1"/>
  <c r="V182" i="12" s="1"/>
  <c r="V186" i="12" s="1"/>
  <c r="W182" i="12" s="1"/>
  <c r="W186" i="12" s="1"/>
  <c r="X182" i="12" s="1"/>
  <c r="X186" i="12" s="1"/>
  <c r="Y182" i="12" s="1"/>
  <c r="Y186" i="12" s="1"/>
  <c r="Z182" i="12" s="1"/>
  <c r="Z186" i="12" s="1"/>
  <c r="Q186" i="12"/>
  <c r="Q182" i="12"/>
  <c r="S175" i="12"/>
  <c r="T175" i="12"/>
  <c r="U175" i="12" s="1"/>
  <c r="V175" i="12" s="1"/>
  <c r="W175" i="12" s="1"/>
  <c r="X175" i="12" s="1"/>
  <c r="Y175" i="12" s="1"/>
  <c r="Z175" i="12" s="1"/>
  <c r="S176" i="12"/>
  <c r="T176" i="12"/>
  <c r="U176" i="12" s="1"/>
  <c r="V176" i="12" s="1"/>
  <c r="W176" i="12" s="1"/>
  <c r="X176" i="12" s="1"/>
  <c r="Y176" i="12" s="1"/>
  <c r="Z176" i="12" s="1"/>
  <c r="S177" i="12"/>
  <c r="T177" i="12"/>
  <c r="U177" i="12" s="1"/>
  <c r="V177" i="12" s="1"/>
  <c r="W177" i="12" s="1"/>
  <c r="X177" i="12" s="1"/>
  <c r="Y177" i="12" s="1"/>
  <c r="Z177" i="12" s="1"/>
  <c r="S178" i="12"/>
  <c r="T178" i="12"/>
  <c r="U178" i="12" s="1"/>
  <c r="V178" i="12" s="1"/>
  <c r="W178" i="12" s="1"/>
  <c r="X178" i="12" s="1"/>
  <c r="Y178" i="12" s="1"/>
  <c r="Z178" i="12" s="1"/>
  <c r="R176" i="12"/>
  <c r="R179" i="12" s="1"/>
  <c r="S174" i="12" s="1"/>
  <c r="S179" i="12" s="1"/>
  <c r="T174" i="12" s="1"/>
  <c r="R177" i="12"/>
  <c r="R178" i="12"/>
  <c r="R175" i="12"/>
  <c r="R174" i="12"/>
  <c r="Q179" i="12"/>
  <c r="Q174" i="12"/>
  <c r="R167" i="12"/>
  <c r="R171" i="12" s="1"/>
  <c r="S167" i="12" s="1"/>
  <c r="S171" i="12" s="1"/>
  <c r="T167" i="12" s="1"/>
  <c r="T171" i="12" s="1"/>
  <c r="U167" i="12" s="1"/>
  <c r="U171" i="12" s="1"/>
  <c r="V167" i="12" s="1"/>
  <c r="V171" i="12" s="1"/>
  <c r="W167" i="12" s="1"/>
  <c r="W171" i="12" s="1"/>
  <c r="X167" i="12" s="1"/>
  <c r="X171" i="12" s="1"/>
  <c r="Y167" i="12" s="1"/>
  <c r="Y171" i="12" s="1"/>
  <c r="Z167" i="12" s="1"/>
  <c r="Z171" i="12" s="1"/>
  <c r="Q171" i="12"/>
  <c r="Q167" i="12"/>
  <c r="Q160" i="12"/>
  <c r="Y32" i="20" l="1"/>
  <c r="Y174" i="8"/>
  <c r="Y172" i="8" s="1"/>
  <c r="Z32" i="20"/>
  <c r="Z174" i="8"/>
  <c r="Z172" i="8" s="1"/>
  <c r="S210" i="6"/>
  <c r="S199" i="6"/>
  <c r="R237" i="13"/>
  <c r="S54" i="13"/>
  <c r="S24" i="13" s="1"/>
  <c r="R248" i="13"/>
  <c r="S43" i="13"/>
  <c r="S17" i="13" s="1"/>
  <c r="R251" i="13"/>
  <c r="R259" i="13"/>
  <c r="R47" i="13"/>
  <c r="R48" i="13" s="1"/>
  <c r="R21" i="13" s="1"/>
  <c r="S13" i="13"/>
  <c r="T13" i="13" s="1"/>
  <c r="U13" i="13" s="1"/>
  <c r="R59" i="13"/>
  <c r="T278" i="6"/>
  <c r="W190" i="6"/>
  <c r="S249" i="13"/>
  <c r="S250" i="13" s="1"/>
  <c r="S238" i="13"/>
  <c r="S239" i="13" s="1"/>
  <c r="S260" i="13"/>
  <c r="S261" i="13" s="1"/>
  <c r="S216" i="13"/>
  <c r="S217" i="13" s="1"/>
  <c r="S205" i="13"/>
  <c r="S227" i="13"/>
  <c r="S228" i="13" s="1"/>
  <c r="S179" i="13"/>
  <c r="S164" i="13"/>
  <c r="T4" i="13"/>
  <c r="R114" i="13"/>
  <c r="F162" i="13"/>
  <c r="S3" i="13"/>
  <c r="R214" i="12"/>
  <c r="S210" i="12" s="1"/>
  <c r="S214" i="12" s="1"/>
  <c r="T210" i="12" s="1"/>
  <c r="T214" i="12" s="1"/>
  <c r="U210" i="12" s="1"/>
  <c r="U214" i="12" s="1"/>
  <c r="V210" i="12" s="1"/>
  <c r="V214" i="12" s="1"/>
  <c r="W210" i="12" s="1"/>
  <c r="W214" i="12" s="1"/>
  <c r="X210" i="12" s="1"/>
  <c r="X214" i="12" s="1"/>
  <c r="Y210" i="12" s="1"/>
  <c r="Y214" i="12" s="1"/>
  <c r="Z210" i="12" s="1"/>
  <c r="Z214" i="12" s="1"/>
  <c r="T207" i="12"/>
  <c r="U203" i="12" s="1"/>
  <c r="U207" i="12" s="1"/>
  <c r="V203" i="12" s="1"/>
  <c r="V207" i="12" s="1"/>
  <c r="W203" i="12" s="1"/>
  <c r="W207" i="12" s="1"/>
  <c r="X203" i="12" s="1"/>
  <c r="X207" i="12" s="1"/>
  <c r="Y203" i="12" s="1"/>
  <c r="Y207" i="12" s="1"/>
  <c r="Z203" i="12" s="1"/>
  <c r="Z207" i="12" s="1"/>
  <c r="T193" i="12"/>
  <c r="U189" i="12" s="1"/>
  <c r="U193" i="12" s="1"/>
  <c r="V189" i="12" s="1"/>
  <c r="V193" i="12" s="1"/>
  <c r="W189" i="12" s="1"/>
  <c r="W193" i="12" s="1"/>
  <c r="X189" i="12" s="1"/>
  <c r="X193" i="12" s="1"/>
  <c r="Y189" i="12" s="1"/>
  <c r="Y193" i="12" s="1"/>
  <c r="Z189" i="12" s="1"/>
  <c r="Z193" i="12" s="1"/>
  <c r="T179" i="12"/>
  <c r="U174" i="12" s="1"/>
  <c r="U179" i="12" s="1"/>
  <c r="V174" i="12" s="1"/>
  <c r="V179" i="12" s="1"/>
  <c r="W174" i="12" s="1"/>
  <c r="W179" i="12" s="1"/>
  <c r="X174" i="12" s="1"/>
  <c r="X179" i="12" s="1"/>
  <c r="Y174" i="12" s="1"/>
  <c r="Y179" i="12" s="1"/>
  <c r="Z174" i="12" s="1"/>
  <c r="Z179" i="12" s="1"/>
  <c r="T210" i="6" l="1"/>
  <c r="T199" i="6"/>
  <c r="S57" i="13"/>
  <c r="V13" i="13"/>
  <c r="U278" i="6"/>
  <c r="Y190" i="6"/>
  <c r="X190" i="6"/>
  <c r="T260" i="13"/>
  <c r="T249" i="13"/>
  <c r="T227" i="13"/>
  <c r="T229" i="13" s="1"/>
  <c r="U226" i="13" s="1"/>
  <c r="T238" i="13"/>
  <c r="T216" i="13"/>
  <c r="T205" i="13"/>
  <c r="T190" i="13"/>
  <c r="T179" i="13"/>
  <c r="U4" i="13"/>
  <c r="T3" i="13"/>
  <c r="F177" i="13"/>
  <c r="R167" i="13"/>
  <c r="S114" i="13"/>
  <c r="R115" i="13"/>
  <c r="Q141" i="12"/>
  <c r="Q135" i="12"/>
  <c r="P289" i="12"/>
  <c r="Q277" i="12"/>
  <c r="P277" i="12"/>
  <c r="S276" i="12"/>
  <c r="T276" i="12" s="1"/>
  <c r="U276" i="12" s="1"/>
  <c r="V276" i="12" s="1"/>
  <c r="W276" i="12" s="1"/>
  <c r="X276" i="12" s="1"/>
  <c r="Y276" i="12" s="1"/>
  <c r="Z276" i="12" s="1"/>
  <c r="R276" i="12"/>
  <c r="Q276" i="12"/>
  <c r="Q125" i="12"/>
  <c r="U210" i="6" l="1"/>
  <c r="U199" i="6"/>
  <c r="S59" i="13"/>
  <c r="T54" i="13"/>
  <c r="T55" i="13"/>
  <c r="W13" i="13"/>
  <c r="V278" i="6"/>
  <c r="Z190" i="6"/>
  <c r="U249" i="13"/>
  <c r="U250" i="13" s="1"/>
  <c r="U260" i="13"/>
  <c r="U261" i="13" s="1"/>
  <c r="U216" i="13"/>
  <c r="U217" i="13" s="1"/>
  <c r="U227" i="13"/>
  <c r="U238" i="13"/>
  <c r="U239" i="13" s="1"/>
  <c r="U205" i="13"/>
  <c r="U190" i="13"/>
  <c r="U191" i="13" s="1"/>
  <c r="U111" i="13"/>
  <c r="V4" i="13"/>
  <c r="U3" i="13"/>
  <c r="U164" i="13"/>
  <c r="T250" i="13"/>
  <c r="T251" i="13" s="1"/>
  <c r="U248" i="13" s="1"/>
  <c r="T261" i="13"/>
  <c r="T262" i="13"/>
  <c r="U259" i="13" s="1"/>
  <c r="U262" i="13" s="1"/>
  <c r="V259" i="13" s="1"/>
  <c r="U229" i="13"/>
  <c r="V226" i="13" s="1"/>
  <c r="T191" i="13"/>
  <c r="T192" i="13" s="1"/>
  <c r="U189" i="13" s="1"/>
  <c r="R168" i="13"/>
  <c r="S167" i="13"/>
  <c r="T114" i="13"/>
  <c r="F188" i="13"/>
  <c r="R182" i="13"/>
  <c r="T217" i="13"/>
  <c r="T218" i="13" s="1"/>
  <c r="U215" i="13" s="1"/>
  <c r="U218" i="13" s="1"/>
  <c r="V215" i="13" s="1"/>
  <c r="T239" i="13"/>
  <c r="T240" i="13" s="1"/>
  <c r="U237" i="13" s="1"/>
  <c r="U240" i="13" s="1"/>
  <c r="V237" i="13" s="1"/>
  <c r="V210" i="6" l="1"/>
  <c r="V199" i="6"/>
  <c r="T57" i="13"/>
  <c r="T59" i="13"/>
  <c r="U251" i="13"/>
  <c r="V248" i="13" s="1"/>
  <c r="X13" i="13"/>
  <c r="U192" i="13"/>
  <c r="V189" i="13" s="1"/>
  <c r="W278" i="6"/>
  <c r="V260" i="13"/>
  <c r="V261" i="13" s="1"/>
  <c r="V262" i="13" s="1"/>
  <c r="W259" i="13" s="1"/>
  <c r="V249" i="13"/>
  <c r="V250" i="13" s="1"/>
  <c r="V238" i="13"/>
  <c r="V239" i="13" s="1"/>
  <c r="V227" i="13"/>
  <c r="V216" i="13"/>
  <c r="V217" i="13" s="1"/>
  <c r="V205" i="13"/>
  <c r="V164" i="13"/>
  <c r="V111" i="13"/>
  <c r="V190" i="13"/>
  <c r="V191" i="13" s="1"/>
  <c r="V179" i="13"/>
  <c r="V3" i="13"/>
  <c r="W4" i="13"/>
  <c r="V229" i="13"/>
  <c r="W226" i="13" s="1"/>
  <c r="R183" i="13"/>
  <c r="S182" i="13"/>
  <c r="U114" i="13"/>
  <c r="F203" i="13"/>
  <c r="R193" i="13"/>
  <c r="S168" i="13"/>
  <c r="T167" i="13"/>
  <c r="W210" i="6" l="1"/>
  <c r="W199" i="6"/>
  <c r="U55" i="13"/>
  <c r="U54" i="13"/>
  <c r="V26" i="13"/>
  <c r="T300" i="6" s="1"/>
  <c r="Y13" i="13"/>
  <c r="X278" i="6"/>
  <c r="S193" i="13"/>
  <c r="R194" i="13"/>
  <c r="R208" i="13"/>
  <c r="F214" i="13"/>
  <c r="V218" i="13"/>
  <c r="W215" i="13" s="1"/>
  <c r="W249" i="13"/>
  <c r="W250" i="13" s="1"/>
  <c r="W260" i="13"/>
  <c r="W261" i="13" s="1"/>
  <c r="W227" i="13"/>
  <c r="W238" i="13"/>
  <c r="W239" i="13" s="1"/>
  <c r="W216" i="13"/>
  <c r="W217" i="13" s="1"/>
  <c r="W190" i="13"/>
  <c r="W191" i="13" s="1"/>
  <c r="W179" i="13"/>
  <c r="W164" i="13"/>
  <c r="W3" i="13"/>
  <c r="X4" i="13"/>
  <c r="W111" i="13"/>
  <c r="V251" i="13"/>
  <c r="W248" i="13" s="1"/>
  <c r="V240" i="13"/>
  <c r="W237" i="13" s="1"/>
  <c r="W229" i="13"/>
  <c r="X226" i="13" s="1"/>
  <c r="U167" i="13"/>
  <c r="S183" i="13"/>
  <c r="T182" i="13"/>
  <c r="V114" i="13"/>
  <c r="V192" i="13"/>
  <c r="W189" i="13" s="1"/>
  <c r="X210" i="6" l="1"/>
  <c r="U57" i="13"/>
  <c r="W240" i="13"/>
  <c r="X237" i="13" s="1"/>
  <c r="W251" i="13"/>
  <c r="X248" i="13" s="1"/>
  <c r="Z13" i="13"/>
  <c r="Y278" i="6"/>
  <c r="T183" i="13"/>
  <c r="U182" i="13"/>
  <c r="X260" i="13"/>
  <c r="X261" i="13" s="1"/>
  <c r="X227" i="13"/>
  <c r="X249" i="13"/>
  <c r="X250" i="13" s="1"/>
  <c r="X238" i="13"/>
  <c r="X239" i="13" s="1"/>
  <c r="X216" i="13"/>
  <c r="X217" i="13" s="1"/>
  <c r="X205" i="13"/>
  <c r="X190" i="13"/>
  <c r="X191" i="13" s="1"/>
  <c r="X179" i="13"/>
  <c r="X164" i="13"/>
  <c r="X111" i="13"/>
  <c r="X3" i="13"/>
  <c r="Y4" i="13"/>
  <c r="R209" i="13"/>
  <c r="S208" i="13"/>
  <c r="W262" i="13"/>
  <c r="X259" i="13" s="1"/>
  <c r="W192" i="13"/>
  <c r="X189" i="13" s="1"/>
  <c r="T193" i="13"/>
  <c r="S194" i="13"/>
  <c r="X229" i="13"/>
  <c r="Y226" i="13" s="1"/>
  <c r="W218" i="13"/>
  <c r="X215" i="13" s="1"/>
  <c r="X218" i="13" s="1"/>
  <c r="Y215" i="13" s="1"/>
  <c r="V167" i="13"/>
  <c r="W114" i="13"/>
  <c r="R219" i="13"/>
  <c r="F225" i="13"/>
  <c r="Y210" i="6" l="1"/>
  <c r="Y199" i="6"/>
  <c r="X251" i="13"/>
  <c r="Y248" i="13" s="1"/>
  <c r="V54" i="13"/>
  <c r="V55" i="13"/>
  <c r="U59" i="13"/>
  <c r="X26" i="13"/>
  <c r="V300" i="6" s="1"/>
  <c r="AA13" i="13"/>
  <c r="X192" i="13"/>
  <c r="Y189" i="13" s="1"/>
  <c r="Z278" i="6"/>
  <c r="R220" i="13"/>
  <c r="S219" i="13"/>
  <c r="T194" i="13"/>
  <c r="U193" i="13"/>
  <c r="V182" i="13"/>
  <c r="X114" i="13"/>
  <c r="X262" i="13"/>
  <c r="Y259" i="13" s="1"/>
  <c r="X240" i="13"/>
  <c r="Y237" i="13" s="1"/>
  <c r="W167" i="13"/>
  <c r="S209" i="13"/>
  <c r="T208" i="13"/>
  <c r="F236" i="13"/>
  <c r="R230" i="13"/>
  <c r="Y229" i="13"/>
  <c r="Z226" i="13" s="1"/>
  <c r="Y260" i="13"/>
  <c r="Y261" i="13" s="1"/>
  <c r="Y249" i="13"/>
  <c r="Y250" i="13" s="1"/>
  <c r="Y238" i="13"/>
  <c r="Y239" i="13" s="1"/>
  <c r="Y227" i="13"/>
  <c r="Y216" i="13"/>
  <c r="Y217" i="13" s="1"/>
  <c r="Y190" i="13"/>
  <c r="Y191" i="13" s="1"/>
  <c r="Y205" i="13"/>
  <c r="Y179" i="13"/>
  <c r="Y164" i="13"/>
  <c r="Y111" i="13"/>
  <c r="Z4" i="13"/>
  <c r="Y3" i="13"/>
  <c r="Z210" i="6" l="1"/>
  <c r="V57" i="13"/>
  <c r="Y26" i="13"/>
  <c r="W300" i="6" s="1"/>
  <c r="AB13" i="13"/>
  <c r="Y192" i="13"/>
  <c r="Z189" i="13" s="1"/>
  <c r="W182" i="13"/>
  <c r="X167" i="13"/>
  <c r="S220" i="13"/>
  <c r="T219" i="13"/>
  <c r="Y240" i="13"/>
  <c r="Z237" i="13" s="1"/>
  <c r="Y218" i="13"/>
  <c r="Z215" i="13" s="1"/>
  <c r="R231" i="13"/>
  <c r="S230" i="13"/>
  <c r="Y262" i="13"/>
  <c r="Z259" i="13" s="1"/>
  <c r="Z260" i="13"/>
  <c r="Z261" i="13" s="1"/>
  <c r="Z238" i="13"/>
  <c r="Z239" i="13" s="1"/>
  <c r="Z216" i="13"/>
  <c r="Z217" i="13" s="1"/>
  <c r="Z190" i="13"/>
  <c r="Z191" i="13" s="1"/>
  <c r="Z249" i="13"/>
  <c r="Z250" i="13" s="1"/>
  <c r="Z205" i="13"/>
  <c r="Z227" i="13"/>
  <c r="Z229" i="13" s="1"/>
  <c r="AA226" i="13" s="1"/>
  <c r="Z179" i="13"/>
  <c r="Z164" i="13"/>
  <c r="Z111" i="13"/>
  <c r="AA4" i="13"/>
  <c r="Z3" i="13"/>
  <c r="F247" i="13"/>
  <c r="R241" i="13"/>
  <c r="Y251" i="13"/>
  <c r="Z248" i="13" s="1"/>
  <c r="U208" i="13"/>
  <c r="Y114" i="13"/>
  <c r="U194" i="13"/>
  <c r="V193" i="13"/>
  <c r="Z262" i="13" l="1"/>
  <c r="AA259" i="13" s="1"/>
  <c r="Z251" i="13"/>
  <c r="AA248" i="13" s="1"/>
  <c r="W55" i="13"/>
  <c r="W54" i="13"/>
  <c r="V59" i="13"/>
  <c r="Z26" i="13"/>
  <c r="X300" i="6" s="1"/>
  <c r="Z192" i="13"/>
  <c r="AA189" i="13" s="1"/>
  <c r="Z114" i="13"/>
  <c r="Z240" i="13"/>
  <c r="AA237" i="13" s="1"/>
  <c r="V208" i="13"/>
  <c r="S231" i="13"/>
  <c r="T230" i="13"/>
  <c r="U219" i="13"/>
  <c r="T220" i="13"/>
  <c r="X182" i="13"/>
  <c r="Y167" i="13"/>
  <c r="V194" i="13"/>
  <c r="W193" i="13"/>
  <c r="AA249" i="13"/>
  <c r="AA250" i="13" s="1"/>
  <c r="AA238" i="13"/>
  <c r="AA239" i="13" s="1"/>
  <c r="AA227" i="13"/>
  <c r="AA229" i="13" s="1"/>
  <c r="AB226" i="13" s="1"/>
  <c r="AA216" i="13"/>
  <c r="AA217" i="13" s="1"/>
  <c r="AA205" i="13"/>
  <c r="AA260" i="13"/>
  <c r="AA261" i="13" s="1"/>
  <c r="AA164" i="13"/>
  <c r="AA111" i="13"/>
  <c r="AA190" i="13"/>
  <c r="AA191" i="13" s="1"/>
  <c r="AA179" i="13"/>
  <c r="AA3" i="13"/>
  <c r="AB4" i="13"/>
  <c r="R242" i="13"/>
  <c r="S241" i="13"/>
  <c r="F258" i="13"/>
  <c r="R263" i="13" s="1"/>
  <c r="R252" i="13"/>
  <c r="Z218" i="13"/>
  <c r="AA215" i="13" s="1"/>
  <c r="W57" i="13" l="1"/>
  <c r="W59" i="13"/>
  <c r="AA218" i="13"/>
  <c r="AB215" i="13" s="1"/>
  <c r="AB218" i="13" s="1"/>
  <c r="AA240" i="13"/>
  <c r="AB237" i="13" s="1"/>
  <c r="AA26" i="13"/>
  <c r="Y300" i="6" s="1"/>
  <c r="R253" i="13"/>
  <c r="S252" i="13"/>
  <c r="AA114" i="13"/>
  <c r="W194" i="13"/>
  <c r="X193" i="13"/>
  <c r="T231" i="13"/>
  <c r="U230" i="13"/>
  <c r="Z167" i="13"/>
  <c r="U220" i="13"/>
  <c r="V219" i="13"/>
  <c r="W208" i="13"/>
  <c r="R264" i="13"/>
  <c r="S263" i="13"/>
  <c r="AB260" i="13"/>
  <c r="AB261" i="13" s="1"/>
  <c r="AB238" i="13"/>
  <c r="AB239" i="13" s="1"/>
  <c r="AB249" i="13"/>
  <c r="AB250" i="13" s="1"/>
  <c r="AB227" i="13"/>
  <c r="AB229" i="13" s="1"/>
  <c r="AB164" i="13"/>
  <c r="AB111" i="13"/>
  <c r="AB205" i="13"/>
  <c r="AB190" i="13"/>
  <c r="AB191" i="13" s="1"/>
  <c r="AC4" i="13"/>
  <c r="AB3" i="13"/>
  <c r="AB216" i="13"/>
  <c r="AB217" i="13" s="1"/>
  <c r="AB179" i="13"/>
  <c r="AA251" i="13"/>
  <c r="AB248" i="13" s="1"/>
  <c r="AB251" i="13" s="1"/>
  <c r="AA192" i="13"/>
  <c r="AB189" i="13" s="1"/>
  <c r="S242" i="13"/>
  <c r="T241" i="13"/>
  <c r="Y182" i="13"/>
  <c r="AA262" i="13"/>
  <c r="AB259" i="13" s="1"/>
  <c r="AB262" i="13" l="1"/>
  <c r="X55" i="13"/>
  <c r="X54" i="13"/>
  <c r="R28" i="13"/>
  <c r="AB26" i="13"/>
  <c r="Z300" i="6" s="1"/>
  <c r="AB192" i="13"/>
  <c r="T263" i="13"/>
  <c r="S264" i="13"/>
  <c r="X208" i="13"/>
  <c r="AB114" i="13"/>
  <c r="T242" i="13"/>
  <c r="U241" i="13"/>
  <c r="U231" i="13"/>
  <c r="V230" i="13"/>
  <c r="W219" i="13"/>
  <c r="V220" i="13"/>
  <c r="X194" i="13"/>
  <c r="Y193" i="13"/>
  <c r="Z182" i="13"/>
  <c r="AB240" i="13"/>
  <c r="AD4" i="13"/>
  <c r="AC3" i="13"/>
  <c r="AA167" i="13"/>
  <c r="S253" i="13"/>
  <c r="T252" i="13"/>
  <c r="X57" i="13" l="1"/>
  <c r="AA182" i="13"/>
  <c r="Y208" i="13"/>
  <c r="V241" i="13"/>
  <c r="U242" i="13"/>
  <c r="AB167" i="13"/>
  <c r="X219" i="13"/>
  <c r="W220" i="13"/>
  <c r="T264" i="13"/>
  <c r="U263" i="13"/>
  <c r="Y194" i="13"/>
  <c r="Z193" i="13"/>
  <c r="AD3" i="13"/>
  <c r="AE4" i="13"/>
  <c r="W230" i="13"/>
  <c r="V231" i="13"/>
  <c r="T253" i="13"/>
  <c r="U252" i="13"/>
  <c r="Q107" i="12"/>
  <c r="Q101" i="12"/>
  <c r="S105" i="12"/>
  <c r="T105" i="12" s="1"/>
  <c r="U105" i="12" s="1"/>
  <c r="V105" i="12" s="1"/>
  <c r="W105" i="12" s="1"/>
  <c r="X105" i="12" s="1"/>
  <c r="Y105" i="12" s="1"/>
  <c r="Z105" i="12" s="1"/>
  <c r="R105" i="12"/>
  <c r="P273" i="12"/>
  <c r="R110" i="12"/>
  <c r="S261" i="12"/>
  <c r="S110" i="12" s="1"/>
  <c r="R261" i="12"/>
  <c r="Q110" i="12"/>
  <c r="Q261" i="12"/>
  <c r="P261" i="12"/>
  <c r="S260" i="12"/>
  <c r="T260" i="12"/>
  <c r="U260" i="12"/>
  <c r="V260" i="12"/>
  <c r="W260" i="12" s="1"/>
  <c r="X260" i="12" s="1"/>
  <c r="Y260" i="12" s="1"/>
  <c r="Z260" i="12" s="1"/>
  <c r="R260" i="12"/>
  <c r="Q260" i="12"/>
  <c r="Q91" i="12"/>
  <c r="S95" i="12"/>
  <c r="T95" i="12"/>
  <c r="U95" i="12"/>
  <c r="V95" i="12"/>
  <c r="W95" i="12" s="1"/>
  <c r="X95" i="12" s="1"/>
  <c r="Y95" i="12" s="1"/>
  <c r="Z95" i="12" s="1"/>
  <c r="R95" i="12"/>
  <c r="Q74" i="12"/>
  <c r="P257" i="12"/>
  <c r="S76" i="12"/>
  <c r="T76" i="12"/>
  <c r="U76" i="12"/>
  <c r="V76" i="12"/>
  <c r="W76" i="12"/>
  <c r="X76" i="12"/>
  <c r="Y76" i="12"/>
  <c r="Z76" i="12"/>
  <c r="S62" i="12"/>
  <c r="T62" i="12" s="1"/>
  <c r="U62" i="12" s="1"/>
  <c r="V62" i="12" s="1"/>
  <c r="W62" i="12" s="1"/>
  <c r="X62" i="12" s="1"/>
  <c r="Y62" i="12" s="1"/>
  <c r="Z62" i="12" s="1"/>
  <c r="R62" i="12"/>
  <c r="S245" i="12"/>
  <c r="S77" i="12" s="1"/>
  <c r="R77" i="12"/>
  <c r="R245" i="12"/>
  <c r="Q77" i="12"/>
  <c r="Q245" i="12"/>
  <c r="P245" i="12"/>
  <c r="Q68" i="12"/>
  <c r="Q58" i="12"/>
  <c r="S244" i="12"/>
  <c r="T244" i="12"/>
  <c r="U244" i="12"/>
  <c r="V244" i="12"/>
  <c r="W244" i="12" s="1"/>
  <c r="X244" i="12" s="1"/>
  <c r="Y244" i="12" s="1"/>
  <c r="Z244" i="12" s="1"/>
  <c r="R244" i="12"/>
  <c r="Q244" i="12"/>
  <c r="S229" i="12"/>
  <c r="T229" i="12"/>
  <c r="U229" i="12"/>
  <c r="V229" i="12"/>
  <c r="W229" i="12" s="1"/>
  <c r="R229" i="12"/>
  <c r="Q229" i="12"/>
  <c r="Q40" i="12"/>
  <c r="Q34" i="12"/>
  <c r="AA35" i="12"/>
  <c r="AB35" i="12"/>
  <c r="AC35" i="12"/>
  <c r="AD35" i="12"/>
  <c r="AE35" i="12"/>
  <c r="AF35" i="12"/>
  <c r="AG35" i="12"/>
  <c r="AH35" i="12"/>
  <c r="P242" i="12"/>
  <c r="R31" i="12"/>
  <c r="S31" i="12"/>
  <c r="T31" i="12"/>
  <c r="U31" i="12"/>
  <c r="V31" i="12"/>
  <c r="W31" i="12"/>
  <c r="X31" i="12"/>
  <c r="Y31" i="12"/>
  <c r="Z31" i="12"/>
  <c r="L29" i="12"/>
  <c r="M29" i="12"/>
  <c r="N29" i="12"/>
  <c r="O29" i="12"/>
  <c r="P29" i="12"/>
  <c r="K29" i="12"/>
  <c r="T27" i="12"/>
  <c r="U27" i="12" s="1"/>
  <c r="V27" i="12" s="1"/>
  <c r="W27" i="12" s="1"/>
  <c r="X27" i="12" s="1"/>
  <c r="Y27" i="12" s="1"/>
  <c r="Z27" i="12" s="1"/>
  <c r="S27" i="12"/>
  <c r="Q23" i="12"/>
  <c r="S17" i="12"/>
  <c r="T17" i="12"/>
  <c r="U17" i="12"/>
  <c r="V17" i="12"/>
  <c r="W17" i="12" s="1"/>
  <c r="X17" i="12" s="1"/>
  <c r="Y17" i="12" s="1"/>
  <c r="Z17" i="12" s="1"/>
  <c r="AA17" i="12" s="1"/>
  <c r="R17" i="12"/>
  <c r="Q17" i="12"/>
  <c r="S16" i="12"/>
  <c r="T16" i="12"/>
  <c r="U16" i="12"/>
  <c r="V16" i="12" s="1"/>
  <c r="W16" i="12" s="1"/>
  <c r="X16" i="12" s="1"/>
  <c r="Y16" i="12" s="1"/>
  <c r="Z16" i="12" s="1"/>
  <c r="R16" i="12"/>
  <c r="Q16" i="12"/>
  <c r="S15" i="12"/>
  <c r="T15" i="12" s="1"/>
  <c r="U15" i="12" s="1"/>
  <c r="V15" i="12" s="1"/>
  <c r="W15" i="12" s="1"/>
  <c r="X15" i="12" s="1"/>
  <c r="Y15" i="12" s="1"/>
  <c r="Z15" i="12" s="1"/>
  <c r="R15" i="12"/>
  <c r="Q15" i="12"/>
  <c r="Y14" i="12"/>
  <c r="Z14" i="12"/>
  <c r="AA14" i="12"/>
  <c r="AB14" i="12" s="1"/>
  <c r="AC14" i="12" s="1"/>
  <c r="AD14" i="12" s="1"/>
  <c r="AE14" i="12" s="1"/>
  <c r="AF14" i="12" s="1"/>
  <c r="AG14" i="12" s="1"/>
  <c r="AH14" i="12" s="1"/>
  <c r="AI14" i="12" s="1"/>
  <c r="AJ14" i="12" s="1"/>
  <c r="AK14" i="12" s="1"/>
  <c r="AL14" i="12" s="1"/>
  <c r="AM14" i="12" s="1"/>
  <c r="AN14" i="12" s="1"/>
  <c r="AO14" i="12" s="1"/>
  <c r="AP14" i="12" s="1"/>
  <c r="AQ14" i="12" s="1"/>
  <c r="AR14" i="12" s="1"/>
  <c r="AS14" i="12" s="1"/>
  <c r="AT14" i="12" s="1"/>
  <c r="AU14" i="12" s="1"/>
  <c r="AV14" i="12" s="1"/>
  <c r="AW14" i="12" s="1"/>
  <c r="AX14" i="12" s="1"/>
  <c r="AY14" i="12" s="1"/>
  <c r="AZ14" i="12" s="1"/>
  <c r="BA14" i="12" s="1"/>
  <c r="S14" i="12"/>
  <c r="T14" i="12"/>
  <c r="U14" i="12"/>
  <c r="V14" i="12"/>
  <c r="W14" i="12" s="1"/>
  <c r="X14" i="12" s="1"/>
  <c r="R14" i="12"/>
  <c r="S13" i="12"/>
  <c r="T13" i="12"/>
  <c r="U13" i="12" s="1"/>
  <c r="V13" i="12" s="1"/>
  <c r="W13" i="12" s="1"/>
  <c r="X13" i="12" s="1"/>
  <c r="Y13" i="12" s="1"/>
  <c r="Z13" i="12" s="1"/>
  <c r="AA13" i="12" s="1"/>
  <c r="R13" i="12"/>
  <c r="Q13" i="12"/>
  <c r="K17" i="12"/>
  <c r="L17" i="12"/>
  <c r="M17" i="12"/>
  <c r="N17" i="12"/>
  <c r="O17" i="12"/>
  <c r="P17" i="12"/>
  <c r="J17" i="12"/>
  <c r="K16" i="12"/>
  <c r="L16" i="12"/>
  <c r="M16" i="12"/>
  <c r="N16" i="12"/>
  <c r="O16" i="12"/>
  <c r="P16" i="12"/>
  <c r="J16" i="12"/>
  <c r="K15" i="12"/>
  <c r="L15" i="12"/>
  <c r="M15" i="12"/>
  <c r="N15" i="12"/>
  <c r="O15" i="12"/>
  <c r="P15" i="12"/>
  <c r="J15" i="12"/>
  <c r="K14" i="12"/>
  <c r="L14" i="12"/>
  <c r="M14" i="12"/>
  <c r="N14" i="12"/>
  <c r="O14" i="12"/>
  <c r="P14" i="12"/>
  <c r="J14" i="12"/>
  <c r="K13" i="12"/>
  <c r="L13" i="12"/>
  <c r="M13" i="12"/>
  <c r="N13" i="12"/>
  <c r="O13" i="12"/>
  <c r="P13" i="12"/>
  <c r="J13" i="12"/>
  <c r="B1" i="12"/>
  <c r="K217" i="12"/>
  <c r="L217" i="12"/>
  <c r="M217" i="12"/>
  <c r="N217" i="12"/>
  <c r="O217" i="12"/>
  <c r="P217" i="12"/>
  <c r="Q217" i="12"/>
  <c r="R217" i="12"/>
  <c r="S217" i="12"/>
  <c r="T217" i="12"/>
  <c r="U217" i="12"/>
  <c r="V217" i="12"/>
  <c r="W217" i="12"/>
  <c r="X217" i="12"/>
  <c r="Y217" i="12"/>
  <c r="Z217" i="12"/>
  <c r="J217" i="12"/>
  <c r="K216" i="12"/>
  <c r="L216" i="12"/>
  <c r="M216" i="12"/>
  <c r="N216" i="12"/>
  <c r="O216" i="12"/>
  <c r="P216" i="12"/>
  <c r="J216" i="12"/>
  <c r="K215" i="12"/>
  <c r="L215" i="12"/>
  <c r="M215" i="12"/>
  <c r="N215" i="12"/>
  <c r="O215" i="12"/>
  <c r="P215" i="12"/>
  <c r="J215" i="12"/>
  <c r="K164" i="12"/>
  <c r="L164" i="12"/>
  <c r="M164" i="12"/>
  <c r="N164" i="12"/>
  <c r="O164" i="12"/>
  <c r="P164" i="12"/>
  <c r="J164" i="12"/>
  <c r="K160" i="12"/>
  <c r="L160" i="12"/>
  <c r="M160" i="12"/>
  <c r="N160" i="12"/>
  <c r="O160" i="12"/>
  <c r="P160" i="12"/>
  <c r="J160" i="12"/>
  <c r="Q143" i="12"/>
  <c r="R143" i="12"/>
  <c r="S143" i="12"/>
  <c r="T143" i="12"/>
  <c r="U143" i="12"/>
  <c r="V143" i="12"/>
  <c r="W143" i="12"/>
  <c r="X143" i="12"/>
  <c r="Y143" i="12"/>
  <c r="Z143" i="12"/>
  <c r="L141" i="12"/>
  <c r="K140" i="12"/>
  <c r="P140" i="12"/>
  <c r="K138" i="12"/>
  <c r="L138" i="12"/>
  <c r="M138" i="12"/>
  <c r="N138" i="12"/>
  <c r="O138" i="12"/>
  <c r="P138" i="12"/>
  <c r="J138" i="12"/>
  <c r="K135" i="12"/>
  <c r="K141" i="12" s="1"/>
  <c r="L135" i="12"/>
  <c r="L140" i="12" s="1"/>
  <c r="M135" i="12"/>
  <c r="M140" i="12" s="1"/>
  <c r="N135" i="12"/>
  <c r="N140" i="12" s="1"/>
  <c r="O135" i="12"/>
  <c r="O141" i="12" s="1"/>
  <c r="P135" i="12"/>
  <c r="P141" i="12" s="1"/>
  <c r="J135" i="12"/>
  <c r="J141" i="12" s="1"/>
  <c r="Q132" i="12"/>
  <c r="R132" i="12"/>
  <c r="S132" i="12"/>
  <c r="T132" i="12"/>
  <c r="U132" i="12"/>
  <c r="V132" i="12"/>
  <c r="W132" i="12"/>
  <c r="X132" i="12"/>
  <c r="Y132" i="12"/>
  <c r="Z132" i="12"/>
  <c r="L130" i="12"/>
  <c r="L142" i="12" s="1"/>
  <c r="L143" i="12" s="1"/>
  <c r="M130" i="12"/>
  <c r="M132" i="12" s="1"/>
  <c r="O130" i="12"/>
  <c r="O132" i="12" s="1"/>
  <c r="K128" i="12"/>
  <c r="K130" i="12" s="1"/>
  <c r="L128" i="12"/>
  <c r="M128" i="12"/>
  <c r="N128" i="12"/>
  <c r="N130" i="12" s="1"/>
  <c r="O128" i="12"/>
  <c r="P128" i="12"/>
  <c r="P130" i="12" s="1"/>
  <c r="J128" i="12"/>
  <c r="J130" i="12" s="1"/>
  <c r="K125" i="12"/>
  <c r="L125" i="12"/>
  <c r="M125" i="12"/>
  <c r="N125" i="12"/>
  <c r="O125" i="12"/>
  <c r="P125" i="12"/>
  <c r="J125" i="12"/>
  <c r="Q109" i="12"/>
  <c r="R109" i="12"/>
  <c r="S109" i="12"/>
  <c r="T109" i="12"/>
  <c r="U109" i="12"/>
  <c r="V109" i="12"/>
  <c r="W109" i="12"/>
  <c r="X109" i="12"/>
  <c r="Y109" i="12"/>
  <c r="Z109" i="12"/>
  <c r="L107" i="12"/>
  <c r="O107" i="12"/>
  <c r="J107" i="12"/>
  <c r="K106" i="12"/>
  <c r="L106" i="12"/>
  <c r="M106" i="12"/>
  <c r="N106" i="12"/>
  <c r="O106" i="12"/>
  <c r="P106" i="12"/>
  <c r="J106" i="12"/>
  <c r="K105" i="12"/>
  <c r="L105" i="12"/>
  <c r="M105" i="12"/>
  <c r="N105" i="12"/>
  <c r="O105" i="12"/>
  <c r="P105" i="12"/>
  <c r="J105" i="12"/>
  <c r="K104" i="12"/>
  <c r="L104" i="12"/>
  <c r="M104" i="12"/>
  <c r="N104" i="12"/>
  <c r="O104" i="12"/>
  <c r="P104" i="12"/>
  <c r="J104" i="12"/>
  <c r="K101" i="12"/>
  <c r="L101" i="12"/>
  <c r="M101" i="12"/>
  <c r="N101" i="12"/>
  <c r="O101" i="12"/>
  <c r="P101" i="12"/>
  <c r="J101" i="12"/>
  <c r="Q98" i="12"/>
  <c r="R98" i="12"/>
  <c r="S98" i="12"/>
  <c r="T98" i="12"/>
  <c r="U98" i="12"/>
  <c r="V98" i="12"/>
  <c r="W98" i="12"/>
  <c r="X98" i="12"/>
  <c r="Y98" i="12"/>
  <c r="Z98" i="12"/>
  <c r="K96" i="12"/>
  <c r="K98" i="12" s="1"/>
  <c r="M96" i="12"/>
  <c r="M108" i="12" s="1"/>
  <c r="M109" i="12" s="1"/>
  <c r="K95" i="12"/>
  <c r="L95" i="12"/>
  <c r="M95" i="12"/>
  <c r="N95" i="12"/>
  <c r="O95" i="12"/>
  <c r="P95" i="12"/>
  <c r="J95" i="12"/>
  <c r="K94" i="12"/>
  <c r="L94" i="12"/>
  <c r="M94" i="12"/>
  <c r="N94" i="12"/>
  <c r="O94" i="12"/>
  <c r="P94" i="12"/>
  <c r="J94" i="12"/>
  <c r="K91" i="12"/>
  <c r="K107" i="12" s="1"/>
  <c r="L91" i="12"/>
  <c r="L96" i="12" s="1"/>
  <c r="M91" i="12"/>
  <c r="M107" i="12" s="1"/>
  <c r="N91" i="12"/>
  <c r="N107" i="12" s="1"/>
  <c r="O91" i="12"/>
  <c r="O96" i="12" s="1"/>
  <c r="P91" i="12"/>
  <c r="P107" i="12" s="1"/>
  <c r="J91" i="12"/>
  <c r="J96" i="12" s="1"/>
  <c r="Q76" i="12"/>
  <c r="R76" i="12"/>
  <c r="O74" i="12"/>
  <c r="N73" i="12"/>
  <c r="P73" i="12"/>
  <c r="K72" i="12"/>
  <c r="L72" i="12"/>
  <c r="M72" i="12"/>
  <c r="N72" i="12"/>
  <c r="O72" i="12"/>
  <c r="P72" i="12"/>
  <c r="J72" i="12"/>
  <c r="K71" i="12"/>
  <c r="L71" i="12"/>
  <c r="M71" i="12"/>
  <c r="M73" i="12" s="1"/>
  <c r="N71" i="12"/>
  <c r="O71" i="12"/>
  <c r="P71" i="12"/>
  <c r="J71" i="12"/>
  <c r="K68" i="12"/>
  <c r="K73" i="12" s="1"/>
  <c r="L68" i="12"/>
  <c r="L73" i="12" s="1"/>
  <c r="M68" i="12"/>
  <c r="N68" i="12"/>
  <c r="O68" i="12"/>
  <c r="O73" i="12" s="1"/>
  <c r="P68" i="12"/>
  <c r="J68" i="12"/>
  <c r="J73" i="12" s="1"/>
  <c r="Q65" i="12"/>
  <c r="R65" i="12"/>
  <c r="S65" i="12"/>
  <c r="T65" i="12"/>
  <c r="U65" i="12"/>
  <c r="V65" i="12"/>
  <c r="W65" i="12"/>
  <c r="X65" i="12"/>
  <c r="Y65" i="12"/>
  <c r="Z65" i="12"/>
  <c r="AA65" i="12"/>
  <c r="P63" i="12"/>
  <c r="K62" i="12"/>
  <c r="L62" i="12"/>
  <c r="M62" i="12"/>
  <c r="N62" i="12"/>
  <c r="O62" i="12"/>
  <c r="P62" i="12"/>
  <c r="J62" i="12"/>
  <c r="J9" i="12" s="1"/>
  <c r="K61" i="12"/>
  <c r="K9" i="12" s="1"/>
  <c r="L61" i="12"/>
  <c r="L9" i="12" s="1"/>
  <c r="M61" i="12"/>
  <c r="M9" i="12" s="1"/>
  <c r="N61" i="12"/>
  <c r="N9" i="12" s="1"/>
  <c r="O61" i="12"/>
  <c r="O63" i="12" s="1"/>
  <c r="P61" i="12"/>
  <c r="P9" i="12" s="1"/>
  <c r="J61" i="12"/>
  <c r="J63" i="12" s="1"/>
  <c r="K58" i="12"/>
  <c r="K63" i="12" s="1"/>
  <c r="L58" i="12"/>
  <c r="L74" i="12" s="1"/>
  <c r="M58" i="12"/>
  <c r="M74" i="12" s="1"/>
  <c r="N58" i="12"/>
  <c r="N74" i="12" s="1"/>
  <c r="O58" i="12"/>
  <c r="P58" i="12"/>
  <c r="P74" i="12" s="1"/>
  <c r="J58" i="12"/>
  <c r="J74" i="12" s="1"/>
  <c r="R42" i="12"/>
  <c r="S42" i="12"/>
  <c r="T42" i="12"/>
  <c r="U42" i="12"/>
  <c r="V42" i="12"/>
  <c r="W42" i="12"/>
  <c r="X42" i="12"/>
  <c r="Y42" i="12"/>
  <c r="Z42" i="12"/>
  <c r="AA42" i="12"/>
  <c r="Q42" i="12"/>
  <c r="M41" i="12"/>
  <c r="K40" i="12"/>
  <c r="L40" i="12"/>
  <c r="N40" i="12"/>
  <c r="J40" i="12"/>
  <c r="M39" i="12"/>
  <c r="O39" i="12"/>
  <c r="O41" i="12" s="1"/>
  <c r="K38" i="12"/>
  <c r="L38" i="12"/>
  <c r="M38" i="12"/>
  <c r="N38" i="12"/>
  <c r="O38" i="12"/>
  <c r="P38" i="12"/>
  <c r="J38" i="12"/>
  <c r="K37" i="12"/>
  <c r="K8" i="12" s="1"/>
  <c r="L37" i="12"/>
  <c r="L8" i="12" s="1"/>
  <c r="M37" i="12"/>
  <c r="N37" i="12"/>
  <c r="N8" i="12" s="1"/>
  <c r="O37" i="12"/>
  <c r="O8" i="12" s="1"/>
  <c r="P37" i="12"/>
  <c r="P8" i="12" s="1"/>
  <c r="J37" i="12"/>
  <c r="J8" i="12" s="1"/>
  <c r="K34" i="12"/>
  <c r="K39" i="12" s="1"/>
  <c r="K41" i="12" s="1"/>
  <c r="L34" i="12"/>
  <c r="M34" i="12"/>
  <c r="M40" i="12" s="1"/>
  <c r="N34" i="12"/>
  <c r="O34" i="12"/>
  <c r="O40" i="12" s="1"/>
  <c r="P34" i="12"/>
  <c r="P39" i="12" s="1"/>
  <c r="P41" i="12" s="1"/>
  <c r="J34" i="12"/>
  <c r="J39" i="12" s="1"/>
  <c r="J41" i="12" s="1"/>
  <c r="Q31" i="12"/>
  <c r="J31" i="12"/>
  <c r="K28" i="12"/>
  <c r="L28" i="12"/>
  <c r="M28" i="12"/>
  <c r="N28" i="12"/>
  <c r="O28" i="12"/>
  <c r="P28" i="12"/>
  <c r="J28" i="12"/>
  <c r="K27" i="12"/>
  <c r="L27" i="12"/>
  <c r="M27" i="12"/>
  <c r="N27" i="12"/>
  <c r="O27" i="12"/>
  <c r="P27" i="12"/>
  <c r="J27" i="12"/>
  <c r="K26" i="12"/>
  <c r="L26" i="12"/>
  <c r="M26" i="12"/>
  <c r="N26" i="12"/>
  <c r="O26" i="12"/>
  <c r="P26" i="12"/>
  <c r="J26" i="12"/>
  <c r="K23" i="12"/>
  <c r="L23" i="12"/>
  <c r="M23" i="12"/>
  <c r="N23" i="12"/>
  <c r="O23" i="12"/>
  <c r="P23" i="12"/>
  <c r="J23" i="12"/>
  <c r="G3" i="12"/>
  <c r="H3" i="12" s="1"/>
  <c r="F3" i="12"/>
  <c r="E3" i="12"/>
  <c r="F2" i="12"/>
  <c r="E2" i="12"/>
  <c r="K31" i="12"/>
  <c r="K142" i="11"/>
  <c r="L142" i="11"/>
  <c r="M142" i="11"/>
  <c r="N142" i="11"/>
  <c r="O142" i="11"/>
  <c r="P142" i="11"/>
  <c r="AB142" i="11"/>
  <c r="AC142" i="11"/>
  <c r="AD142" i="11"/>
  <c r="AE142" i="11"/>
  <c r="AF142" i="11"/>
  <c r="AG142" i="11"/>
  <c r="AH142" i="11"/>
  <c r="AI142" i="11"/>
  <c r="AJ142" i="11"/>
  <c r="AK142" i="11"/>
  <c r="AL142" i="11"/>
  <c r="AM142" i="11"/>
  <c r="AN142" i="11"/>
  <c r="AO142" i="11"/>
  <c r="AP142" i="11"/>
  <c r="AQ142" i="11"/>
  <c r="AR142" i="11"/>
  <c r="AS142" i="11"/>
  <c r="AT142" i="11"/>
  <c r="AU142" i="11"/>
  <c r="AV142" i="11"/>
  <c r="AW142" i="11"/>
  <c r="AX142" i="11"/>
  <c r="AY142" i="11"/>
  <c r="AZ142" i="11"/>
  <c r="BA142" i="11"/>
  <c r="J142" i="11"/>
  <c r="K141" i="11"/>
  <c r="L141" i="11"/>
  <c r="M141" i="11"/>
  <c r="N141" i="11"/>
  <c r="O141" i="11"/>
  <c r="P141" i="11"/>
  <c r="K140" i="11"/>
  <c r="L140" i="11"/>
  <c r="M140" i="11"/>
  <c r="N140" i="11"/>
  <c r="O140" i="11"/>
  <c r="P140" i="11"/>
  <c r="K139" i="11"/>
  <c r="L139" i="11"/>
  <c r="M139" i="11"/>
  <c r="O139" i="11"/>
  <c r="P139" i="11"/>
  <c r="J139" i="11"/>
  <c r="J141" i="11"/>
  <c r="J140" i="11"/>
  <c r="K72" i="11"/>
  <c r="L72" i="11"/>
  <c r="M72" i="11"/>
  <c r="N72" i="11"/>
  <c r="O72" i="11"/>
  <c r="P72" i="11"/>
  <c r="J72" i="11"/>
  <c r="K69" i="11"/>
  <c r="L69" i="11"/>
  <c r="M69" i="11"/>
  <c r="N69" i="11"/>
  <c r="O69" i="11"/>
  <c r="P69" i="11"/>
  <c r="K70" i="11"/>
  <c r="L70" i="11"/>
  <c r="M70" i="11"/>
  <c r="N70" i="11"/>
  <c r="O70" i="11"/>
  <c r="P70" i="11"/>
  <c r="Q70" i="11"/>
  <c r="R70" i="11"/>
  <c r="S70" i="11"/>
  <c r="T70" i="11"/>
  <c r="U70" i="11"/>
  <c r="V70" i="11"/>
  <c r="W70" i="11"/>
  <c r="X70" i="11"/>
  <c r="Y70" i="11"/>
  <c r="Z70" i="11"/>
  <c r="AA70" i="11"/>
  <c r="K71" i="11"/>
  <c r="L71" i="11"/>
  <c r="M71" i="11"/>
  <c r="N71" i="11"/>
  <c r="O71" i="11"/>
  <c r="P71" i="11"/>
  <c r="Q71" i="11"/>
  <c r="R71" i="11"/>
  <c r="S71" i="11"/>
  <c r="T71" i="11"/>
  <c r="U71" i="11"/>
  <c r="V71" i="11"/>
  <c r="W71" i="11"/>
  <c r="X71" i="11"/>
  <c r="Y71" i="11"/>
  <c r="Z71" i="11"/>
  <c r="AA71" i="11"/>
  <c r="J70" i="11"/>
  <c r="J71" i="11"/>
  <c r="J69" i="11"/>
  <c r="L66" i="11"/>
  <c r="M66" i="11"/>
  <c r="N66" i="11"/>
  <c r="O66" i="11"/>
  <c r="P66" i="11"/>
  <c r="K66" i="11"/>
  <c r="K65" i="11"/>
  <c r="L65" i="11"/>
  <c r="M65" i="11"/>
  <c r="N65" i="11"/>
  <c r="O65" i="11"/>
  <c r="P65" i="11"/>
  <c r="J65" i="11"/>
  <c r="L61" i="11"/>
  <c r="M61" i="11"/>
  <c r="N61" i="11"/>
  <c r="O61" i="11"/>
  <c r="P61" i="11"/>
  <c r="K61" i="11"/>
  <c r="K60" i="11"/>
  <c r="L60" i="11"/>
  <c r="M60" i="11"/>
  <c r="N60" i="11"/>
  <c r="O60" i="11"/>
  <c r="P60" i="11"/>
  <c r="J60" i="11"/>
  <c r="K64" i="11"/>
  <c r="L64" i="11"/>
  <c r="M64" i="11"/>
  <c r="N64" i="11"/>
  <c r="O64" i="11"/>
  <c r="P64" i="11"/>
  <c r="Q64" i="11"/>
  <c r="R64" i="11"/>
  <c r="S64" i="11"/>
  <c r="T64" i="11"/>
  <c r="U64" i="11"/>
  <c r="V64" i="11"/>
  <c r="W64" i="11"/>
  <c r="X64" i="11"/>
  <c r="Y64" i="11"/>
  <c r="Z64" i="11"/>
  <c r="AA64" i="11"/>
  <c r="J64" i="11"/>
  <c r="K63" i="11"/>
  <c r="L63" i="11"/>
  <c r="M63" i="11"/>
  <c r="N63" i="11"/>
  <c r="O63" i="11"/>
  <c r="P63" i="11"/>
  <c r="Q63" i="11"/>
  <c r="R63" i="11"/>
  <c r="S63" i="11"/>
  <c r="T63" i="11"/>
  <c r="U63" i="11"/>
  <c r="V63" i="11"/>
  <c r="W63" i="11"/>
  <c r="X63" i="11"/>
  <c r="Y63" i="11"/>
  <c r="Z63" i="11"/>
  <c r="AA63" i="11"/>
  <c r="J63" i="11"/>
  <c r="K62" i="11"/>
  <c r="L62" i="11"/>
  <c r="M62" i="11"/>
  <c r="N62" i="11"/>
  <c r="O62" i="11"/>
  <c r="P62" i="11"/>
  <c r="J62" i="11"/>
  <c r="K42" i="11"/>
  <c r="L42" i="11"/>
  <c r="M42" i="11"/>
  <c r="N42" i="11"/>
  <c r="O42" i="11"/>
  <c r="P42" i="11"/>
  <c r="J42" i="11"/>
  <c r="K44" i="11"/>
  <c r="L44" i="11"/>
  <c r="M44" i="11"/>
  <c r="N44" i="11"/>
  <c r="O44" i="11"/>
  <c r="P44" i="11"/>
  <c r="J44" i="11"/>
  <c r="K52" i="11"/>
  <c r="L52" i="11"/>
  <c r="M52" i="11"/>
  <c r="N52" i="11"/>
  <c r="O52" i="11"/>
  <c r="P52" i="11"/>
  <c r="J52" i="11"/>
  <c r="K51" i="11"/>
  <c r="L51" i="11"/>
  <c r="M51" i="11"/>
  <c r="N51" i="11"/>
  <c r="O51" i="11"/>
  <c r="P51" i="11"/>
  <c r="J51" i="11"/>
  <c r="K50" i="11"/>
  <c r="L50" i="11"/>
  <c r="M50" i="11"/>
  <c r="N50" i="11"/>
  <c r="O50" i="11"/>
  <c r="P50" i="11"/>
  <c r="J50" i="11"/>
  <c r="K49" i="11"/>
  <c r="L49" i="11"/>
  <c r="M49" i="11"/>
  <c r="N49" i="11"/>
  <c r="O49" i="11"/>
  <c r="P49" i="11"/>
  <c r="J49" i="11"/>
  <c r="K48" i="11"/>
  <c r="L48" i="11"/>
  <c r="M48" i="11"/>
  <c r="N48" i="11"/>
  <c r="O48" i="11"/>
  <c r="P48" i="11"/>
  <c r="J48" i="11"/>
  <c r="K47" i="11"/>
  <c r="L47" i="11"/>
  <c r="M47" i="11"/>
  <c r="N47" i="11"/>
  <c r="O47" i="11"/>
  <c r="P47" i="11"/>
  <c r="J47" i="11"/>
  <c r="K46" i="11"/>
  <c r="L46" i="11"/>
  <c r="M46" i="11"/>
  <c r="N46" i="11"/>
  <c r="O46" i="11"/>
  <c r="P46" i="11"/>
  <c r="J46" i="11"/>
  <c r="AB33" i="11"/>
  <c r="K33" i="11"/>
  <c r="L33" i="11"/>
  <c r="M33" i="11"/>
  <c r="N33" i="11"/>
  <c r="O33" i="11"/>
  <c r="P33" i="11"/>
  <c r="J33" i="11"/>
  <c r="K32" i="11"/>
  <c r="L32" i="11"/>
  <c r="M32" i="11"/>
  <c r="N32" i="11"/>
  <c r="N40" i="11" s="1"/>
  <c r="O32" i="11"/>
  <c r="O40" i="11" s="1"/>
  <c r="P32" i="11"/>
  <c r="J32" i="11"/>
  <c r="K40" i="11"/>
  <c r="L40" i="11"/>
  <c r="M40" i="11"/>
  <c r="P40" i="11"/>
  <c r="K39" i="11"/>
  <c r="L39" i="11"/>
  <c r="M39" i="11"/>
  <c r="N39" i="11"/>
  <c r="O39" i="11"/>
  <c r="P39" i="11"/>
  <c r="J39" i="11"/>
  <c r="K38" i="11"/>
  <c r="L38" i="11"/>
  <c r="M38" i="11"/>
  <c r="N38" i="11"/>
  <c r="O38" i="11"/>
  <c r="P38" i="11"/>
  <c r="J38" i="11"/>
  <c r="K37" i="11"/>
  <c r="L37" i="11"/>
  <c r="M37" i="11"/>
  <c r="N37" i="11"/>
  <c r="O37" i="11"/>
  <c r="P37" i="11"/>
  <c r="J37" i="11"/>
  <c r="K36" i="11"/>
  <c r="L36" i="11"/>
  <c r="M36" i="11"/>
  <c r="N36" i="11"/>
  <c r="O36" i="11"/>
  <c r="P36" i="11"/>
  <c r="J36" i="11"/>
  <c r="K35" i="11"/>
  <c r="L35" i="11"/>
  <c r="M35" i="11"/>
  <c r="N35" i="11"/>
  <c r="O35" i="11"/>
  <c r="P35" i="11"/>
  <c r="J35" i="11"/>
  <c r="K34" i="11"/>
  <c r="L34" i="11"/>
  <c r="M34" i="11"/>
  <c r="N34" i="11"/>
  <c r="O34" i="11"/>
  <c r="P34" i="11"/>
  <c r="J34" i="11"/>
  <c r="N32" i="9"/>
  <c r="O32" i="9"/>
  <c r="P32" i="9"/>
  <c r="Q32" i="9"/>
  <c r="R32" i="9"/>
  <c r="K136" i="11"/>
  <c r="L136" i="11"/>
  <c r="M136" i="11"/>
  <c r="N136" i="11"/>
  <c r="O136" i="11"/>
  <c r="P136" i="11"/>
  <c r="J136" i="11"/>
  <c r="K123" i="11"/>
  <c r="L123" i="11"/>
  <c r="M123" i="11"/>
  <c r="N123" i="11"/>
  <c r="O123" i="11"/>
  <c r="P123" i="11"/>
  <c r="J123" i="11"/>
  <c r="S135" i="11"/>
  <c r="T135" i="11" s="1"/>
  <c r="U135" i="11" s="1"/>
  <c r="V135" i="11" s="1"/>
  <c r="W135" i="11" s="1"/>
  <c r="X135" i="11" s="1"/>
  <c r="Y135" i="11" s="1"/>
  <c r="Z135" i="11" s="1"/>
  <c r="AA135" i="11" s="1"/>
  <c r="R135" i="11"/>
  <c r="Q135" i="11"/>
  <c r="S133" i="11"/>
  <c r="T133" i="11"/>
  <c r="U133" i="11" s="1"/>
  <c r="V133" i="11" s="1"/>
  <c r="W133" i="11" s="1"/>
  <c r="X133" i="11" s="1"/>
  <c r="Y133" i="11" s="1"/>
  <c r="Z133" i="11" s="1"/>
  <c r="AA133" i="11" s="1"/>
  <c r="R133" i="11"/>
  <c r="Q133" i="11"/>
  <c r="S131" i="11"/>
  <c r="T131" i="11" s="1"/>
  <c r="U131" i="11" s="1"/>
  <c r="V131" i="11" s="1"/>
  <c r="W131" i="11" s="1"/>
  <c r="X131" i="11" s="1"/>
  <c r="Y131" i="11" s="1"/>
  <c r="Z131" i="11" s="1"/>
  <c r="AA131" i="11" s="1"/>
  <c r="R131" i="11"/>
  <c r="Q131" i="11"/>
  <c r="S129" i="11"/>
  <c r="T129" i="11"/>
  <c r="U129" i="11" s="1"/>
  <c r="V129" i="11" s="1"/>
  <c r="W129" i="11" s="1"/>
  <c r="X129" i="11" s="1"/>
  <c r="Y129" i="11" s="1"/>
  <c r="Z129" i="11" s="1"/>
  <c r="AA129" i="11" s="1"/>
  <c r="R129" i="11"/>
  <c r="Q129" i="11"/>
  <c r="S127" i="11"/>
  <c r="T127" i="11" s="1"/>
  <c r="U127" i="11" s="1"/>
  <c r="V127" i="11" s="1"/>
  <c r="W127" i="11" s="1"/>
  <c r="X127" i="11" s="1"/>
  <c r="Y127" i="11" s="1"/>
  <c r="Z127" i="11" s="1"/>
  <c r="AA127" i="11" s="1"/>
  <c r="R127" i="11"/>
  <c r="Q127" i="11"/>
  <c r="S125" i="11"/>
  <c r="T125" i="11" s="1"/>
  <c r="U125" i="11" s="1"/>
  <c r="V125" i="11" s="1"/>
  <c r="W125" i="11" s="1"/>
  <c r="X125" i="11" s="1"/>
  <c r="Y125" i="11" s="1"/>
  <c r="Z125" i="11" s="1"/>
  <c r="AA125" i="11" s="1"/>
  <c r="R125" i="11"/>
  <c r="Q125" i="11"/>
  <c r="K135" i="11"/>
  <c r="L135" i="11"/>
  <c r="M135" i="11"/>
  <c r="N135" i="11"/>
  <c r="O135" i="11"/>
  <c r="P135" i="11"/>
  <c r="J135" i="11"/>
  <c r="K134" i="11"/>
  <c r="L134" i="11"/>
  <c r="M134" i="11"/>
  <c r="N134" i="11"/>
  <c r="O134" i="11"/>
  <c r="P134" i="11"/>
  <c r="J134" i="11"/>
  <c r="K133" i="11"/>
  <c r="L133" i="11"/>
  <c r="M133" i="11"/>
  <c r="N133" i="11"/>
  <c r="O133" i="11"/>
  <c r="P133" i="11"/>
  <c r="J133" i="11"/>
  <c r="K132" i="11"/>
  <c r="L132" i="11"/>
  <c r="M132" i="11"/>
  <c r="N132" i="11"/>
  <c r="O132" i="11"/>
  <c r="P132" i="11"/>
  <c r="J132" i="11"/>
  <c r="K131" i="11"/>
  <c r="L131" i="11"/>
  <c r="M131" i="11"/>
  <c r="N131" i="11"/>
  <c r="O131" i="11"/>
  <c r="P131" i="11"/>
  <c r="J131" i="11"/>
  <c r="K130" i="11"/>
  <c r="L130" i="11"/>
  <c r="M130" i="11"/>
  <c r="N130" i="11"/>
  <c r="O130" i="11"/>
  <c r="P130" i="11"/>
  <c r="J130" i="11"/>
  <c r="K129" i="11"/>
  <c r="L129" i="11"/>
  <c r="M129" i="11"/>
  <c r="N129" i="11"/>
  <c r="O129" i="11"/>
  <c r="P129" i="11"/>
  <c r="J129" i="11"/>
  <c r="K128" i="11"/>
  <c r="L128" i="11"/>
  <c r="M128" i="11"/>
  <c r="N128" i="11"/>
  <c r="O128" i="11"/>
  <c r="P128" i="11"/>
  <c r="J128" i="11"/>
  <c r="K127" i="11"/>
  <c r="L127" i="11"/>
  <c r="M127" i="11"/>
  <c r="N127" i="11"/>
  <c r="O127" i="11"/>
  <c r="P127" i="11"/>
  <c r="J127" i="11"/>
  <c r="K126" i="11"/>
  <c r="L126" i="11"/>
  <c r="M126" i="11"/>
  <c r="N126" i="11"/>
  <c r="O126" i="11"/>
  <c r="P126" i="11"/>
  <c r="J126" i="11"/>
  <c r="K125" i="11"/>
  <c r="L125" i="11"/>
  <c r="M125" i="11"/>
  <c r="N125" i="11"/>
  <c r="O125" i="11"/>
  <c r="P125" i="11"/>
  <c r="J125" i="11"/>
  <c r="K124" i="11"/>
  <c r="L124" i="11"/>
  <c r="M124" i="11"/>
  <c r="N124" i="11"/>
  <c r="O124" i="11"/>
  <c r="P124" i="11"/>
  <c r="J124" i="11"/>
  <c r="Y54" i="13" l="1"/>
  <c r="Y55" i="13"/>
  <c r="X59" i="13"/>
  <c r="Z194" i="13"/>
  <c r="AA193" i="13"/>
  <c r="Y219" i="13"/>
  <c r="X220" i="13"/>
  <c r="X230" i="13"/>
  <c r="W231" i="13"/>
  <c r="AB182" i="13"/>
  <c r="Z208" i="13"/>
  <c r="AF4" i="13"/>
  <c r="AE3" i="13"/>
  <c r="V242" i="13"/>
  <c r="W241" i="13"/>
  <c r="U253" i="13"/>
  <c r="V252" i="13"/>
  <c r="U264" i="13"/>
  <c r="V263" i="13"/>
  <c r="T261" i="12"/>
  <c r="T110" i="12"/>
  <c r="T245" i="12"/>
  <c r="X229" i="12"/>
  <c r="J98" i="12"/>
  <c r="J108" i="12"/>
  <c r="J109" i="12" s="1"/>
  <c r="J132" i="12"/>
  <c r="K142" i="12"/>
  <c r="K143" i="12" s="1"/>
  <c r="K132" i="12"/>
  <c r="O42" i="12"/>
  <c r="K75" i="12"/>
  <c r="K76" i="12" s="1"/>
  <c r="K65" i="12"/>
  <c r="K6" i="12"/>
  <c r="O108" i="12"/>
  <c r="O109" i="12" s="1"/>
  <c r="O98" i="12"/>
  <c r="P142" i="12"/>
  <c r="P132" i="12"/>
  <c r="K42" i="12"/>
  <c r="J65" i="12"/>
  <c r="J6" i="12"/>
  <c r="J75" i="12"/>
  <c r="J76" i="12" s="1"/>
  <c r="N142" i="12"/>
  <c r="N143" i="12" s="1"/>
  <c r="N132" i="12"/>
  <c r="P42" i="12"/>
  <c r="J42" i="12"/>
  <c r="O6" i="12"/>
  <c r="O75" i="12"/>
  <c r="O76" i="12" s="1"/>
  <c r="O65" i="12"/>
  <c r="L108" i="12"/>
  <c r="L109" i="12" s="1"/>
  <c r="L98" i="12"/>
  <c r="M8" i="12"/>
  <c r="N63" i="12"/>
  <c r="P65" i="12"/>
  <c r="K74" i="12"/>
  <c r="L132" i="12"/>
  <c r="J140" i="12"/>
  <c r="J142" i="12" s="1"/>
  <c r="J143" i="12" s="1"/>
  <c r="M63" i="12"/>
  <c r="P96" i="12"/>
  <c r="P6" i="12" s="1"/>
  <c r="K108" i="12"/>
  <c r="K109" i="12" s="1"/>
  <c r="P40" i="12"/>
  <c r="P230" i="12"/>
  <c r="Q230" i="12" s="1"/>
  <c r="L63" i="12"/>
  <c r="P75" i="12"/>
  <c r="O140" i="12"/>
  <c r="O142" i="12" s="1"/>
  <c r="O143" i="12" s="1"/>
  <c r="N141" i="12"/>
  <c r="M142" i="12"/>
  <c r="M143" i="12" s="1"/>
  <c r="N96" i="12"/>
  <c r="M141" i="12"/>
  <c r="O9" i="12"/>
  <c r="M42" i="12"/>
  <c r="N39" i="12"/>
  <c r="N41" i="12" s="1"/>
  <c r="M98" i="12"/>
  <c r="L39" i="12"/>
  <c r="L41" i="12" s="1"/>
  <c r="P31" i="12"/>
  <c r="O31" i="12"/>
  <c r="N31" i="12"/>
  <c r="M31" i="12"/>
  <c r="L31" i="12"/>
  <c r="H2" i="12"/>
  <c r="I3" i="12"/>
  <c r="N139" i="11"/>
  <c r="Y57" i="13" l="1"/>
  <c r="V264" i="13"/>
  <c r="W263" i="13"/>
  <c r="AF3" i="13"/>
  <c r="AG4" i="13"/>
  <c r="Y220" i="13"/>
  <c r="Z219" i="13"/>
  <c r="W252" i="13"/>
  <c r="V253" i="13"/>
  <c r="AA208" i="13"/>
  <c r="X231" i="13"/>
  <c r="Y230" i="13"/>
  <c r="AB193" i="13"/>
  <c r="AA194" i="13"/>
  <c r="X241" i="13"/>
  <c r="W242" i="13"/>
  <c r="U261" i="12"/>
  <c r="T77" i="12"/>
  <c r="Y229" i="12"/>
  <c r="J7" i="12"/>
  <c r="P143" i="12"/>
  <c r="P144" i="12"/>
  <c r="N108" i="12"/>
  <c r="N109" i="12" s="1"/>
  <c r="N98" i="12"/>
  <c r="P76" i="12"/>
  <c r="P77" i="12"/>
  <c r="P108" i="12"/>
  <c r="P98" i="12"/>
  <c r="N42" i="12"/>
  <c r="L65" i="12"/>
  <c r="L6" i="12"/>
  <c r="L75" i="12"/>
  <c r="L76" i="12" s="1"/>
  <c r="N6" i="12"/>
  <c r="N75" i="12"/>
  <c r="N76" i="12" s="1"/>
  <c r="N65" i="12"/>
  <c r="L42" i="12"/>
  <c r="M75" i="12"/>
  <c r="M65" i="12"/>
  <c r="M6" i="12"/>
  <c r="P7" i="12"/>
  <c r="K7" i="12"/>
  <c r="Q43" i="12"/>
  <c r="R230" i="12" s="1"/>
  <c r="O7" i="12"/>
  <c r="E221" i="12"/>
  <c r="F221" i="12" s="1"/>
  <c r="J3" i="12"/>
  <c r="I2" i="12"/>
  <c r="E220" i="12"/>
  <c r="F220" i="12" s="1"/>
  <c r="Z55" i="13" l="1"/>
  <c r="Y59" i="13"/>
  <c r="Z54" i="13"/>
  <c r="W264" i="13"/>
  <c r="X263" i="13"/>
  <c r="X242" i="13"/>
  <c r="Y241" i="13"/>
  <c r="AB208" i="13"/>
  <c r="Y231" i="13"/>
  <c r="Z230" i="13"/>
  <c r="Z220" i="13"/>
  <c r="AA219" i="13"/>
  <c r="AB194" i="13"/>
  <c r="W253" i="13"/>
  <c r="X252" i="13"/>
  <c r="AH4" i="13"/>
  <c r="AG3" i="13"/>
  <c r="U110" i="12"/>
  <c r="U245" i="12"/>
  <c r="U77" i="12" s="1"/>
  <c r="Z229" i="12"/>
  <c r="M76" i="12"/>
  <c r="M7" i="12"/>
  <c r="L7" i="12"/>
  <c r="P109" i="12"/>
  <c r="P110" i="12"/>
  <c r="N7" i="12"/>
  <c r="R43" i="12"/>
  <c r="E222" i="12"/>
  <c r="F222" i="12" s="1"/>
  <c r="E223" i="12"/>
  <c r="F223" i="12" s="1"/>
  <c r="K3" i="12"/>
  <c r="J2" i="12"/>
  <c r="Z57" i="13" l="1"/>
  <c r="AA220" i="13"/>
  <c r="AB219" i="13"/>
  <c r="Y252" i="13"/>
  <c r="X253" i="13"/>
  <c r="Z231" i="13"/>
  <c r="AA230" i="13"/>
  <c r="Y242" i="13"/>
  <c r="Z241" i="13"/>
  <c r="AI4" i="13"/>
  <c r="AH3" i="13"/>
  <c r="X264" i="13"/>
  <c r="Y263" i="13"/>
  <c r="V110" i="12"/>
  <c r="V261" i="12"/>
  <c r="V245" i="12"/>
  <c r="S230" i="12"/>
  <c r="L3" i="12"/>
  <c r="K2" i="12"/>
  <c r="Z59" i="13" l="1"/>
  <c r="AA54" i="13"/>
  <c r="AA55" i="13"/>
  <c r="Y264" i="13"/>
  <c r="Z263" i="13"/>
  <c r="Z242" i="13"/>
  <c r="AA241" i="13"/>
  <c r="Y253" i="13"/>
  <c r="Z252" i="13"/>
  <c r="AI3" i="13"/>
  <c r="AJ4" i="13"/>
  <c r="AA231" i="13"/>
  <c r="AB230" i="13"/>
  <c r="AB220" i="13"/>
  <c r="W110" i="12"/>
  <c r="W261" i="12"/>
  <c r="W245" i="12"/>
  <c r="V77" i="12"/>
  <c r="S43" i="12"/>
  <c r="M3" i="12"/>
  <c r="L2" i="12"/>
  <c r="AA57" i="13" l="1"/>
  <c r="AA59" i="13"/>
  <c r="AA252" i="13"/>
  <c r="Z253" i="13"/>
  <c r="AB231" i="13"/>
  <c r="Z264" i="13"/>
  <c r="AA263" i="13"/>
  <c r="AK4" i="13"/>
  <c r="AJ3" i="13"/>
  <c r="AB241" i="13"/>
  <c r="AA242" i="13"/>
  <c r="X261" i="12"/>
  <c r="X110" i="12" s="1"/>
  <c r="W77" i="12"/>
  <c r="T230" i="12"/>
  <c r="M2" i="12"/>
  <c r="N3" i="12"/>
  <c r="AB55" i="13" l="1"/>
  <c r="AB54" i="13"/>
  <c r="AB242" i="13"/>
  <c r="AA264" i="13"/>
  <c r="AB263" i="13"/>
  <c r="AL4" i="13"/>
  <c r="AK3" i="13"/>
  <c r="AA253" i="13"/>
  <c r="AB252" i="13"/>
  <c r="Y110" i="12"/>
  <c r="Y261" i="12"/>
  <c r="X245" i="12"/>
  <c r="T43" i="12"/>
  <c r="N2" i="12"/>
  <c r="O3" i="12"/>
  <c r="AB57" i="13" l="1"/>
  <c r="AB253" i="13"/>
  <c r="AL3" i="13"/>
  <c r="AM4" i="13"/>
  <c r="AB264" i="13"/>
  <c r="Z261" i="12"/>
  <c r="Z110" i="12" s="1"/>
  <c r="X77" i="12"/>
  <c r="U230" i="12"/>
  <c r="P3" i="12"/>
  <c r="O2" i="12"/>
  <c r="AB59" i="13" l="1"/>
  <c r="AM3" i="13"/>
  <c r="AN4" i="13"/>
  <c r="Y245" i="12"/>
  <c r="U43" i="12"/>
  <c r="B287" i="12"/>
  <c r="B282" i="12"/>
  <c r="B279" i="12"/>
  <c r="B269" i="12"/>
  <c r="B268" i="12"/>
  <c r="B285" i="12"/>
  <c r="B284" i="12"/>
  <c r="B270" i="12"/>
  <c r="B286" i="12"/>
  <c r="B283" i="12"/>
  <c r="B265" i="12"/>
  <c r="B278" i="12"/>
  <c r="B277" i="12"/>
  <c r="B263" i="12"/>
  <c r="B288" i="12"/>
  <c r="B281" i="12"/>
  <c r="B272" i="12"/>
  <c r="B280" i="12"/>
  <c r="B267" i="12"/>
  <c r="B271" i="12"/>
  <c r="B264" i="12"/>
  <c r="B266" i="12"/>
  <c r="B262" i="12"/>
  <c r="B253" i="12"/>
  <c r="B252" i="12"/>
  <c r="B241" i="12"/>
  <c r="B239" i="12"/>
  <c r="B255" i="12"/>
  <c r="B254" i="12"/>
  <c r="B251" i="12"/>
  <c r="B248" i="12"/>
  <c r="B250" i="12"/>
  <c r="B261" i="12"/>
  <c r="B256" i="12"/>
  <c r="B249" i="12"/>
  <c r="B237" i="12"/>
  <c r="B236" i="12"/>
  <c r="B233" i="12"/>
  <c r="B247" i="12"/>
  <c r="B235" i="12"/>
  <c r="B245" i="12"/>
  <c r="B230" i="12"/>
  <c r="B240" i="12"/>
  <c r="B238" i="12"/>
  <c r="B231" i="12"/>
  <c r="B234" i="12"/>
  <c r="B246" i="12"/>
  <c r="B232" i="12"/>
  <c r="B154" i="12"/>
  <c r="B149" i="12"/>
  <c r="B144" i="12"/>
  <c r="B145" i="12"/>
  <c r="B155" i="12"/>
  <c r="B148" i="12"/>
  <c r="B146" i="12"/>
  <c r="B152" i="12"/>
  <c r="B151" i="12"/>
  <c r="B147" i="12"/>
  <c r="B114" i="12"/>
  <c r="B112" i="12"/>
  <c r="B87" i="12"/>
  <c r="B150" i="12"/>
  <c r="B118" i="12"/>
  <c r="B117" i="12"/>
  <c r="B119" i="12"/>
  <c r="B116" i="12"/>
  <c r="B113" i="12"/>
  <c r="B88" i="12"/>
  <c r="B120" i="12"/>
  <c r="B115" i="12"/>
  <c r="B153" i="12"/>
  <c r="B110" i="12"/>
  <c r="B85" i="12"/>
  <c r="B84" i="12"/>
  <c r="B111" i="12"/>
  <c r="B77" i="12"/>
  <c r="B51" i="12"/>
  <c r="B50" i="12"/>
  <c r="B78" i="12"/>
  <c r="B52" i="12"/>
  <c r="B49" i="12"/>
  <c r="B86" i="12"/>
  <c r="B83" i="12"/>
  <c r="B81" i="12"/>
  <c r="B46" i="12"/>
  <c r="B79" i="12"/>
  <c r="B53" i="12"/>
  <c r="B48" i="12"/>
  <c r="B43" i="12"/>
  <c r="B82" i="12"/>
  <c r="B45" i="12"/>
  <c r="B44" i="12"/>
  <c r="P2" i="12"/>
  <c r="B121" i="12"/>
  <c r="B80" i="12"/>
  <c r="Q3" i="12"/>
  <c r="B54" i="12"/>
  <c r="B47" i="12"/>
  <c r="AN3" i="13" l="1"/>
  <c r="AO4" i="13"/>
  <c r="Y77" i="12"/>
  <c r="V230" i="12"/>
  <c r="R3" i="12"/>
  <c r="Q2" i="12"/>
  <c r="AP4" i="13" l="1"/>
  <c r="AO3" i="13"/>
  <c r="V43" i="12"/>
  <c r="Z245" i="12"/>
  <c r="Z77" i="12" s="1"/>
  <c r="W230" i="12"/>
  <c r="S3" i="12"/>
  <c r="R2" i="12"/>
  <c r="AQ4" i="13" l="1"/>
  <c r="AP3" i="13"/>
  <c r="W43" i="12"/>
  <c r="T3" i="12"/>
  <c r="S2" i="12"/>
  <c r="AR4" i="13" l="1"/>
  <c r="AQ3" i="13"/>
  <c r="X230" i="12"/>
  <c r="U3" i="12"/>
  <c r="T2" i="12"/>
  <c r="AS4" i="13" l="1"/>
  <c r="AR3" i="13"/>
  <c r="X43" i="12"/>
  <c r="Y230" i="12" s="1"/>
  <c r="U2" i="12"/>
  <c r="V3" i="12"/>
  <c r="AT4" i="13" l="1"/>
  <c r="AS3" i="13"/>
  <c r="Y43" i="12"/>
  <c r="Z230" i="12" s="1"/>
  <c r="V2" i="12"/>
  <c r="W3" i="12"/>
  <c r="AT3" i="13" l="1"/>
  <c r="AU4" i="13"/>
  <c r="Z43" i="12"/>
  <c r="X3" i="12"/>
  <c r="W2" i="12"/>
  <c r="AV4" i="13" l="1"/>
  <c r="AU3" i="13"/>
  <c r="Y3" i="12"/>
  <c r="X2" i="12"/>
  <c r="AV3" i="13" l="1"/>
  <c r="AW4" i="13"/>
  <c r="Z3" i="12"/>
  <c r="Y2" i="12"/>
  <c r="AX4" i="13" l="1"/>
  <c r="AW3" i="13"/>
  <c r="AA3" i="12"/>
  <c r="Z2" i="12"/>
  <c r="AY4" i="13" l="1"/>
  <c r="AX3" i="13"/>
  <c r="AB3" i="12"/>
  <c r="AA2" i="12"/>
  <c r="AY3" i="13" l="1"/>
  <c r="AZ4" i="13"/>
  <c r="AC3" i="12"/>
  <c r="AB2" i="12"/>
  <c r="BA4" i="13" l="1"/>
  <c r="AZ3" i="13"/>
  <c r="AC2" i="12"/>
  <c r="AD3" i="12"/>
  <c r="BB4" i="13" l="1"/>
  <c r="BA3" i="13"/>
  <c r="AD2" i="12"/>
  <c r="AE3" i="12"/>
  <c r="BB3" i="13" l="1"/>
  <c r="BC4" i="13"/>
  <c r="AF3" i="12"/>
  <c r="AE2" i="12"/>
  <c r="BD4" i="13" l="1"/>
  <c r="BC3" i="13"/>
  <c r="AF2" i="12"/>
  <c r="AG3" i="12"/>
  <c r="BD3" i="13" l="1"/>
  <c r="BE4" i="13"/>
  <c r="AH3" i="12"/>
  <c r="AG2" i="12"/>
  <c r="BF4" i="13" l="1"/>
  <c r="BE3" i="13"/>
  <c r="AI3" i="12"/>
  <c r="AH2" i="12"/>
  <c r="BF3" i="13" l="1"/>
  <c r="AJ3" i="12"/>
  <c r="AI2" i="12"/>
  <c r="AK3" i="12" l="1"/>
  <c r="AJ2" i="12"/>
  <c r="AK2" i="12" l="1"/>
  <c r="AL3" i="12"/>
  <c r="AL2" i="12" l="1"/>
  <c r="AM3" i="12"/>
  <c r="AN3" i="12" l="1"/>
  <c r="AM2" i="12"/>
  <c r="AO3" i="12" l="1"/>
  <c r="AN2" i="12"/>
  <c r="AP3" i="12" l="1"/>
  <c r="AO2" i="12"/>
  <c r="AQ3" i="12" l="1"/>
  <c r="AP2" i="12"/>
  <c r="AR3" i="12" l="1"/>
  <c r="AQ2" i="12"/>
  <c r="AS3" i="12" l="1"/>
  <c r="AR2" i="12"/>
  <c r="AS2" i="12" l="1"/>
  <c r="AT3" i="12"/>
  <c r="AT2" i="12" l="1"/>
  <c r="AU3" i="12"/>
  <c r="AV3" i="12" l="1"/>
  <c r="AU2" i="12"/>
  <c r="AV2" i="12" l="1"/>
  <c r="AW3" i="12"/>
  <c r="AX3" i="12" l="1"/>
  <c r="AW2" i="12"/>
  <c r="AY3" i="12" l="1"/>
  <c r="AX2" i="12"/>
  <c r="AZ3" i="12" l="1"/>
  <c r="AY2" i="12"/>
  <c r="BA3" i="12" l="1"/>
  <c r="BA2" i="12" s="1"/>
  <c r="AZ2" i="12"/>
  <c r="S118" i="11" l="1"/>
  <c r="T118" i="11"/>
  <c r="U118" i="11"/>
  <c r="V118" i="11"/>
  <c r="W118" i="11" s="1"/>
  <c r="X118" i="11" s="1"/>
  <c r="Y118" i="11" s="1"/>
  <c r="Z118" i="11" s="1"/>
  <c r="AA118" i="11" s="1"/>
  <c r="R118" i="11"/>
  <c r="Q118" i="11"/>
  <c r="S116" i="11"/>
  <c r="T116" i="11"/>
  <c r="U116" i="11" s="1"/>
  <c r="V116" i="11" s="1"/>
  <c r="W116" i="11" s="1"/>
  <c r="X116" i="11" s="1"/>
  <c r="Y116" i="11" s="1"/>
  <c r="Z116" i="11" s="1"/>
  <c r="AA116" i="11" s="1"/>
  <c r="R116" i="11"/>
  <c r="Q116" i="11"/>
  <c r="S114" i="11"/>
  <c r="T114" i="11"/>
  <c r="U114" i="11"/>
  <c r="V114" i="11"/>
  <c r="W114" i="11" s="1"/>
  <c r="X114" i="11" s="1"/>
  <c r="Y114" i="11" s="1"/>
  <c r="Z114" i="11" s="1"/>
  <c r="AA114" i="11" s="1"/>
  <c r="R114" i="11"/>
  <c r="Q114" i="11"/>
  <c r="S112" i="11"/>
  <c r="T112" i="11" s="1"/>
  <c r="U112" i="11" s="1"/>
  <c r="V112" i="11" s="1"/>
  <c r="W112" i="11" s="1"/>
  <c r="X112" i="11" s="1"/>
  <c r="Y112" i="11" s="1"/>
  <c r="Z112" i="11" s="1"/>
  <c r="AA112" i="11" s="1"/>
  <c r="R112" i="11"/>
  <c r="Q112" i="11"/>
  <c r="S110" i="11"/>
  <c r="T110" i="11"/>
  <c r="U110" i="11" s="1"/>
  <c r="V110" i="11" s="1"/>
  <c r="W110" i="11" s="1"/>
  <c r="X110" i="11" s="1"/>
  <c r="Y110" i="11" s="1"/>
  <c r="Z110" i="11" s="1"/>
  <c r="AA110" i="11" s="1"/>
  <c r="R110" i="11"/>
  <c r="Q110" i="11"/>
  <c r="K106" i="11"/>
  <c r="L106" i="11"/>
  <c r="M106" i="11"/>
  <c r="N106" i="11"/>
  <c r="O106" i="11"/>
  <c r="P106" i="11"/>
  <c r="J106" i="11"/>
  <c r="S107" i="11"/>
  <c r="T107" i="11" s="1"/>
  <c r="U107" i="11" s="1"/>
  <c r="V107" i="11" s="1"/>
  <c r="W107" i="11" s="1"/>
  <c r="X107" i="11" s="1"/>
  <c r="Y107" i="11" s="1"/>
  <c r="Z107" i="11" s="1"/>
  <c r="AA107" i="11" s="1"/>
  <c r="R107" i="11"/>
  <c r="S108" i="11"/>
  <c r="T108" i="11"/>
  <c r="U108" i="11" s="1"/>
  <c r="V108" i="11" s="1"/>
  <c r="W108" i="11" s="1"/>
  <c r="X108" i="11" s="1"/>
  <c r="Y108" i="11" s="1"/>
  <c r="Z108" i="11" s="1"/>
  <c r="AA108" i="11" s="1"/>
  <c r="R108" i="11"/>
  <c r="K119" i="11"/>
  <c r="L119" i="11"/>
  <c r="M119" i="11"/>
  <c r="N119" i="11"/>
  <c r="O119" i="11"/>
  <c r="P119" i="11"/>
  <c r="J119" i="11"/>
  <c r="K105" i="11"/>
  <c r="L105" i="11"/>
  <c r="M105" i="11"/>
  <c r="N105" i="11"/>
  <c r="O105" i="11"/>
  <c r="P105" i="11"/>
  <c r="J105" i="11"/>
  <c r="K118" i="11"/>
  <c r="L118" i="11"/>
  <c r="M118" i="11"/>
  <c r="N118" i="11"/>
  <c r="O118" i="11"/>
  <c r="P118" i="11"/>
  <c r="J118" i="11"/>
  <c r="P117" i="11"/>
  <c r="O117" i="11"/>
  <c r="N117" i="11"/>
  <c r="M117" i="11"/>
  <c r="L117" i="11"/>
  <c r="K117" i="11"/>
  <c r="J117" i="11"/>
  <c r="K116" i="11"/>
  <c r="L116" i="11"/>
  <c r="M116" i="11"/>
  <c r="N116" i="11"/>
  <c r="O116" i="11"/>
  <c r="P116" i="11"/>
  <c r="J116" i="11"/>
  <c r="P115" i="11"/>
  <c r="O115" i="11"/>
  <c r="N115" i="11"/>
  <c r="M115" i="11"/>
  <c r="L115" i="11"/>
  <c r="K115" i="11"/>
  <c r="J115" i="11"/>
  <c r="K114" i="11"/>
  <c r="L114" i="11"/>
  <c r="M114" i="11"/>
  <c r="N114" i="11"/>
  <c r="O114" i="11"/>
  <c r="P114" i="11"/>
  <c r="J114" i="11"/>
  <c r="P113" i="11"/>
  <c r="O113" i="11"/>
  <c r="N113" i="11"/>
  <c r="M113" i="11"/>
  <c r="L113" i="11"/>
  <c r="K113" i="11"/>
  <c r="J113" i="11"/>
  <c r="K112" i="11"/>
  <c r="L112" i="11"/>
  <c r="M112" i="11"/>
  <c r="N112" i="11"/>
  <c r="O112" i="11"/>
  <c r="P112" i="11"/>
  <c r="J112" i="11"/>
  <c r="P111" i="11"/>
  <c r="O111" i="11"/>
  <c r="N111" i="11"/>
  <c r="M111" i="11"/>
  <c r="L111" i="11"/>
  <c r="K111" i="11"/>
  <c r="J111" i="11"/>
  <c r="K110" i="11"/>
  <c r="L110" i="11"/>
  <c r="M110" i="11"/>
  <c r="N110" i="11"/>
  <c r="O110" i="11"/>
  <c r="P110" i="11"/>
  <c r="J110" i="11"/>
  <c r="P109" i="11"/>
  <c r="O109" i="11"/>
  <c r="N109" i="11"/>
  <c r="M109" i="11"/>
  <c r="L109" i="11"/>
  <c r="K109" i="11"/>
  <c r="J109" i="11"/>
  <c r="K108" i="11"/>
  <c r="L108" i="11"/>
  <c r="M108" i="11"/>
  <c r="N108" i="11"/>
  <c r="O108" i="11"/>
  <c r="P108" i="11"/>
  <c r="J108" i="11"/>
  <c r="L107" i="11"/>
  <c r="M107" i="11"/>
  <c r="N107" i="11" s="1"/>
  <c r="O107" i="11" s="1"/>
  <c r="P107" i="11" s="1"/>
  <c r="K107" i="11"/>
  <c r="J107" i="11"/>
  <c r="S100" i="11"/>
  <c r="T100" i="11" s="1"/>
  <c r="U100" i="11" s="1"/>
  <c r="V100" i="11" s="1"/>
  <c r="W100" i="11" s="1"/>
  <c r="X100" i="11" s="1"/>
  <c r="Y100" i="11" s="1"/>
  <c r="Z100" i="11" s="1"/>
  <c r="AA100" i="11" s="1"/>
  <c r="R100" i="11"/>
  <c r="S99" i="11"/>
  <c r="T99" i="11" s="1"/>
  <c r="U99" i="11" s="1"/>
  <c r="V99" i="11" s="1"/>
  <c r="W99" i="11" s="1"/>
  <c r="X99" i="11" s="1"/>
  <c r="Y99" i="11" s="1"/>
  <c r="Z99" i="11" s="1"/>
  <c r="AA99" i="11" s="1"/>
  <c r="R99" i="11"/>
  <c r="S98" i="11"/>
  <c r="T98" i="11" s="1"/>
  <c r="U98" i="11" s="1"/>
  <c r="V98" i="11" s="1"/>
  <c r="W98" i="11" s="1"/>
  <c r="X98" i="11" s="1"/>
  <c r="Y98" i="11" s="1"/>
  <c r="Z98" i="11" s="1"/>
  <c r="AA98" i="11" s="1"/>
  <c r="R98" i="11"/>
  <c r="Q98" i="11"/>
  <c r="S96" i="11"/>
  <c r="T96" i="11" s="1"/>
  <c r="R96" i="11"/>
  <c r="Q96" i="11"/>
  <c r="S94" i="11"/>
  <c r="T94" i="11"/>
  <c r="U94" i="11"/>
  <c r="V94" i="11"/>
  <c r="W94" i="11" s="1"/>
  <c r="X94" i="11" s="1"/>
  <c r="Y94" i="11" s="1"/>
  <c r="Z94" i="11" s="1"/>
  <c r="AA94" i="11" s="1"/>
  <c r="R94" i="11"/>
  <c r="Q94" i="11"/>
  <c r="S92" i="11"/>
  <c r="T92" i="11"/>
  <c r="U92" i="11"/>
  <c r="V92" i="11"/>
  <c r="W92" i="11" s="1"/>
  <c r="X92" i="11" s="1"/>
  <c r="Y92" i="11" s="1"/>
  <c r="Z92" i="11" s="1"/>
  <c r="AA92" i="11" s="1"/>
  <c r="R92" i="11"/>
  <c r="Q92" i="11"/>
  <c r="R90" i="11"/>
  <c r="S90" i="11"/>
  <c r="T90" i="11"/>
  <c r="U90" i="11"/>
  <c r="V90" i="11"/>
  <c r="W90" i="11"/>
  <c r="Q90" i="11"/>
  <c r="S89" i="11"/>
  <c r="T89" i="11"/>
  <c r="U89" i="11"/>
  <c r="V89" i="11" s="1"/>
  <c r="W89" i="11" s="1"/>
  <c r="X89" i="11" s="1"/>
  <c r="Y89" i="11" s="1"/>
  <c r="Z89" i="11" s="1"/>
  <c r="AA89" i="11" s="1"/>
  <c r="R89" i="11"/>
  <c r="K101" i="11"/>
  <c r="L101" i="11"/>
  <c r="M101" i="11"/>
  <c r="N101" i="11"/>
  <c r="O101" i="11"/>
  <c r="P101" i="11"/>
  <c r="J101" i="11"/>
  <c r="K100" i="11"/>
  <c r="L100" i="11"/>
  <c r="M100" i="11"/>
  <c r="N100" i="11"/>
  <c r="O100" i="11"/>
  <c r="P100" i="11"/>
  <c r="J100" i="11"/>
  <c r="L99" i="11"/>
  <c r="M99" i="11" s="1"/>
  <c r="N99" i="11" s="1"/>
  <c r="O99" i="11" s="1"/>
  <c r="P99" i="11" s="1"/>
  <c r="K99" i="11"/>
  <c r="K98" i="11"/>
  <c r="L98" i="11"/>
  <c r="M98" i="11"/>
  <c r="N98" i="11"/>
  <c r="O98" i="11"/>
  <c r="P98" i="11"/>
  <c r="J98" i="11"/>
  <c r="P97" i="11"/>
  <c r="O97" i="11"/>
  <c r="N97" i="11"/>
  <c r="M97" i="11"/>
  <c r="L97" i="11"/>
  <c r="K97" i="11"/>
  <c r="J97" i="11"/>
  <c r="K96" i="11"/>
  <c r="L96" i="11"/>
  <c r="M96" i="11"/>
  <c r="N96" i="11"/>
  <c r="O96" i="11"/>
  <c r="P96" i="11"/>
  <c r="J96" i="11"/>
  <c r="P95" i="11"/>
  <c r="O95" i="11"/>
  <c r="N95" i="11"/>
  <c r="M95" i="11"/>
  <c r="L95" i="11"/>
  <c r="K95" i="11"/>
  <c r="J95" i="11"/>
  <c r="K94" i="11"/>
  <c r="L94" i="11"/>
  <c r="M94" i="11"/>
  <c r="N94" i="11"/>
  <c r="O94" i="11"/>
  <c r="P94" i="11"/>
  <c r="J94" i="11"/>
  <c r="P93" i="11"/>
  <c r="O93" i="11"/>
  <c r="N93" i="11"/>
  <c r="M93" i="11"/>
  <c r="L93" i="11"/>
  <c r="K93" i="11"/>
  <c r="J93" i="11"/>
  <c r="P91" i="11"/>
  <c r="O91" i="11"/>
  <c r="O92" i="11" s="1"/>
  <c r="N91" i="11"/>
  <c r="M91" i="11"/>
  <c r="M92" i="11" s="1"/>
  <c r="L91" i="11"/>
  <c r="L92" i="11" s="1"/>
  <c r="K91" i="11"/>
  <c r="K92" i="11" s="1"/>
  <c r="J91" i="11"/>
  <c r="N92" i="11"/>
  <c r="P92" i="11"/>
  <c r="J92" i="11"/>
  <c r="J90" i="11"/>
  <c r="K88" i="11"/>
  <c r="L88" i="11"/>
  <c r="M88" i="11"/>
  <c r="N88" i="11"/>
  <c r="O88" i="11"/>
  <c r="P88" i="11"/>
  <c r="J88" i="11"/>
  <c r="K87" i="11"/>
  <c r="L87" i="11"/>
  <c r="M87" i="11"/>
  <c r="N87" i="11"/>
  <c r="O87" i="11"/>
  <c r="P87" i="11"/>
  <c r="J87" i="11"/>
  <c r="K29" i="11"/>
  <c r="L29" i="11"/>
  <c r="M29" i="11"/>
  <c r="N29" i="11"/>
  <c r="O29" i="11"/>
  <c r="P29" i="11"/>
  <c r="AB29" i="11"/>
  <c r="AC29" i="11"/>
  <c r="AD29" i="11"/>
  <c r="AE29" i="11"/>
  <c r="AF29" i="11"/>
  <c r="AG29" i="11"/>
  <c r="AH29" i="11"/>
  <c r="AI29" i="11"/>
  <c r="AJ29" i="11"/>
  <c r="AK29" i="11"/>
  <c r="AL29" i="11"/>
  <c r="AM29" i="11"/>
  <c r="AN29" i="11"/>
  <c r="AO29" i="11"/>
  <c r="AP29" i="11"/>
  <c r="AQ29" i="11"/>
  <c r="AR29" i="11"/>
  <c r="AS29" i="11"/>
  <c r="AT29" i="11"/>
  <c r="AU29" i="11"/>
  <c r="AV29" i="11"/>
  <c r="AW29" i="11"/>
  <c r="AX29" i="11"/>
  <c r="J29" i="11"/>
  <c r="K28" i="11"/>
  <c r="L28" i="11"/>
  <c r="M28" i="11"/>
  <c r="N28" i="11"/>
  <c r="O28" i="11"/>
  <c r="P28" i="11"/>
  <c r="AB28" i="11"/>
  <c r="J28" i="11"/>
  <c r="AB24" i="11"/>
  <c r="AC24" i="11"/>
  <c r="AD24" i="11"/>
  <c r="AE24" i="11"/>
  <c r="AF24" i="11"/>
  <c r="AG24" i="11"/>
  <c r="AH24" i="11"/>
  <c r="AI24" i="11"/>
  <c r="AJ24" i="11"/>
  <c r="AK24" i="11"/>
  <c r="AL24" i="11"/>
  <c r="AM24" i="11"/>
  <c r="AN24" i="11"/>
  <c r="AO24" i="11"/>
  <c r="AP24" i="11"/>
  <c r="AQ24" i="11"/>
  <c r="AR24" i="11"/>
  <c r="AS24" i="11"/>
  <c r="AT24" i="11"/>
  <c r="AU24" i="11"/>
  <c r="AV24" i="11"/>
  <c r="AW24" i="11"/>
  <c r="AX24" i="11"/>
  <c r="AB23" i="11"/>
  <c r="Q27" i="11"/>
  <c r="R27" i="11"/>
  <c r="S27" i="11"/>
  <c r="T27" i="11"/>
  <c r="U27" i="11"/>
  <c r="V27" i="11"/>
  <c r="W27" i="11"/>
  <c r="X27" i="11"/>
  <c r="Y27" i="11"/>
  <c r="Z27" i="11"/>
  <c r="AA27" i="11"/>
  <c r="AB27" i="11"/>
  <c r="Q26" i="11"/>
  <c r="R26" i="11"/>
  <c r="S26" i="11"/>
  <c r="T26" i="11"/>
  <c r="U26" i="11"/>
  <c r="V26" i="11"/>
  <c r="W26" i="11"/>
  <c r="X26" i="11"/>
  <c r="Y26" i="11"/>
  <c r="Z26" i="11"/>
  <c r="AA26" i="11"/>
  <c r="AB26" i="11"/>
  <c r="AB25" i="11"/>
  <c r="AC25" i="11"/>
  <c r="AD25" i="11"/>
  <c r="AE25" i="11"/>
  <c r="AF25" i="11"/>
  <c r="AG25" i="11"/>
  <c r="AH25" i="11"/>
  <c r="AI25" i="11"/>
  <c r="AJ25" i="11"/>
  <c r="AK25" i="11"/>
  <c r="AL25" i="11"/>
  <c r="AM25" i="11"/>
  <c r="AN25" i="11"/>
  <c r="AO25" i="11"/>
  <c r="AP25" i="11"/>
  <c r="AQ25" i="11"/>
  <c r="AR25" i="11"/>
  <c r="AS25" i="11"/>
  <c r="AT25" i="11"/>
  <c r="AU25" i="11"/>
  <c r="AV25" i="11"/>
  <c r="AW25" i="11"/>
  <c r="AX25" i="11"/>
  <c r="K24" i="11"/>
  <c r="L24" i="11"/>
  <c r="M24" i="11"/>
  <c r="N24" i="11"/>
  <c r="O24" i="11"/>
  <c r="P24" i="11"/>
  <c r="J24" i="11"/>
  <c r="K23" i="11"/>
  <c r="L23" i="11"/>
  <c r="M23" i="11"/>
  <c r="N23" i="11"/>
  <c r="O23" i="11"/>
  <c r="P23" i="11"/>
  <c r="J23" i="11"/>
  <c r="K27" i="11"/>
  <c r="L27" i="11"/>
  <c r="M27" i="11"/>
  <c r="N27" i="11"/>
  <c r="O27" i="11"/>
  <c r="P27" i="11"/>
  <c r="J27" i="11"/>
  <c r="K26" i="11"/>
  <c r="L26" i="11"/>
  <c r="M26" i="11"/>
  <c r="N26" i="11"/>
  <c r="O26" i="11"/>
  <c r="P26" i="11"/>
  <c r="J26" i="11"/>
  <c r="M293" i="9"/>
  <c r="J25" i="11" s="1"/>
  <c r="N293" i="9"/>
  <c r="O293" i="9"/>
  <c r="P293" i="9"/>
  <c r="Q293" i="9"/>
  <c r="K25" i="11"/>
  <c r="L25" i="11"/>
  <c r="M25" i="11"/>
  <c r="N25" i="11"/>
  <c r="O25" i="11"/>
  <c r="P25" i="11"/>
  <c r="L18" i="11"/>
  <c r="M18" i="11"/>
  <c r="N18" i="11"/>
  <c r="O18" i="11"/>
  <c r="P18" i="11"/>
  <c r="K18" i="11"/>
  <c r="Q17" i="11"/>
  <c r="R17" i="11"/>
  <c r="S17" i="11"/>
  <c r="T17" i="11"/>
  <c r="U17" i="11"/>
  <c r="V17" i="11"/>
  <c r="W17" i="11"/>
  <c r="X17" i="11"/>
  <c r="Y17" i="11"/>
  <c r="Z17" i="11"/>
  <c r="AA17" i="11"/>
  <c r="Q16" i="11"/>
  <c r="R16" i="11"/>
  <c r="S16" i="11"/>
  <c r="T16" i="11"/>
  <c r="U16" i="11"/>
  <c r="V16" i="11"/>
  <c r="W16" i="11"/>
  <c r="X16" i="11"/>
  <c r="Y16" i="11"/>
  <c r="Z16" i="11"/>
  <c r="AA16" i="11"/>
  <c r="L14" i="11"/>
  <c r="M14" i="11"/>
  <c r="N14" i="11"/>
  <c r="O14" i="11"/>
  <c r="P14" i="11"/>
  <c r="L15" i="11"/>
  <c r="M15" i="11"/>
  <c r="N15" i="11"/>
  <c r="O15" i="11"/>
  <c r="P15" i="11"/>
  <c r="L16" i="11"/>
  <c r="M16" i="11"/>
  <c r="N16" i="11"/>
  <c r="O16" i="11"/>
  <c r="P16" i="11"/>
  <c r="L17" i="11"/>
  <c r="M17" i="11"/>
  <c r="N17" i="11"/>
  <c r="O17" i="11"/>
  <c r="P17" i="11"/>
  <c r="K15" i="11"/>
  <c r="K16" i="11"/>
  <c r="K17" i="11"/>
  <c r="K14" i="11"/>
  <c r="K12" i="11"/>
  <c r="L12" i="11"/>
  <c r="M12" i="11"/>
  <c r="N12" i="11"/>
  <c r="O12" i="11"/>
  <c r="P12" i="11"/>
  <c r="J12" i="11"/>
  <c r="K8" i="11"/>
  <c r="L8" i="11"/>
  <c r="M8" i="11"/>
  <c r="N8" i="11"/>
  <c r="O8" i="11"/>
  <c r="P8" i="11"/>
  <c r="AB8" i="11"/>
  <c r="J8" i="11"/>
  <c r="Q11" i="11"/>
  <c r="R11" i="11"/>
  <c r="S11" i="11"/>
  <c r="T11" i="11"/>
  <c r="U11" i="11"/>
  <c r="V11" i="11"/>
  <c r="W11" i="11"/>
  <c r="X11" i="11"/>
  <c r="Y11" i="11"/>
  <c r="Z11" i="11"/>
  <c r="AA11" i="11"/>
  <c r="AB11" i="11"/>
  <c r="Q10" i="11"/>
  <c r="R10" i="11"/>
  <c r="S10" i="11"/>
  <c r="T10" i="11"/>
  <c r="U10" i="11"/>
  <c r="V10" i="11"/>
  <c r="W10" i="11"/>
  <c r="X10" i="11"/>
  <c r="Y10" i="11"/>
  <c r="Z10" i="11"/>
  <c r="AA10" i="11"/>
  <c r="AB10" i="11"/>
  <c r="AC10" i="11"/>
  <c r="AD10" i="11"/>
  <c r="AE10" i="11"/>
  <c r="AF10" i="11"/>
  <c r="AG10" i="11"/>
  <c r="AH10" i="11"/>
  <c r="AI10" i="11"/>
  <c r="AJ10" i="11"/>
  <c r="AK10" i="11"/>
  <c r="AL10" i="11"/>
  <c r="AM10" i="11"/>
  <c r="AN10" i="11"/>
  <c r="AO10" i="11"/>
  <c r="AP10" i="11"/>
  <c r="AQ10" i="11"/>
  <c r="AR10" i="11"/>
  <c r="AS10" i="11"/>
  <c r="AT10" i="11"/>
  <c r="AU10" i="11"/>
  <c r="AV10" i="11"/>
  <c r="AW10" i="11"/>
  <c r="AX10" i="11"/>
  <c r="AB9" i="11"/>
  <c r="K11" i="11"/>
  <c r="L11" i="11"/>
  <c r="M11" i="11"/>
  <c r="N11" i="11"/>
  <c r="O11" i="11"/>
  <c r="P11" i="11"/>
  <c r="J11" i="11"/>
  <c r="Q34" i="10"/>
  <c r="Q33" i="10"/>
  <c r="Q52" i="10"/>
  <c r="Q51" i="10"/>
  <c r="R58" i="10"/>
  <c r="Q58" i="10"/>
  <c r="R57" i="10"/>
  <c r="Q57" i="10"/>
  <c r="J59" i="10"/>
  <c r="J58" i="10"/>
  <c r="J57" i="10"/>
  <c r="J53" i="10"/>
  <c r="J52" i="10"/>
  <c r="J51" i="10"/>
  <c r="J35" i="10"/>
  <c r="K34" i="10"/>
  <c r="L34" i="10"/>
  <c r="M34" i="10"/>
  <c r="N34" i="10"/>
  <c r="O34" i="10"/>
  <c r="P34" i="10"/>
  <c r="J34" i="10"/>
  <c r="K33" i="10"/>
  <c r="L33" i="10"/>
  <c r="M33" i="10"/>
  <c r="N33" i="10"/>
  <c r="O33" i="10"/>
  <c r="P33" i="10"/>
  <c r="J33" i="10"/>
  <c r="R15" i="10"/>
  <c r="R10" i="10" s="1"/>
  <c r="Q10" i="10"/>
  <c r="K10" i="10"/>
  <c r="L10" i="10"/>
  <c r="M10" i="10"/>
  <c r="N10" i="10"/>
  <c r="O10" i="10"/>
  <c r="P10" i="10"/>
  <c r="J10" i="10"/>
  <c r="R9" i="10"/>
  <c r="R14" i="10"/>
  <c r="Q9" i="10"/>
  <c r="K9" i="10"/>
  <c r="L9" i="10"/>
  <c r="M9" i="10"/>
  <c r="N9" i="10"/>
  <c r="O9" i="10"/>
  <c r="P9" i="10"/>
  <c r="J9" i="10"/>
  <c r="K9" i="11"/>
  <c r="L9" i="11"/>
  <c r="M9" i="11"/>
  <c r="N9" i="11"/>
  <c r="O9" i="11"/>
  <c r="P9" i="11"/>
  <c r="J9" i="11"/>
  <c r="M30" i="9"/>
  <c r="N30" i="9"/>
  <c r="O30" i="9"/>
  <c r="P30" i="9"/>
  <c r="Q30" i="9"/>
  <c r="I121" i="11"/>
  <c r="H121" i="11"/>
  <c r="G121" i="11"/>
  <c r="F121" i="11"/>
  <c r="E121" i="11"/>
  <c r="D121" i="11"/>
  <c r="D105" i="11"/>
  <c r="I103" i="11"/>
  <c r="H103" i="11"/>
  <c r="G103" i="11"/>
  <c r="F103" i="11"/>
  <c r="E103" i="11"/>
  <c r="D103" i="11"/>
  <c r="D86" i="11"/>
  <c r="H81" i="11"/>
  <c r="G81" i="11"/>
  <c r="F81" i="11"/>
  <c r="E81" i="11"/>
  <c r="D81" i="11"/>
  <c r="I82" i="11"/>
  <c r="G82" i="11"/>
  <c r="F82" i="11"/>
  <c r="E82" i="11"/>
  <c r="D82" i="11"/>
  <c r="I76" i="11"/>
  <c r="I77" i="11" s="1"/>
  <c r="I72" i="11"/>
  <c r="H72" i="11"/>
  <c r="G72" i="11"/>
  <c r="F72" i="11"/>
  <c r="E72" i="11"/>
  <c r="D72" i="11"/>
  <c r="I71" i="11"/>
  <c r="H71" i="11"/>
  <c r="G71" i="11"/>
  <c r="F71" i="11"/>
  <c r="E71" i="11"/>
  <c r="D71" i="11"/>
  <c r="I70" i="11"/>
  <c r="H70" i="11"/>
  <c r="G70" i="11"/>
  <c r="F70" i="11"/>
  <c r="E70" i="11"/>
  <c r="D70" i="11"/>
  <c r="I69" i="11"/>
  <c r="H69" i="11"/>
  <c r="G69" i="11"/>
  <c r="F69" i="11"/>
  <c r="E69" i="11"/>
  <c r="D69" i="11"/>
  <c r="I68" i="11"/>
  <c r="H68" i="11"/>
  <c r="G68" i="11"/>
  <c r="F68" i="11"/>
  <c r="E68" i="11"/>
  <c r="D68" i="11"/>
  <c r="I61" i="11"/>
  <c r="I52" i="11"/>
  <c r="I51" i="11"/>
  <c r="I50" i="11"/>
  <c r="I49" i="11"/>
  <c r="I48" i="11"/>
  <c r="I47" i="11"/>
  <c r="I46" i="11"/>
  <c r="G42" i="11"/>
  <c r="F42" i="11"/>
  <c r="E42" i="11"/>
  <c r="D42" i="11"/>
  <c r="E29" i="11"/>
  <c r="D29" i="11"/>
  <c r="I18" i="11"/>
  <c r="H18" i="11"/>
  <c r="G18" i="11"/>
  <c r="F18" i="11"/>
  <c r="E18" i="11"/>
  <c r="D18" i="11"/>
  <c r="I16" i="11"/>
  <c r="H16" i="11"/>
  <c r="G16" i="11"/>
  <c r="F16" i="11"/>
  <c r="E16" i="11"/>
  <c r="D16" i="11"/>
  <c r="I15" i="11"/>
  <c r="H15" i="11"/>
  <c r="G15" i="11"/>
  <c r="F15" i="11"/>
  <c r="E15" i="11"/>
  <c r="D15" i="11"/>
  <c r="I14" i="11"/>
  <c r="H14" i="11"/>
  <c r="G14" i="11"/>
  <c r="F14" i="11"/>
  <c r="E14" i="11"/>
  <c r="D14" i="11"/>
  <c r="E3" i="11"/>
  <c r="F3" i="11" s="1"/>
  <c r="D2" i="11"/>
  <c r="C2" i="11"/>
  <c r="I81" i="11" l="1"/>
  <c r="U96" i="11"/>
  <c r="L90" i="11"/>
  <c r="K90" i="11"/>
  <c r="J11" i="10"/>
  <c r="J10" i="11" s="1"/>
  <c r="G3" i="11"/>
  <c r="F2" i="11"/>
  <c r="H82" i="11"/>
  <c r="V96" i="11" l="1"/>
  <c r="M90" i="11"/>
  <c r="G2" i="11"/>
  <c r="H3" i="11"/>
  <c r="W96" i="11" l="1"/>
  <c r="N90" i="11"/>
  <c r="H2" i="11"/>
  <c r="I3" i="11"/>
  <c r="X96" i="11" l="1"/>
  <c r="P90" i="11"/>
  <c r="O90" i="11"/>
  <c r="J3" i="11"/>
  <c r="I2" i="11"/>
  <c r="Y96" i="11" l="1"/>
  <c r="K3" i="11"/>
  <c r="J2" i="11"/>
  <c r="Z96" i="11" l="1"/>
  <c r="L3" i="11"/>
  <c r="K2" i="11"/>
  <c r="AA96" i="11" l="1"/>
  <c r="M3" i="11"/>
  <c r="L2" i="11"/>
  <c r="N3" i="11" l="1"/>
  <c r="M2" i="11"/>
  <c r="O3" i="11" l="1"/>
  <c r="N2" i="11"/>
  <c r="O2" i="11" l="1"/>
  <c r="P3" i="11"/>
  <c r="P2" i="11" l="1"/>
  <c r="Q3" i="11"/>
  <c r="Q2" i="11" l="1"/>
  <c r="R3" i="11"/>
  <c r="S3" i="11" l="1"/>
  <c r="R2" i="11"/>
  <c r="T3" i="11" l="1"/>
  <c r="S2" i="11"/>
  <c r="U3" i="11" l="1"/>
  <c r="T2" i="11"/>
  <c r="V3" i="11" l="1"/>
  <c r="U2" i="11"/>
  <c r="W3" i="11" l="1"/>
  <c r="V2" i="11"/>
  <c r="W2" i="11" l="1"/>
  <c r="X3" i="11"/>
  <c r="X2" i="11" l="1"/>
  <c r="Y3" i="11"/>
  <c r="Z3" i="11" l="1"/>
  <c r="Y2" i="11"/>
  <c r="AA3" i="11" l="1"/>
  <c r="Z2" i="11"/>
  <c r="AB3" i="11" l="1"/>
  <c r="AA2" i="11"/>
  <c r="AC3" i="11" l="1"/>
  <c r="AB2" i="11"/>
  <c r="AD3" i="11" l="1"/>
  <c r="AC2" i="11"/>
  <c r="AE3" i="11" l="1"/>
  <c r="AD2" i="11"/>
  <c r="AE2" i="11" l="1"/>
  <c r="AF3" i="11"/>
  <c r="AF2" i="11" l="1"/>
  <c r="AG3" i="11"/>
  <c r="AG2" i="11" l="1"/>
  <c r="AH3" i="11"/>
  <c r="AI3" i="11" l="1"/>
  <c r="AH2" i="11"/>
  <c r="AJ3" i="11" l="1"/>
  <c r="AI2" i="11"/>
  <c r="AJ2" i="11" l="1"/>
  <c r="AK3" i="11"/>
  <c r="AL3" i="11" l="1"/>
  <c r="AK2" i="11"/>
  <c r="AM3" i="11" l="1"/>
  <c r="AL2" i="11"/>
  <c r="AM2" i="11" l="1"/>
  <c r="AN3" i="11"/>
  <c r="AN2" i="11" l="1"/>
  <c r="AO3" i="11"/>
  <c r="AO2" i="11" l="1"/>
  <c r="AP3" i="11"/>
  <c r="AQ3" i="11" l="1"/>
  <c r="AP2" i="11"/>
  <c r="AR3" i="11" l="1"/>
  <c r="AQ2" i="11"/>
  <c r="AS3" i="11" l="1"/>
  <c r="AR2" i="11"/>
  <c r="AT3" i="11" l="1"/>
  <c r="AS2" i="11"/>
  <c r="AU3" i="11" l="1"/>
  <c r="AT2" i="11"/>
  <c r="AU2" i="11" l="1"/>
  <c r="AV3" i="11"/>
  <c r="AV2" i="11" l="1"/>
  <c r="AW3" i="11"/>
  <c r="AX3" i="11" l="1"/>
  <c r="AW2" i="11"/>
  <c r="AY3" i="11" l="1"/>
  <c r="AX2" i="11"/>
  <c r="AZ3" i="11" l="1"/>
  <c r="AY2" i="11"/>
  <c r="BA3" i="11" l="1"/>
  <c r="BA2" i="11" s="1"/>
  <c r="AZ2" i="11"/>
  <c r="AD35" i="10" l="1"/>
  <c r="AE35" i="10"/>
  <c r="AF35" i="10"/>
  <c r="AG35" i="10"/>
  <c r="AH35" i="10"/>
  <c r="AI35" i="10"/>
  <c r="AJ35" i="10"/>
  <c r="AK35" i="10"/>
  <c r="AL35" i="10"/>
  <c r="AM35" i="10"/>
  <c r="AN35" i="10"/>
  <c r="AO35" i="10"/>
  <c r="AP35" i="10"/>
  <c r="AQ35" i="10"/>
  <c r="AR35" i="10"/>
  <c r="AS35" i="10"/>
  <c r="AT35" i="10"/>
  <c r="AU35" i="10"/>
  <c r="AV35" i="10"/>
  <c r="AW35" i="10"/>
  <c r="AX35" i="10"/>
  <c r="AY35" i="10"/>
  <c r="AZ35" i="10"/>
  <c r="BA35" i="10"/>
  <c r="BB35" i="10"/>
  <c r="AD33" i="10"/>
  <c r="AE33" i="10"/>
  <c r="AF33" i="10"/>
  <c r="AG33" i="10"/>
  <c r="AH33" i="10"/>
  <c r="AI33" i="10"/>
  <c r="AJ33" i="10"/>
  <c r="AK33" i="10"/>
  <c r="AL33" i="10"/>
  <c r="AM33" i="10"/>
  <c r="AN33" i="10"/>
  <c r="AO33" i="10"/>
  <c r="AP33" i="10"/>
  <c r="AQ33" i="10"/>
  <c r="AR33" i="10"/>
  <c r="AS33" i="10"/>
  <c r="AT33" i="10"/>
  <c r="AU33" i="10"/>
  <c r="AV33" i="10"/>
  <c r="AW33" i="10"/>
  <c r="AX33" i="10"/>
  <c r="AY33" i="10"/>
  <c r="AZ33" i="10"/>
  <c r="BA33" i="10"/>
  <c r="BB33" i="10"/>
  <c r="AD53" i="10"/>
  <c r="AE53" i="10"/>
  <c r="AF53" i="10"/>
  <c r="AG53" i="10"/>
  <c r="AH53" i="10"/>
  <c r="AI53" i="10"/>
  <c r="AJ53" i="10"/>
  <c r="AK53" i="10"/>
  <c r="AL53" i="10"/>
  <c r="AM53" i="10"/>
  <c r="AN53" i="10"/>
  <c r="AO53" i="10"/>
  <c r="AP53" i="10"/>
  <c r="AQ53" i="10"/>
  <c r="AR53" i="10"/>
  <c r="AS53" i="10"/>
  <c r="AT53" i="10"/>
  <c r="AU53" i="10"/>
  <c r="AV53" i="10"/>
  <c r="AW53" i="10"/>
  <c r="AX53" i="10"/>
  <c r="AY53" i="10"/>
  <c r="AZ53" i="10"/>
  <c r="BA53" i="10"/>
  <c r="BB53" i="10"/>
  <c r="AD52" i="10"/>
  <c r="AE52" i="10"/>
  <c r="AF52" i="10"/>
  <c r="AG52" i="10"/>
  <c r="AH52" i="10"/>
  <c r="AI52" i="10"/>
  <c r="AJ52" i="10"/>
  <c r="AK52" i="10"/>
  <c r="AL52" i="10"/>
  <c r="AM52" i="10"/>
  <c r="AN52" i="10"/>
  <c r="AO52" i="10"/>
  <c r="AP52" i="10"/>
  <c r="AQ52" i="10"/>
  <c r="AR52" i="10"/>
  <c r="AS52" i="10"/>
  <c r="AT52" i="10"/>
  <c r="AU52" i="10"/>
  <c r="AV52" i="10"/>
  <c r="AW52" i="10"/>
  <c r="AX52" i="10"/>
  <c r="AY52" i="10"/>
  <c r="AZ52" i="10"/>
  <c r="BA52" i="10"/>
  <c r="BB52" i="10"/>
  <c r="L52" i="10"/>
  <c r="L58" i="10" s="1"/>
  <c r="M52" i="10"/>
  <c r="M58" i="10" s="1"/>
  <c r="N52" i="10"/>
  <c r="N58" i="10" s="1"/>
  <c r="O52" i="10"/>
  <c r="O58" i="10" s="1"/>
  <c r="P52" i="10"/>
  <c r="P58" i="10" s="1"/>
  <c r="K52" i="10"/>
  <c r="K58" i="10" s="1"/>
  <c r="L51" i="10"/>
  <c r="L57" i="10" s="1"/>
  <c r="M51" i="10"/>
  <c r="N51" i="10"/>
  <c r="O51" i="10"/>
  <c r="O57" i="10" s="1"/>
  <c r="P51" i="10"/>
  <c r="K51" i="10"/>
  <c r="L35" i="10"/>
  <c r="M35" i="10"/>
  <c r="N35" i="10"/>
  <c r="O35" i="10"/>
  <c r="P35" i="10"/>
  <c r="K35" i="10"/>
  <c r="AD16" i="10"/>
  <c r="AE16" i="10"/>
  <c r="AF16" i="10"/>
  <c r="AG16" i="10"/>
  <c r="AH16" i="10"/>
  <c r="AI16" i="10"/>
  <c r="AJ16" i="10"/>
  <c r="AK16" i="10"/>
  <c r="AL16" i="10"/>
  <c r="AM16" i="10"/>
  <c r="AN16" i="10"/>
  <c r="AO16" i="10"/>
  <c r="AP16" i="10"/>
  <c r="AQ16" i="10"/>
  <c r="AR16" i="10"/>
  <c r="AS16" i="10"/>
  <c r="AT16" i="10"/>
  <c r="AU16" i="10"/>
  <c r="AV16" i="10"/>
  <c r="AW16" i="10"/>
  <c r="AX16" i="10"/>
  <c r="AY16" i="10"/>
  <c r="AZ16" i="10"/>
  <c r="BA16" i="10"/>
  <c r="BB16" i="10"/>
  <c r="L11" i="10"/>
  <c r="L10" i="11" s="1"/>
  <c r="M11" i="10"/>
  <c r="M10" i="11" s="1"/>
  <c r="N11" i="10"/>
  <c r="N10" i="11" s="1"/>
  <c r="O11" i="10"/>
  <c r="O10" i="11" s="1"/>
  <c r="P11" i="10"/>
  <c r="P10" i="11" s="1"/>
  <c r="Q11" i="10"/>
  <c r="K11" i="10"/>
  <c r="K10" i="11" s="1"/>
  <c r="Z15" i="10"/>
  <c r="AA15" i="10" s="1"/>
  <c r="AB15" i="10" s="1"/>
  <c r="AC15" i="10" s="1"/>
  <c r="AD15" i="10" s="1"/>
  <c r="AE15" i="10" s="1"/>
  <c r="AF15" i="10" s="1"/>
  <c r="AG15" i="10" s="1"/>
  <c r="AH15" i="10" s="1"/>
  <c r="AI15" i="10" s="1"/>
  <c r="AJ15" i="10" s="1"/>
  <c r="AK15" i="10" s="1"/>
  <c r="AL15" i="10" s="1"/>
  <c r="AM15" i="10" s="1"/>
  <c r="AN15" i="10" s="1"/>
  <c r="AO15" i="10" s="1"/>
  <c r="AP15" i="10" s="1"/>
  <c r="AQ15" i="10" s="1"/>
  <c r="AR15" i="10" s="1"/>
  <c r="AS15" i="10" s="1"/>
  <c r="AT15" i="10" s="1"/>
  <c r="AU15" i="10" s="1"/>
  <c r="AV15" i="10" s="1"/>
  <c r="AW15" i="10" s="1"/>
  <c r="AX15" i="10" s="1"/>
  <c r="AY15" i="10" s="1"/>
  <c r="AZ15" i="10" s="1"/>
  <c r="BA15" i="10" s="1"/>
  <c r="BB15" i="10" s="1"/>
  <c r="Y15" i="10"/>
  <c r="X15" i="10"/>
  <c r="U15" i="10"/>
  <c r="V15" i="10"/>
  <c r="W15" i="10" s="1"/>
  <c r="T15" i="10"/>
  <c r="M15" i="10"/>
  <c r="N15" i="10"/>
  <c r="O15" i="10"/>
  <c r="P15" i="10"/>
  <c r="Q15" i="10"/>
  <c r="W14" i="10"/>
  <c r="Y14" i="10"/>
  <c r="Z14" i="10" s="1"/>
  <c r="AA14" i="10" s="1"/>
  <c r="AB14" i="10" s="1"/>
  <c r="V14" i="10"/>
  <c r="U14" i="10"/>
  <c r="T14" i="10"/>
  <c r="M14" i="10"/>
  <c r="N14" i="10"/>
  <c r="O14" i="10"/>
  <c r="P14" i="10"/>
  <c r="Q14" i="10"/>
  <c r="L14" i="10"/>
  <c r="S9" i="10"/>
  <c r="S395" i="9"/>
  <c r="R395" i="9"/>
  <c r="S371" i="9"/>
  <c r="R369" i="9"/>
  <c r="S369" i="9"/>
  <c r="S32" i="9"/>
  <c r="S296" i="9"/>
  <c r="T319" i="9"/>
  <c r="U319" i="9" s="1"/>
  <c r="Y343" i="9"/>
  <c r="Z343" i="9" s="1"/>
  <c r="AA343" i="9" s="1"/>
  <c r="AB343" i="9" s="1"/>
  <c r="AC343" i="9" s="1"/>
  <c r="AD343" i="9" s="1"/>
  <c r="X343" i="9"/>
  <c r="S319" i="9"/>
  <c r="R319" i="9"/>
  <c r="S294" i="9"/>
  <c r="R294" i="9"/>
  <c r="S293" i="9"/>
  <c r="R293" i="9"/>
  <c r="T293" i="9" l="1"/>
  <c r="Q25" i="11" s="1"/>
  <c r="Q23" i="11" s="1"/>
  <c r="V319" i="9"/>
  <c r="W319" i="9" s="1"/>
  <c r="X319" i="9" s="1"/>
  <c r="Y319" i="9" s="1"/>
  <c r="Z319" i="9" s="1"/>
  <c r="AA319" i="9" s="1"/>
  <c r="AB319" i="9" s="1"/>
  <c r="AC319" i="9" s="1"/>
  <c r="AD319" i="9" s="1"/>
  <c r="AD293" i="9" s="1"/>
  <c r="AA25" i="11" s="1"/>
  <c r="AA23" i="11" s="1"/>
  <c r="AA28" i="11" s="1"/>
  <c r="U293" i="9"/>
  <c r="Q9" i="6"/>
  <c r="Q28" i="11"/>
  <c r="T296" i="9"/>
  <c r="M53" i="10"/>
  <c r="N53" i="10"/>
  <c r="M57" i="10"/>
  <c r="S58" i="10"/>
  <c r="T58" i="10" s="1"/>
  <c r="U58" i="10" s="1"/>
  <c r="V58" i="10" s="1"/>
  <c r="W58" i="10" s="1"/>
  <c r="X58" i="10" s="1"/>
  <c r="Y58" i="10" s="1"/>
  <c r="Z58" i="10" s="1"/>
  <c r="AA58" i="10" s="1"/>
  <c r="AB58" i="10" s="1"/>
  <c r="AC58" i="10" s="1"/>
  <c r="AC52" i="10" s="1"/>
  <c r="K53" i="10"/>
  <c r="K59" i="10" s="1"/>
  <c r="P53" i="10"/>
  <c r="P59" i="10" s="1"/>
  <c r="N59" i="10"/>
  <c r="M59" i="10"/>
  <c r="L53" i="10"/>
  <c r="L59" i="10" s="1"/>
  <c r="N16" i="10"/>
  <c r="O53" i="10"/>
  <c r="O59" i="10" s="1"/>
  <c r="N57" i="10"/>
  <c r="M16" i="10"/>
  <c r="T9" i="10"/>
  <c r="K57" i="10"/>
  <c r="Q16" i="10"/>
  <c r="P16" i="10"/>
  <c r="P57" i="10"/>
  <c r="L16" i="10"/>
  <c r="O16" i="10"/>
  <c r="L15" i="10"/>
  <c r="S343" i="9"/>
  <c r="W293" i="9" l="1"/>
  <c r="T25" i="11" s="1"/>
  <c r="T23" i="11" s="1"/>
  <c r="AB293" i="9"/>
  <c r="AA293" i="9"/>
  <c r="AC293" i="9"/>
  <c r="AD296" i="9" s="1"/>
  <c r="X293" i="9"/>
  <c r="U25" i="11" s="1"/>
  <c r="U23" i="11" s="1"/>
  <c r="Y293" i="9"/>
  <c r="V25" i="11" s="1"/>
  <c r="V23" i="11" s="1"/>
  <c r="Z293" i="9"/>
  <c r="AA296" i="9" s="1"/>
  <c r="V293" i="9"/>
  <c r="V296" i="9" s="1"/>
  <c r="Q197" i="6"/>
  <c r="Q11" i="6"/>
  <c r="R25" i="11"/>
  <c r="R23" i="11" s="1"/>
  <c r="U296" i="9"/>
  <c r="X25" i="11"/>
  <c r="X23" i="11" s="1"/>
  <c r="Y25" i="11"/>
  <c r="Y23" i="11" s="1"/>
  <c r="AB296" i="9"/>
  <c r="R52" i="10"/>
  <c r="R34" i="10" s="1"/>
  <c r="S10" i="10"/>
  <c r="R11" i="10"/>
  <c r="R16" i="10" s="1"/>
  <c r="AC34" i="10"/>
  <c r="AC53" i="10"/>
  <c r="U9" i="10"/>
  <c r="Y296" i="9" l="1"/>
  <c r="X296" i="9"/>
  <c r="AC296" i="9"/>
  <c r="Z25" i="11"/>
  <c r="Z23" i="11" s="1"/>
  <c r="Z9" i="6" s="1"/>
  <c r="S25" i="11"/>
  <c r="S23" i="11" s="1"/>
  <c r="S9" i="6" s="1"/>
  <c r="W296" i="9"/>
  <c r="Z296" i="9"/>
  <c r="W25" i="11"/>
  <c r="W23" i="11" s="1"/>
  <c r="W9" i="6" s="1"/>
  <c r="R9" i="6"/>
  <c r="R28" i="11"/>
  <c r="Q6" i="19"/>
  <c r="Q6" i="8"/>
  <c r="Q198" i="6"/>
  <c r="Q185" i="6"/>
  <c r="Q207" i="6"/>
  <c r="T9" i="6"/>
  <c r="T28" i="11"/>
  <c r="Y9" i="6"/>
  <c r="Y28" i="11"/>
  <c r="V9" i="6"/>
  <c r="V28" i="11"/>
  <c r="X9" i="6"/>
  <c r="X28" i="11"/>
  <c r="U9" i="6"/>
  <c r="U28" i="11"/>
  <c r="S52" i="10"/>
  <c r="S34" i="10" s="1"/>
  <c r="T10" i="10"/>
  <c r="S11" i="10"/>
  <c r="S16" i="10" s="1"/>
  <c r="V9" i="10"/>
  <c r="S28" i="11" l="1"/>
  <c r="Z28" i="11"/>
  <c r="W28" i="11"/>
  <c r="Q6" i="20"/>
  <c r="Q7" i="20" s="1"/>
  <c r="Q64" i="19"/>
  <c r="Q64" i="8"/>
  <c r="R197" i="6"/>
  <c r="R11" i="6"/>
  <c r="S197" i="6"/>
  <c r="S11" i="6"/>
  <c r="Y197" i="6"/>
  <c r="Y11" i="6"/>
  <c r="W197" i="6"/>
  <c r="W11" i="6"/>
  <c r="Z197" i="6"/>
  <c r="Z11" i="6"/>
  <c r="X197" i="6"/>
  <c r="X11" i="6"/>
  <c r="U197" i="6"/>
  <c r="U11" i="6"/>
  <c r="V197" i="6"/>
  <c r="V11" i="6"/>
  <c r="T197" i="6"/>
  <c r="T11" i="6"/>
  <c r="T52" i="10"/>
  <c r="T34" i="10" s="1"/>
  <c r="U10" i="10"/>
  <c r="T11" i="10"/>
  <c r="T16" i="10" s="1"/>
  <c r="W9" i="10"/>
  <c r="R207" i="6" l="1"/>
  <c r="R185" i="6"/>
  <c r="Q144" i="8"/>
  <c r="Q143" i="19"/>
  <c r="Q41" i="18"/>
  <c r="R6" i="19"/>
  <c r="R6" i="8"/>
  <c r="R198" i="6"/>
  <c r="Z6" i="19"/>
  <c r="Z6" i="8"/>
  <c r="Z198" i="6"/>
  <c r="Z185" i="6"/>
  <c r="Z207" i="6"/>
  <c r="W185" i="6"/>
  <c r="W207" i="6"/>
  <c r="V185" i="6"/>
  <c r="V207" i="6"/>
  <c r="Y198" i="6"/>
  <c r="Y207" i="6"/>
  <c r="Y185" i="6"/>
  <c r="V6" i="19"/>
  <c r="V6" i="8"/>
  <c r="V198" i="6"/>
  <c r="Y6" i="19"/>
  <c r="Y6" i="8"/>
  <c r="X6" i="19"/>
  <c r="X6" i="8"/>
  <c r="X198" i="6"/>
  <c r="T6" i="19"/>
  <c r="T6" i="8"/>
  <c r="T198" i="6"/>
  <c r="T185" i="6"/>
  <c r="T207" i="6"/>
  <c r="W6" i="19"/>
  <c r="W6" i="8"/>
  <c r="W198" i="6"/>
  <c r="U6" i="19"/>
  <c r="U6" i="8"/>
  <c r="U198" i="6"/>
  <c r="U185" i="6"/>
  <c r="U207" i="6"/>
  <c r="S6" i="19"/>
  <c r="S6" i="8"/>
  <c r="S198" i="6"/>
  <c r="X207" i="6"/>
  <c r="X185" i="6"/>
  <c r="S207" i="6"/>
  <c r="S185" i="6"/>
  <c r="V10" i="10"/>
  <c r="U52" i="10"/>
  <c r="U34" i="10" s="1"/>
  <c r="U11" i="10"/>
  <c r="U16" i="10" s="1"/>
  <c r="X9" i="10"/>
  <c r="R6" i="20" l="1"/>
  <c r="R7" i="20" s="1"/>
  <c r="R64" i="19"/>
  <c r="R143" i="19" s="1"/>
  <c r="R64" i="8"/>
  <c r="R144" i="8" s="1"/>
  <c r="S6" i="20"/>
  <c r="S7" i="20" s="1"/>
  <c r="W64" i="19"/>
  <c r="W64" i="8"/>
  <c r="X41" i="18" s="1"/>
  <c r="S64" i="19"/>
  <c r="S64" i="8"/>
  <c r="T6" i="20"/>
  <c r="T7" i="20" s="1"/>
  <c r="U6" i="20"/>
  <c r="U7" i="20" s="1"/>
  <c r="V6" i="20"/>
  <c r="V7" i="20" s="1"/>
  <c r="X64" i="19"/>
  <c r="X64" i="8"/>
  <c r="Y41" i="18" s="1"/>
  <c r="Z64" i="19"/>
  <c r="Z64" i="8"/>
  <c r="X6" i="20"/>
  <c r="X7" i="20" s="1"/>
  <c r="Y64" i="19"/>
  <c r="Y64" i="8"/>
  <c r="Z6" i="20"/>
  <c r="Z7" i="20" s="1"/>
  <c r="W6" i="20"/>
  <c r="W7" i="20" s="1"/>
  <c r="U64" i="19"/>
  <c r="U64" i="8"/>
  <c r="T64" i="19"/>
  <c r="T64" i="8"/>
  <c r="Y6" i="20"/>
  <c r="Y7" i="20" s="1"/>
  <c r="V64" i="19"/>
  <c r="V64" i="8"/>
  <c r="V52" i="10"/>
  <c r="V34" i="10" s="1"/>
  <c r="W10" i="10"/>
  <c r="V11" i="10"/>
  <c r="V16" i="10" s="1"/>
  <c r="Y9" i="10"/>
  <c r="W144" i="8" l="1"/>
  <c r="W143" i="19"/>
  <c r="R41" i="18"/>
  <c r="U144" i="8"/>
  <c r="U143" i="19"/>
  <c r="T41" i="18"/>
  <c r="V144" i="8"/>
  <c r="X144" i="8"/>
  <c r="X143" i="19"/>
  <c r="S41" i="18"/>
  <c r="Z144" i="8"/>
  <c r="W41" i="18"/>
  <c r="Z41" i="18"/>
  <c r="Y144" i="8"/>
  <c r="T144" i="8"/>
  <c r="S144" i="8"/>
  <c r="Y143" i="19"/>
  <c r="S143" i="19"/>
  <c r="T143" i="19"/>
  <c r="V41" i="18"/>
  <c r="Z143" i="19"/>
  <c r="U41" i="18"/>
  <c r="V143" i="19"/>
  <c r="W52" i="10"/>
  <c r="W34" i="10" s="1"/>
  <c r="X10" i="10"/>
  <c r="W11" i="10"/>
  <c r="W16" i="10" s="1"/>
  <c r="Z9" i="10"/>
  <c r="T240" i="9"/>
  <c r="T266" i="9" s="1"/>
  <c r="U241" i="9"/>
  <c r="V241" i="9"/>
  <c r="W241" i="9"/>
  <c r="X241" i="9"/>
  <c r="Y241" i="9"/>
  <c r="Z241" i="9"/>
  <c r="AA241" i="9"/>
  <c r="AB241" i="9"/>
  <c r="AC241" i="9"/>
  <c r="AD241" i="9"/>
  <c r="T241" i="9"/>
  <c r="U243" i="9"/>
  <c r="V243" i="9" s="1"/>
  <c r="AB242" i="9"/>
  <c r="AC242" i="9"/>
  <c r="AD242" i="9"/>
  <c r="AA242" i="9"/>
  <c r="Y242" i="9"/>
  <c r="V242" i="9"/>
  <c r="U242" i="9"/>
  <c r="S243" i="9"/>
  <c r="R243" i="9"/>
  <c r="S241" i="9"/>
  <c r="R241" i="9"/>
  <c r="S240" i="9"/>
  <c r="R240" i="9"/>
  <c r="S30" i="9"/>
  <c r="R30" i="9"/>
  <c r="U29" i="9"/>
  <c r="V29" i="9"/>
  <c r="W29" i="9"/>
  <c r="X29" i="9"/>
  <c r="Y29" i="9"/>
  <c r="Z29" i="9"/>
  <c r="AA29" i="9"/>
  <c r="AB29" i="9"/>
  <c r="AC29" i="9"/>
  <c r="AD29" i="9"/>
  <c r="T29" i="9"/>
  <c r="U28" i="9"/>
  <c r="V28" i="9"/>
  <c r="W28" i="9"/>
  <c r="X28" i="9"/>
  <c r="Y28" i="9"/>
  <c r="Z28" i="9"/>
  <c r="AA28" i="9"/>
  <c r="AB28" i="9"/>
  <c r="AC28" i="9"/>
  <c r="AD28" i="9"/>
  <c r="T28" i="9"/>
  <c r="T27" i="9"/>
  <c r="U27" i="9"/>
  <c r="V27" i="9"/>
  <c r="W27" i="9"/>
  <c r="X27" i="9"/>
  <c r="Y27" i="9"/>
  <c r="Z27" i="9"/>
  <c r="AA27" i="9"/>
  <c r="AB27" i="9"/>
  <c r="AC27" i="9"/>
  <c r="AD27" i="9"/>
  <c r="U26" i="9"/>
  <c r="V26" i="9"/>
  <c r="W26" i="9"/>
  <c r="X26" i="9"/>
  <c r="Y26" i="9"/>
  <c r="Z26" i="9"/>
  <c r="AA26" i="9"/>
  <c r="AB26" i="9"/>
  <c r="AC26" i="9"/>
  <c r="AD26" i="9"/>
  <c r="T26" i="9"/>
  <c r="U25" i="9"/>
  <c r="V25" i="9"/>
  <c r="W25" i="9"/>
  <c r="X25" i="9"/>
  <c r="Y25" i="9"/>
  <c r="Z25" i="9"/>
  <c r="AA25" i="9"/>
  <c r="AB25" i="9"/>
  <c r="AC25" i="9"/>
  <c r="AD25" i="9"/>
  <c r="T25" i="9"/>
  <c r="U23" i="9"/>
  <c r="V23" i="9"/>
  <c r="W23" i="9"/>
  <c r="X23" i="9"/>
  <c r="Y23" i="9"/>
  <c r="Z23" i="9"/>
  <c r="AA23" i="9"/>
  <c r="AB23" i="9"/>
  <c r="AC23" i="9"/>
  <c r="AD23" i="9"/>
  <c r="T23" i="9"/>
  <c r="U22" i="9"/>
  <c r="V22" i="9"/>
  <c r="W22" i="9"/>
  <c r="X22" i="9"/>
  <c r="Y22" i="9"/>
  <c r="Z22" i="9"/>
  <c r="AA22" i="9"/>
  <c r="AB22" i="9"/>
  <c r="AC22" i="9"/>
  <c r="AD22" i="9"/>
  <c r="T22" i="9"/>
  <c r="T20" i="9"/>
  <c r="T19" i="9"/>
  <c r="U19" i="9"/>
  <c r="V19" i="9"/>
  <c r="W19" i="9"/>
  <c r="X19" i="9"/>
  <c r="Y19" i="9"/>
  <c r="Z19" i="9"/>
  <c r="AA19" i="9"/>
  <c r="AB19" i="9"/>
  <c r="AC19" i="9"/>
  <c r="AD19" i="9"/>
  <c r="S19" i="9"/>
  <c r="T18" i="9"/>
  <c r="U18" i="9"/>
  <c r="V18" i="9"/>
  <c r="W18" i="9"/>
  <c r="X18" i="9"/>
  <c r="Y18" i="9"/>
  <c r="Z18" i="9"/>
  <c r="AA18" i="9"/>
  <c r="AB18" i="9"/>
  <c r="AC18" i="9"/>
  <c r="AD18" i="9"/>
  <c r="S18" i="9"/>
  <c r="S15" i="9"/>
  <c r="T15" i="9"/>
  <c r="U15" i="9"/>
  <c r="V15" i="9"/>
  <c r="W15" i="9"/>
  <c r="X15" i="9"/>
  <c r="Y15" i="9"/>
  <c r="Z15" i="9"/>
  <c r="AA15" i="9"/>
  <c r="AB15" i="9"/>
  <c r="AC15" i="9"/>
  <c r="AD15" i="9"/>
  <c r="R15" i="9"/>
  <c r="S14" i="9"/>
  <c r="T14" i="9"/>
  <c r="U14" i="9"/>
  <c r="V14" i="9"/>
  <c r="W14" i="9"/>
  <c r="X14" i="9"/>
  <c r="Y14" i="9"/>
  <c r="Z14" i="9"/>
  <c r="AA14" i="9"/>
  <c r="AB14" i="9"/>
  <c r="AC14" i="9"/>
  <c r="AD14" i="9"/>
  <c r="S198" i="9"/>
  <c r="T198" i="9"/>
  <c r="U198" i="9"/>
  <c r="V198" i="9"/>
  <c r="W198" i="9"/>
  <c r="X198" i="9"/>
  <c r="Y198" i="9"/>
  <c r="Z198" i="9"/>
  <c r="AA198" i="9"/>
  <c r="AB198" i="9"/>
  <c r="AC198" i="9"/>
  <c r="AD198" i="9"/>
  <c r="R198" i="9"/>
  <c r="T197" i="9"/>
  <c r="U197" i="9"/>
  <c r="V197" i="9"/>
  <c r="W197" i="9"/>
  <c r="X197" i="9"/>
  <c r="Y197" i="9"/>
  <c r="Z197" i="9"/>
  <c r="AA197" i="9"/>
  <c r="AB197" i="9"/>
  <c r="AC197" i="9"/>
  <c r="AD197" i="9"/>
  <c r="S197" i="9"/>
  <c r="R197" i="9"/>
  <c r="R14" i="9"/>
  <c r="S13" i="9"/>
  <c r="T13" i="9"/>
  <c r="U13" i="9"/>
  <c r="V13" i="9"/>
  <c r="W13" i="9"/>
  <c r="X13" i="9"/>
  <c r="Y13" i="9"/>
  <c r="Z13" i="9"/>
  <c r="AA13" i="9"/>
  <c r="AB13" i="9"/>
  <c r="AC13" i="9"/>
  <c r="AD13" i="9"/>
  <c r="R13" i="9"/>
  <c r="S12" i="9"/>
  <c r="T12" i="9"/>
  <c r="U12" i="9"/>
  <c r="V12" i="9"/>
  <c r="W12" i="9"/>
  <c r="X12" i="9"/>
  <c r="Y12" i="9"/>
  <c r="Z12" i="9"/>
  <c r="AA12" i="9"/>
  <c r="AB12" i="9"/>
  <c r="AC12" i="9"/>
  <c r="AD12" i="9"/>
  <c r="S11" i="9"/>
  <c r="T11" i="9"/>
  <c r="U11" i="9"/>
  <c r="V11" i="9"/>
  <c r="W11" i="9"/>
  <c r="X11" i="9"/>
  <c r="Y11" i="9"/>
  <c r="Z11" i="9"/>
  <c r="AA11" i="9"/>
  <c r="AB11" i="9"/>
  <c r="AC11" i="9"/>
  <c r="AD11" i="9"/>
  <c r="R11" i="9"/>
  <c r="R12" i="9"/>
  <c r="S10" i="9"/>
  <c r="T10" i="9"/>
  <c r="U10" i="9"/>
  <c r="V10" i="9"/>
  <c r="W10" i="9"/>
  <c r="X10" i="9"/>
  <c r="Y10" i="9"/>
  <c r="Z10" i="9"/>
  <c r="AA10" i="9"/>
  <c r="AB10" i="9"/>
  <c r="AC10" i="9"/>
  <c r="AD10" i="9"/>
  <c r="R10" i="9"/>
  <c r="S9" i="9"/>
  <c r="T9" i="9"/>
  <c r="U9" i="9"/>
  <c r="V9" i="9"/>
  <c r="W9" i="9"/>
  <c r="X9" i="9"/>
  <c r="Y9" i="9"/>
  <c r="Z9" i="9"/>
  <c r="AA9" i="9"/>
  <c r="AB9" i="9"/>
  <c r="AC9" i="9"/>
  <c r="AD9" i="9"/>
  <c r="R9" i="9"/>
  <c r="Z238" i="9"/>
  <c r="AA238" i="9"/>
  <c r="AB238" i="9" s="1"/>
  <c r="AC238" i="9" s="1"/>
  <c r="AD238" i="9" s="1"/>
  <c r="Y238" i="9"/>
  <c r="X238" i="9"/>
  <c r="Z237" i="9"/>
  <c r="AA237" i="9"/>
  <c r="AB237" i="9"/>
  <c r="AC237" i="9"/>
  <c r="AD237" i="9" s="1"/>
  <c r="Y237" i="9"/>
  <c r="X237" i="9"/>
  <c r="AB236" i="9"/>
  <c r="AC236" i="9"/>
  <c r="AD236" i="9"/>
  <c r="AA236" i="9"/>
  <c r="Z236" i="9"/>
  <c r="AA235" i="9"/>
  <c r="AB235" i="9"/>
  <c r="AC235" i="9" s="1"/>
  <c r="AD235" i="9" s="1"/>
  <c r="Z235" i="9"/>
  <c r="Y235" i="9"/>
  <c r="X235" i="9"/>
  <c r="W235" i="9"/>
  <c r="X233" i="9"/>
  <c r="Y233" i="9" s="1"/>
  <c r="Z233" i="9" s="1"/>
  <c r="AA233" i="9" s="1"/>
  <c r="AB233" i="9" s="1"/>
  <c r="AC233" i="9" s="1"/>
  <c r="AD233" i="9" s="1"/>
  <c r="W233" i="9"/>
  <c r="V233" i="9"/>
  <c r="X232" i="9"/>
  <c r="Y232" i="9"/>
  <c r="Z232" i="9"/>
  <c r="AA232" i="9"/>
  <c r="AB232" i="9" s="1"/>
  <c r="AC232" i="9" s="1"/>
  <c r="AD232" i="9" s="1"/>
  <c r="W232" i="9"/>
  <c r="V232" i="9"/>
  <c r="Y230" i="9"/>
  <c r="Z230" i="9"/>
  <c r="AA230" i="9" s="1"/>
  <c r="AB230" i="9" s="1"/>
  <c r="AC230" i="9" s="1"/>
  <c r="AD230" i="9" s="1"/>
  <c r="X230" i="9"/>
  <c r="W230" i="9"/>
  <c r="V230" i="9"/>
  <c r="U230" i="9"/>
  <c r="T230" i="9"/>
  <c r="X229" i="9"/>
  <c r="Y229" i="9"/>
  <c r="Z229" i="9" s="1"/>
  <c r="AA229" i="9" s="1"/>
  <c r="AB229" i="9" s="1"/>
  <c r="AC229" i="9" s="1"/>
  <c r="AD229" i="9" s="1"/>
  <c r="W229" i="9"/>
  <c r="V229" i="9"/>
  <c r="U229" i="9"/>
  <c r="T229" i="9"/>
  <c r="S229" i="9"/>
  <c r="V228" i="9"/>
  <c r="U228" i="9"/>
  <c r="W228" i="9"/>
  <c r="X228" i="9" s="1"/>
  <c r="Y228" i="9" s="1"/>
  <c r="Z228" i="9" s="1"/>
  <c r="AA228" i="9" s="1"/>
  <c r="AB228" i="9" s="1"/>
  <c r="AC228" i="9" s="1"/>
  <c r="AD228" i="9" s="1"/>
  <c r="T228" i="9"/>
  <c r="S228" i="9"/>
  <c r="U225" i="9"/>
  <c r="V225" i="9"/>
  <c r="W225" i="9"/>
  <c r="X225" i="9"/>
  <c r="Y225" i="9"/>
  <c r="Z225" i="9"/>
  <c r="AB225" i="9" s="1"/>
  <c r="AD225" i="9" s="1"/>
  <c r="AA225" i="9"/>
  <c r="AC225" i="9" s="1"/>
  <c r="T225" i="9"/>
  <c r="S225" i="9"/>
  <c r="R225" i="9"/>
  <c r="U224" i="9"/>
  <c r="W224" i="9" s="1"/>
  <c r="Y224" i="9" s="1"/>
  <c r="AA224" i="9" s="1"/>
  <c r="AC224" i="9" s="1"/>
  <c r="V224" i="9"/>
  <c r="X224" i="9" s="1"/>
  <c r="Z224" i="9" s="1"/>
  <c r="AB224" i="9" s="1"/>
  <c r="AD224" i="9" s="1"/>
  <c r="T224" i="9"/>
  <c r="S224" i="9"/>
  <c r="R224" i="9"/>
  <c r="U223" i="9"/>
  <c r="W223" i="9" s="1"/>
  <c r="Y223" i="9" s="1"/>
  <c r="AA223" i="9" s="1"/>
  <c r="AC223" i="9" s="1"/>
  <c r="V223" i="9"/>
  <c r="X223" i="9"/>
  <c r="Z223" i="9" s="1"/>
  <c r="AB223" i="9" s="1"/>
  <c r="AD223" i="9" s="1"/>
  <c r="T223" i="9"/>
  <c r="S223" i="9"/>
  <c r="R223" i="9"/>
  <c r="U222" i="9"/>
  <c r="W222" i="9" s="1"/>
  <c r="Y222" i="9" s="1"/>
  <c r="AA222" i="9" s="1"/>
  <c r="AC222" i="9" s="1"/>
  <c r="V222" i="9"/>
  <c r="X222" i="9" s="1"/>
  <c r="Z222" i="9" s="1"/>
  <c r="AB222" i="9" s="1"/>
  <c r="AD222" i="9" s="1"/>
  <c r="T222" i="9"/>
  <c r="S222" i="9"/>
  <c r="R222" i="9"/>
  <c r="U221" i="9"/>
  <c r="W221" i="9" s="1"/>
  <c r="Y221" i="9" s="1"/>
  <c r="AA221" i="9" s="1"/>
  <c r="AC221" i="9" s="1"/>
  <c r="V221" i="9"/>
  <c r="X221" i="9" s="1"/>
  <c r="Z221" i="9" s="1"/>
  <c r="AB221" i="9" s="1"/>
  <c r="AD221" i="9" s="1"/>
  <c r="T221" i="9"/>
  <c r="S221" i="9"/>
  <c r="R221" i="9"/>
  <c r="U220" i="9"/>
  <c r="V220" i="9"/>
  <c r="X220" i="9" s="1"/>
  <c r="Z220" i="9" s="1"/>
  <c r="AB220" i="9" s="1"/>
  <c r="AD220" i="9" s="1"/>
  <c r="W220" i="9"/>
  <c r="Y220" i="9" s="1"/>
  <c r="AA220" i="9" s="1"/>
  <c r="AC220" i="9" s="1"/>
  <c r="T220" i="9"/>
  <c r="S220" i="9"/>
  <c r="R220" i="9"/>
  <c r="U219" i="9"/>
  <c r="W219" i="9" s="1"/>
  <c r="Y219" i="9" s="1"/>
  <c r="AA219" i="9" s="1"/>
  <c r="AC219" i="9" s="1"/>
  <c r="V219" i="9"/>
  <c r="X219" i="9"/>
  <c r="Z219" i="9" s="1"/>
  <c r="AB219" i="9" s="1"/>
  <c r="AD219" i="9" s="1"/>
  <c r="T219" i="9"/>
  <c r="S219" i="9"/>
  <c r="R219" i="9"/>
  <c r="U216" i="9"/>
  <c r="V216" i="9"/>
  <c r="W216" i="9"/>
  <c r="X216" i="9"/>
  <c r="Y216" i="9"/>
  <c r="Z216" i="9"/>
  <c r="AA216" i="9"/>
  <c r="AB216" i="9"/>
  <c r="AC216" i="9"/>
  <c r="AD216" i="9"/>
  <c r="T216" i="9"/>
  <c r="S213" i="9"/>
  <c r="T213" i="9"/>
  <c r="U213" i="9"/>
  <c r="V213" i="9"/>
  <c r="W213" i="9"/>
  <c r="X213" i="9"/>
  <c r="Y213" i="9"/>
  <c r="Z213" i="9"/>
  <c r="AA213" i="9"/>
  <c r="AB213" i="9"/>
  <c r="AC213" i="9"/>
  <c r="AD213" i="9"/>
  <c r="R213" i="9"/>
  <c r="U212" i="9"/>
  <c r="V212" i="9"/>
  <c r="W212" i="9"/>
  <c r="X212" i="9"/>
  <c r="Y212" i="9"/>
  <c r="Z212" i="9"/>
  <c r="AA212" i="9"/>
  <c r="AB212" i="9"/>
  <c r="AC212" i="9"/>
  <c r="AD212" i="9"/>
  <c r="T212" i="9"/>
  <c r="U211" i="9"/>
  <c r="V211" i="9"/>
  <c r="W211" i="9"/>
  <c r="X211" i="9"/>
  <c r="Y211" i="9"/>
  <c r="Z211" i="9"/>
  <c r="AA211" i="9"/>
  <c r="AB211" i="9"/>
  <c r="AC211" i="9"/>
  <c r="AD211" i="9"/>
  <c r="T211" i="9"/>
  <c r="U210" i="9"/>
  <c r="V210" i="9"/>
  <c r="W210" i="9"/>
  <c r="X210" i="9"/>
  <c r="Y210" i="9"/>
  <c r="Z210" i="9"/>
  <c r="AA210" i="9"/>
  <c r="AB210" i="9"/>
  <c r="AC210" i="9"/>
  <c r="AD210" i="9"/>
  <c r="T210" i="9"/>
  <c r="U209" i="9"/>
  <c r="V209" i="9"/>
  <c r="W209" i="9"/>
  <c r="X209" i="9"/>
  <c r="Y209" i="9"/>
  <c r="Z209" i="9"/>
  <c r="AA209" i="9"/>
  <c r="AB209" i="9"/>
  <c r="AC209" i="9"/>
  <c r="AD209" i="9"/>
  <c r="T209" i="9"/>
  <c r="U208" i="9"/>
  <c r="V208" i="9"/>
  <c r="W208" i="9"/>
  <c r="X208" i="9"/>
  <c r="Y208" i="9"/>
  <c r="Z208" i="9"/>
  <c r="AA208" i="9"/>
  <c r="AB208" i="9"/>
  <c r="AC208" i="9"/>
  <c r="AD208" i="9"/>
  <c r="T208" i="9"/>
  <c r="U206" i="9"/>
  <c r="V206" i="9"/>
  <c r="W206" i="9"/>
  <c r="X206" i="9"/>
  <c r="Y206" i="9"/>
  <c r="Z206" i="9"/>
  <c r="AA206" i="9"/>
  <c r="AB206" i="9"/>
  <c r="AC206" i="9"/>
  <c r="AD206" i="9"/>
  <c r="T206" i="9"/>
  <c r="U205" i="9"/>
  <c r="V205" i="9"/>
  <c r="W205" i="9"/>
  <c r="X205" i="9"/>
  <c r="Y205" i="9"/>
  <c r="Z205" i="9"/>
  <c r="AA205" i="9"/>
  <c r="AB205" i="9"/>
  <c r="AC205" i="9"/>
  <c r="AD205" i="9"/>
  <c r="T205" i="9"/>
  <c r="U203" i="9"/>
  <c r="V203" i="9"/>
  <c r="W203" i="9"/>
  <c r="X203" i="9"/>
  <c r="Y203" i="9"/>
  <c r="Z203" i="9"/>
  <c r="AA203" i="9"/>
  <c r="AB203" i="9"/>
  <c r="AC203" i="9"/>
  <c r="AD203" i="9"/>
  <c r="T203" i="9"/>
  <c r="U202" i="9"/>
  <c r="V202" i="9"/>
  <c r="W202" i="9"/>
  <c r="X202" i="9"/>
  <c r="Y202" i="9"/>
  <c r="Z202" i="9"/>
  <c r="AA202" i="9"/>
  <c r="AB202" i="9"/>
  <c r="AC202" i="9"/>
  <c r="AD202" i="9"/>
  <c r="T202" i="9"/>
  <c r="U201" i="9"/>
  <c r="V201" i="9"/>
  <c r="W201" i="9"/>
  <c r="X201" i="9"/>
  <c r="Y201" i="9"/>
  <c r="Z201" i="9"/>
  <c r="AA201" i="9"/>
  <c r="AB201" i="9"/>
  <c r="AC201" i="9"/>
  <c r="AD201" i="9"/>
  <c r="T201" i="9"/>
  <c r="S202" i="9"/>
  <c r="S201" i="9"/>
  <c r="X78" i="9"/>
  <c r="X77" i="9"/>
  <c r="V73" i="9"/>
  <c r="W72" i="9"/>
  <c r="X72" i="9"/>
  <c r="Y72" i="9"/>
  <c r="V72" i="9"/>
  <c r="K389" i="6"/>
  <c r="L389" i="6"/>
  <c r="M389" i="6"/>
  <c r="N389" i="6"/>
  <c r="O389" i="6"/>
  <c r="P389" i="6"/>
  <c r="Q389" i="6"/>
  <c r="J389" i="6"/>
  <c r="K380" i="6"/>
  <c r="L380" i="6"/>
  <c r="M380" i="6"/>
  <c r="N380" i="6"/>
  <c r="O380" i="6"/>
  <c r="P380" i="6"/>
  <c r="J380" i="6"/>
  <c r="K378" i="6"/>
  <c r="L378" i="6"/>
  <c r="M378" i="6"/>
  <c r="N378" i="6"/>
  <c r="O378" i="6"/>
  <c r="P378" i="6"/>
  <c r="J378" i="6"/>
  <c r="K376" i="6"/>
  <c r="L376" i="6"/>
  <c r="M376" i="6"/>
  <c r="N376" i="6"/>
  <c r="O376" i="6"/>
  <c r="P376" i="6"/>
  <c r="J376" i="6"/>
  <c r="K374" i="6"/>
  <c r="L374" i="6"/>
  <c r="M374" i="6"/>
  <c r="N374" i="6"/>
  <c r="O374" i="6"/>
  <c r="P374" i="6"/>
  <c r="J374" i="6"/>
  <c r="K372" i="6"/>
  <c r="L372" i="6"/>
  <c r="M372" i="6"/>
  <c r="N372" i="6"/>
  <c r="O372" i="6"/>
  <c r="P372" i="6"/>
  <c r="J372" i="6"/>
  <c r="K370" i="6"/>
  <c r="L370" i="6"/>
  <c r="M370" i="6"/>
  <c r="N370" i="6"/>
  <c r="O370" i="6"/>
  <c r="P370" i="6"/>
  <c r="J370" i="6"/>
  <c r="K368" i="6"/>
  <c r="L368" i="6"/>
  <c r="M368" i="6"/>
  <c r="N368" i="6"/>
  <c r="O368" i="6"/>
  <c r="P368" i="6"/>
  <c r="J368" i="6"/>
  <c r="K366" i="6"/>
  <c r="L366" i="6"/>
  <c r="M366" i="6"/>
  <c r="N366" i="6"/>
  <c r="O366" i="6"/>
  <c r="P366" i="6"/>
  <c r="J366" i="6"/>
  <c r="K362" i="6"/>
  <c r="L362" i="6"/>
  <c r="M362" i="6"/>
  <c r="N362" i="6"/>
  <c r="O362" i="6"/>
  <c r="P362" i="6"/>
  <c r="J362" i="6"/>
  <c r="K359" i="6"/>
  <c r="L359" i="6"/>
  <c r="M359" i="6"/>
  <c r="N359" i="6"/>
  <c r="O359" i="6"/>
  <c r="P359" i="6"/>
  <c r="J359" i="6"/>
  <c r="K357" i="6"/>
  <c r="L357" i="6"/>
  <c r="M357" i="6"/>
  <c r="N357" i="6"/>
  <c r="O357" i="6"/>
  <c r="P357" i="6"/>
  <c r="J357" i="6"/>
  <c r="K354" i="6"/>
  <c r="L354" i="6"/>
  <c r="M354" i="6"/>
  <c r="N354" i="6"/>
  <c r="O354" i="6"/>
  <c r="P354" i="6"/>
  <c r="Q354" i="6"/>
  <c r="R354" i="6"/>
  <c r="S354" i="6"/>
  <c r="J354" i="6"/>
  <c r="K347" i="6"/>
  <c r="L347" i="6"/>
  <c r="M347" i="6"/>
  <c r="N347" i="6"/>
  <c r="O347" i="6"/>
  <c r="P347" i="6"/>
  <c r="J347" i="6"/>
  <c r="K345" i="6"/>
  <c r="L345" i="6"/>
  <c r="M345" i="6"/>
  <c r="N345" i="6"/>
  <c r="O345" i="6"/>
  <c r="P345" i="6"/>
  <c r="J345" i="6"/>
  <c r="K343" i="6"/>
  <c r="L343" i="6"/>
  <c r="M343" i="6"/>
  <c r="N343" i="6"/>
  <c r="O343" i="6"/>
  <c r="P343" i="6"/>
  <c r="J343" i="6"/>
  <c r="K340" i="6"/>
  <c r="L340" i="6"/>
  <c r="M340" i="6"/>
  <c r="N340" i="6"/>
  <c r="O340" i="6"/>
  <c r="P340" i="6"/>
  <c r="J340" i="6"/>
  <c r="K336" i="6"/>
  <c r="L336" i="6"/>
  <c r="M336" i="6"/>
  <c r="N336" i="6"/>
  <c r="O336" i="6"/>
  <c r="P336" i="6"/>
  <c r="J336" i="6"/>
  <c r="K332" i="6"/>
  <c r="L332" i="6"/>
  <c r="M332" i="6"/>
  <c r="N332" i="6"/>
  <c r="O332" i="6"/>
  <c r="P332" i="6"/>
  <c r="J332" i="6"/>
  <c r="K330" i="6"/>
  <c r="L330" i="6"/>
  <c r="M330" i="6"/>
  <c r="N330" i="6"/>
  <c r="O330" i="6"/>
  <c r="P330" i="6"/>
  <c r="J330" i="6"/>
  <c r="J305" i="6"/>
  <c r="K305" i="6"/>
  <c r="L305" i="6"/>
  <c r="M305" i="6"/>
  <c r="N305" i="6"/>
  <c r="O305" i="6"/>
  <c r="P305" i="6"/>
  <c r="I305" i="6"/>
  <c r="K304" i="6"/>
  <c r="L304" i="6"/>
  <c r="M304" i="6"/>
  <c r="N304" i="6"/>
  <c r="O304" i="6"/>
  <c r="P304" i="6"/>
  <c r="J304" i="6"/>
  <c r="K297" i="6"/>
  <c r="L297" i="6"/>
  <c r="M297" i="6"/>
  <c r="N297" i="6"/>
  <c r="O297" i="6"/>
  <c r="P297" i="6"/>
  <c r="Q297" i="6"/>
  <c r="R297" i="6"/>
  <c r="S297" i="6"/>
  <c r="J297" i="6"/>
  <c r="K293" i="6"/>
  <c r="L293" i="6"/>
  <c r="M293" i="6"/>
  <c r="N293" i="6"/>
  <c r="O293" i="6"/>
  <c r="P293" i="6"/>
  <c r="J293" i="6"/>
  <c r="K291" i="6"/>
  <c r="L291" i="6"/>
  <c r="M291" i="6"/>
  <c r="N291" i="6"/>
  <c r="O291" i="6"/>
  <c r="P291" i="6"/>
  <c r="J291" i="6"/>
  <c r="K289" i="6"/>
  <c r="L289" i="6"/>
  <c r="M289" i="6"/>
  <c r="N289" i="6"/>
  <c r="O289" i="6"/>
  <c r="P289" i="6"/>
  <c r="J289" i="6"/>
  <c r="K286" i="6"/>
  <c r="L286" i="6"/>
  <c r="M286" i="6"/>
  <c r="N286" i="6"/>
  <c r="O286" i="6"/>
  <c r="P286" i="6"/>
  <c r="J286" i="6"/>
  <c r="K284" i="6"/>
  <c r="L284" i="6"/>
  <c r="M284" i="6"/>
  <c r="N284" i="6"/>
  <c r="O284" i="6"/>
  <c r="P284" i="6"/>
  <c r="J284" i="6"/>
  <c r="K281" i="6"/>
  <c r="L281" i="6"/>
  <c r="M281" i="6"/>
  <c r="N281" i="6"/>
  <c r="O281" i="6"/>
  <c r="P281" i="6"/>
  <c r="J281" i="6"/>
  <c r="K279" i="6"/>
  <c r="L279" i="6"/>
  <c r="M279" i="6"/>
  <c r="N279" i="6"/>
  <c r="O279" i="6"/>
  <c r="P279" i="6"/>
  <c r="J279" i="6"/>
  <c r="K275" i="6"/>
  <c r="L275" i="6"/>
  <c r="M275" i="6"/>
  <c r="N275" i="6"/>
  <c r="O275" i="6"/>
  <c r="P275" i="6"/>
  <c r="J275" i="6"/>
  <c r="K266" i="6"/>
  <c r="L266" i="6"/>
  <c r="M266" i="6"/>
  <c r="N266" i="6"/>
  <c r="O266" i="6"/>
  <c r="P266" i="6"/>
  <c r="Q266" i="6"/>
  <c r="R266" i="6"/>
  <c r="S266" i="6"/>
  <c r="T266" i="6"/>
  <c r="J266" i="6"/>
  <c r="J259" i="6"/>
  <c r="K259" i="6"/>
  <c r="L259" i="6"/>
  <c r="M259" i="6"/>
  <c r="N259" i="6"/>
  <c r="O259" i="6"/>
  <c r="P259" i="6"/>
  <c r="I259" i="6"/>
  <c r="K256" i="6"/>
  <c r="L256" i="6"/>
  <c r="M256" i="6"/>
  <c r="N256" i="6"/>
  <c r="O256" i="6"/>
  <c r="P256" i="6"/>
  <c r="J256" i="6"/>
  <c r="K254" i="6"/>
  <c r="L254" i="6"/>
  <c r="M254" i="6"/>
  <c r="N254" i="6"/>
  <c r="O254" i="6"/>
  <c r="P254" i="6"/>
  <c r="J254" i="6"/>
  <c r="K251" i="6"/>
  <c r="L251" i="6"/>
  <c r="M251" i="6"/>
  <c r="N251" i="6"/>
  <c r="O251" i="6"/>
  <c r="P251" i="6"/>
  <c r="J251" i="6"/>
  <c r="K249" i="6"/>
  <c r="L249" i="6"/>
  <c r="M249" i="6"/>
  <c r="N249" i="6"/>
  <c r="O249" i="6"/>
  <c r="P249" i="6"/>
  <c r="J249" i="6"/>
  <c r="K246" i="6"/>
  <c r="L246" i="6"/>
  <c r="M246" i="6"/>
  <c r="N246" i="6"/>
  <c r="O246" i="6"/>
  <c r="P246" i="6"/>
  <c r="J246" i="6"/>
  <c r="K244" i="6"/>
  <c r="L244" i="6"/>
  <c r="M244" i="6"/>
  <c r="N244" i="6"/>
  <c r="O244" i="6"/>
  <c r="P244" i="6"/>
  <c r="J244" i="6"/>
  <c r="K240" i="6"/>
  <c r="L240" i="6"/>
  <c r="M240" i="6"/>
  <c r="N240" i="6"/>
  <c r="O240" i="6"/>
  <c r="P240" i="6"/>
  <c r="J240" i="6"/>
  <c r="K238" i="6"/>
  <c r="L238" i="6"/>
  <c r="M238" i="6"/>
  <c r="N238" i="6"/>
  <c r="O238" i="6"/>
  <c r="P238" i="6"/>
  <c r="J238" i="6"/>
  <c r="K234" i="6"/>
  <c r="L234" i="6"/>
  <c r="M234" i="6"/>
  <c r="N234" i="6"/>
  <c r="O234" i="6"/>
  <c r="P234" i="6"/>
  <c r="J234" i="6"/>
  <c r="K232" i="6"/>
  <c r="L232" i="6"/>
  <c r="M232" i="6"/>
  <c r="N232" i="6"/>
  <c r="O232" i="6"/>
  <c r="P232" i="6"/>
  <c r="J232" i="6"/>
  <c r="K228" i="6"/>
  <c r="L228" i="6"/>
  <c r="M228" i="6"/>
  <c r="N228" i="6"/>
  <c r="O228" i="6"/>
  <c r="P228" i="6"/>
  <c r="J228" i="6"/>
  <c r="K226" i="6"/>
  <c r="L226" i="6"/>
  <c r="M226" i="6"/>
  <c r="N226" i="6"/>
  <c r="O226" i="6"/>
  <c r="P226" i="6"/>
  <c r="J226" i="6"/>
  <c r="K222" i="6"/>
  <c r="L222" i="6"/>
  <c r="M222" i="6"/>
  <c r="N222" i="6"/>
  <c r="O222" i="6"/>
  <c r="P222" i="6"/>
  <c r="J222" i="6"/>
  <c r="K220" i="6"/>
  <c r="L220" i="6"/>
  <c r="M220" i="6"/>
  <c r="N220" i="6"/>
  <c r="O220" i="6"/>
  <c r="P220" i="6"/>
  <c r="J220" i="6"/>
  <c r="K217" i="6"/>
  <c r="L217" i="6"/>
  <c r="M217" i="6"/>
  <c r="N217" i="6"/>
  <c r="O217" i="6"/>
  <c r="P217" i="6"/>
  <c r="J217" i="6"/>
  <c r="K215" i="6"/>
  <c r="L215" i="6"/>
  <c r="M215" i="6"/>
  <c r="N215" i="6"/>
  <c r="O215" i="6"/>
  <c r="P215" i="6"/>
  <c r="Q215" i="6"/>
  <c r="R215" i="6"/>
  <c r="S215" i="6"/>
  <c r="T215" i="6"/>
  <c r="U215" i="6"/>
  <c r="J215" i="6"/>
  <c r="K211" i="6"/>
  <c r="L211" i="6"/>
  <c r="M211" i="6"/>
  <c r="N211" i="6"/>
  <c r="O211" i="6"/>
  <c r="P211" i="6"/>
  <c r="J211" i="6"/>
  <c r="K209" i="6"/>
  <c r="L209" i="6"/>
  <c r="M209" i="6"/>
  <c r="N209" i="6"/>
  <c r="O209" i="6"/>
  <c r="P209" i="6"/>
  <c r="J209" i="6"/>
  <c r="J207" i="6"/>
  <c r="K207" i="6"/>
  <c r="L207" i="6"/>
  <c r="M207" i="6"/>
  <c r="N207" i="6"/>
  <c r="O207" i="6"/>
  <c r="P207" i="6"/>
  <c r="I207" i="6"/>
  <c r="K206" i="6"/>
  <c r="L206" i="6"/>
  <c r="M206" i="6"/>
  <c r="N206" i="6"/>
  <c r="O206" i="6"/>
  <c r="P206" i="6"/>
  <c r="J206" i="6"/>
  <c r="K161" i="6"/>
  <c r="L161" i="6"/>
  <c r="M161" i="6"/>
  <c r="N161" i="6"/>
  <c r="O161" i="6"/>
  <c r="P161" i="6"/>
  <c r="J161" i="6"/>
  <c r="B1" i="5"/>
  <c r="J197" i="6"/>
  <c r="K197" i="6"/>
  <c r="L197" i="6"/>
  <c r="M197" i="6"/>
  <c r="N197" i="6"/>
  <c r="O197" i="6"/>
  <c r="P197" i="6"/>
  <c r="I197" i="6"/>
  <c r="K195" i="6"/>
  <c r="L195" i="6"/>
  <c r="M195" i="6"/>
  <c r="N195" i="6"/>
  <c r="O195" i="6"/>
  <c r="P195" i="6"/>
  <c r="J195" i="6"/>
  <c r="K193" i="6"/>
  <c r="L193" i="6"/>
  <c r="M193" i="6"/>
  <c r="N193" i="6"/>
  <c r="O193" i="6"/>
  <c r="P193" i="6"/>
  <c r="J193" i="6"/>
  <c r="K191" i="6"/>
  <c r="L191" i="6"/>
  <c r="M191" i="6"/>
  <c r="N191" i="6"/>
  <c r="O191" i="6"/>
  <c r="P191" i="6"/>
  <c r="J191" i="6"/>
  <c r="K189" i="6"/>
  <c r="L189" i="6"/>
  <c r="M189" i="6"/>
  <c r="N189" i="6"/>
  <c r="O189" i="6"/>
  <c r="P189" i="6"/>
  <c r="J189" i="6"/>
  <c r="K187" i="6"/>
  <c r="L187" i="6"/>
  <c r="M187" i="6"/>
  <c r="N187" i="6"/>
  <c r="O187" i="6"/>
  <c r="P187" i="6"/>
  <c r="J187" i="6"/>
  <c r="K185" i="6"/>
  <c r="L185" i="6"/>
  <c r="M185" i="6"/>
  <c r="N185" i="6"/>
  <c r="O185" i="6"/>
  <c r="P185" i="6"/>
  <c r="J185" i="6"/>
  <c r="K183" i="6"/>
  <c r="L183" i="6"/>
  <c r="M183" i="6"/>
  <c r="N183" i="6"/>
  <c r="O183" i="6"/>
  <c r="P183" i="6"/>
  <c r="J183" i="6"/>
  <c r="K182" i="6"/>
  <c r="L182" i="6"/>
  <c r="M182" i="6"/>
  <c r="N182" i="6"/>
  <c r="O182" i="6"/>
  <c r="P182" i="6"/>
  <c r="J182" i="6"/>
  <c r="K176" i="6"/>
  <c r="L176" i="6"/>
  <c r="M176" i="6"/>
  <c r="N176" i="6"/>
  <c r="O176" i="6"/>
  <c r="P176" i="6"/>
  <c r="J176" i="6"/>
  <c r="K173" i="6"/>
  <c r="L173" i="6"/>
  <c r="M173" i="6"/>
  <c r="N173" i="6"/>
  <c r="O173" i="6"/>
  <c r="P173" i="6"/>
  <c r="J173" i="6"/>
  <c r="K172" i="6"/>
  <c r="L172" i="6"/>
  <c r="M172" i="6"/>
  <c r="N172" i="6"/>
  <c r="O172" i="6"/>
  <c r="P172" i="6"/>
  <c r="J172" i="6"/>
  <c r="K171" i="6"/>
  <c r="L171" i="6"/>
  <c r="M171" i="6"/>
  <c r="N171" i="6"/>
  <c r="O171" i="6"/>
  <c r="P171" i="6"/>
  <c r="J171" i="6"/>
  <c r="K169" i="6"/>
  <c r="L169" i="6"/>
  <c r="M169" i="6"/>
  <c r="N169" i="6"/>
  <c r="O169" i="6"/>
  <c r="P169" i="6"/>
  <c r="J169" i="6"/>
  <c r="K166" i="6"/>
  <c r="L166" i="6"/>
  <c r="M166" i="6"/>
  <c r="N166" i="6"/>
  <c r="O166" i="6"/>
  <c r="P166" i="6"/>
  <c r="J166" i="6"/>
  <c r="K162" i="6"/>
  <c r="L162" i="6"/>
  <c r="M162" i="6"/>
  <c r="N162" i="6"/>
  <c r="O162" i="6"/>
  <c r="P162" i="6"/>
  <c r="J162" i="6"/>
  <c r="K155" i="6"/>
  <c r="L155" i="6"/>
  <c r="M155" i="6"/>
  <c r="N155" i="6"/>
  <c r="O155" i="6"/>
  <c r="P155" i="6"/>
  <c r="J155" i="6"/>
  <c r="K138" i="6"/>
  <c r="L138" i="6"/>
  <c r="M138" i="6"/>
  <c r="N138" i="6"/>
  <c r="O138" i="6"/>
  <c r="P138" i="6"/>
  <c r="J138" i="6"/>
  <c r="K130" i="6"/>
  <c r="L130" i="6"/>
  <c r="M130" i="6"/>
  <c r="N130" i="6"/>
  <c r="O130" i="6"/>
  <c r="P130" i="6"/>
  <c r="J130" i="6"/>
  <c r="K116" i="6"/>
  <c r="L116" i="6"/>
  <c r="M116" i="6"/>
  <c r="N116" i="6"/>
  <c r="O116" i="6"/>
  <c r="J116" i="6"/>
  <c r="K106" i="6"/>
  <c r="L106" i="6"/>
  <c r="M106" i="6"/>
  <c r="N106" i="6"/>
  <c r="O106" i="6"/>
  <c r="P106" i="6"/>
  <c r="J106" i="6"/>
  <c r="K102" i="6"/>
  <c r="L102" i="6"/>
  <c r="M102" i="6"/>
  <c r="N102" i="6"/>
  <c r="O102" i="6"/>
  <c r="P102" i="6"/>
  <c r="J102" i="6"/>
  <c r="K100" i="6"/>
  <c r="L100" i="6"/>
  <c r="M100" i="6"/>
  <c r="N100" i="6"/>
  <c r="O100" i="6"/>
  <c r="P100" i="6"/>
  <c r="J100" i="6"/>
  <c r="K98" i="6"/>
  <c r="L98" i="6"/>
  <c r="M98" i="6"/>
  <c r="N98" i="6"/>
  <c r="O98" i="6"/>
  <c r="P98" i="6"/>
  <c r="J98" i="6"/>
  <c r="Q96" i="6"/>
  <c r="R96" i="6"/>
  <c r="S96" i="6"/>
  <c r="K90" i="6"/>
  <c r="L90" i="6"/>
  <c r="M90" i="6"/>
  <c r="N90" i="6"/>
  <c r="O90" i="6"/>
  <c r="P90" i="6"/>
  <c r="J90" i="6"/>
  <c r="K88" i="6"/>
  <c r="L88" i="6"/>
  <c r="M88" i="6"/>
  <c r="N88" i="6"/>
  <c r="O88" i="6"/>
  <c r="P88" i="6"/>
  <c r="J88" i="6"/>
  <c r="K82" i="6"/>
  <c r="L82" i="6"/>
  <c r="M82" i="6"/>
  <c r="N82" i="6"/>
  <c r="O82" i="6"/>
  <c r="P82" i="6"/>
  <c r="J82" i="6"/>
  <c r="K79" i="6"/>
  <c r="L79" i="6"/>
  <c r="M79" i="6"/>
  <c r="N79" i="6"/>
  <c r="O79" i="6"/>
  <c r="P79" i="6"/>
  <c r="J79" i="6"/>
  <c r="K77" i="6"/>
  <c r="L77" i="6"/>
  <c r="M77" i="6"/>
  <c r="N77" i="6"/>
  <c r="O77" i="6"/>
  <c r="P77" i="6"/>
  <c r="J77" i="6"/>
  <c r="K76" i="6"/>
  <c r="L76" i="6"/>
  <c r="M76" i="6"/>
  <c r="N76" i="6"/>
  <c r="O76" i="6"/>
  <c r="P76" i="6"/>
  <c r="J76" i="6"/>
  <c r="K75" i="6"/>
  <c r="L75" i="6"/>
  <c r="M75" i="6"/>
  <c r="N75" i="6"/>
  <c r="O75" i="6"/>
  <c r="P75" i="6"/>
  <c r="J75" i="6"/>
  <c r="K69" i="6"/>
  <c r="L69" i="6"/>
  <c r="M69" i="6"/>
  <c r="N69" i="6"/>
  <c r="O69" i="6"/>
  <c r="P69" i="6"/>
  <c r="J69" i="6"/>
  <c r="K68" i="6"/>
  <c r="L68" i="6"/>
  <c r="M68" i="6"/>
  <c r="N68" i="6"/>
  <c r="O68" i="6"/>
  <c r="P68" i="6"/>
  <c r="J68" i="6"/>
  <c r="K66" i="6"/>
  <c r="L66" i="6"/>
  <c r="M66" i="6"/>
  <c r="N66" i="6"/>
  <c r="O66" i="6"/>
  <c r="P66" i="6"/>
  <c r="J66" i="6"/>
  <c r="K65" i="6"/>
  <c r="L65" i="6"/>
  <c r="M65" i="6"/>
  <c r="N65" i="6"/>
  <c r="O65" i="6"/>
  <c r="P65" i="6"/>
  <c r="J65" i="6"/>
  <c r="K64" i="6"/>
  <c r="L64" i="6"/>
  <c r="M64" i="6"/>
  <c r="N64" i="6"/>
  <c r="O64" i="6"/>
  <c r="P64" i="6"/>
  <c r="J64" i="6"/>
  <c r="K63" i="6"/>
  <c r="L63" i="6"/>
  <c r="M63" i="6"/>
  <c r="N63" i="6"/>
  <c r="O63" i="6"/>
  <c r="P63" i="6"/>
  <c r="J63" i="6"/>
  <c r="K62" i="6"/>
  <c r="L62" i="6"/>
  <c r="M62" i="6"/>
  <c r="N62" i="6"/>
  <c r="O62" i="6"/>
  <c r="P62" i="6"/>
  <c r="J62" i="6"/>
  <c r="K61" i="6"/>
  <c r="L61" i="6"/>
  <c r="M61" i="6"/>
  <c r="N61" i="6"/>
  <c r="O61" i="6"/>
  <c r="P61" i="6"/>
  <c r="J61" i="6"/>
  <c r="K58" i="6"/>
  <c r="L58" i="6"/>
  <c r="M58" i="6"/>
  <c r="N58" i="6"/>
  <c r="O58" i="6"/>
  <c r="P58" i="6"/>
  <c r="J58" i="6"/>
  <c r="K56" i="6"/>
  <c r="L56" i="6"/>
  <c r="M56" i="6"/>
  <c r="N56" i="6"/>
  <c r="O56" i="6"/>
  <c r="P56" i="6"/>
  <c r="J56" i="6"/>
  <c r="K54" i="6"/>
  <c r="L54" i="6"/>
  <c r="M54" i="6"/>
  <c r="N54" i="6"/>
  <c r="O54" i="6"/>
  <c r="P54" i="6"/>
  <c r="J54" i="6"/>
  <c r="K52" i="6"/>
  <c r="L52" i="6"/>
  <c r="M52" i="6"/>
  <c r="N52" i="6"/>
  <c r="O52" i="6"/>
  <c r="P52" i="6"/>
  <c r="J52" i="6"/>
  <c r="K49" i="6"/>
  <c r="L49" i="6"/>
  <c r="M49" i="6"/>
  <c r="N49" i="6"/>
  <c r="O49" i="6"/>
  <c r="P49" i="6"/>
  <c r="J49" i="6"/>
  <c r="J37" i="6"/>
  <c r="K27" i="6"/>
  <c r="L27" i="6"/>
  <c r="M27" i="6"/>
  <c r="N27" i="6"/>
  <c r="O27" i="6"/>
  <c r="P27" i="6"/>
  <c r="J27" i="6"/>
  <c r="K25" i="6"/>
  <c r="L25" i="6"/>
  <c r="M25" i="6"/>
  <c r="N25" i="6"/>
  <c r="O25" i="6"/>
  <c r="P25" i="6"/>
  <c r="J25" i="6"/>
  <c r="K23" i="6"/>
  <c r="L23" i="6"/>
  <c r="M23" i="6"/>
  <c r="N23" i="6"/>
  <c r="O23" i="6"/>
  <c r="P23" i="6"/>
  <c r="J23" i="6"/>
  <c r="K21" i="6"/>
  <c r="L21" i="6"/>
  <c r="M21" i="6"/>
  <c r="N21" i="6"/>
  <c r="O21" i="6"/>
  <c r="P21" i="6"/>
  <c r="J21" i="6"/>
  <c r="B1" i="6"/>
  <c r="K37" i="6"/>
  <c r="L37" i="6"/>
  <c r="M37" i="6"/>
  <c r="N37" i="6"/>
  <c r="O37" i="6"/>
  <c r="P37" i="6"/>
  <c r="K6" i="8"/>
  <c r="L5" i="8"/>
  <c r="K11" i="6"/>
  <c r="L11" i="6"/>
  <c r="L6" i="8" s="1"/>
  <c r="M11" i="6"/>
  <c r="M6" i="8" s="1"/>
  <c r="N11" i="6"/>
  <c r="N6" i="8" s="1"/>
  <c r="O11" i="6"/>
  <c r="O6" i="8" s="1"/>
  <c r="P11" i="6"/>
  <c r="P6" i="8" s="1"/>
  <c r="J11" i="6"/>
  <c r="J6" i="8" s="1"/>
  <c r="K9" i="6"/>
  <c r="L9" i="6"/>
  <c r="M9" i="6"/>
  <c r="N9" i="6"/>
  <c r="O9" i="6"/>
  <c r="P9" i="6"/>
  <c r="J9" i="6"/>
  <c r="K7" i="6"/>
  <c r="K5" i="8" s="1"/>
  <c r="L7" i="6"/>
  <c r="M7" i="6"/>
  <c r="M5" i="8" s="1"/>
  <c r="N7" i="6"/>
  <c r="N5" i="8" s="1"/>
  <c r="O7" i="6"/>
  <c r="O5" i="8" s="1"/>
  <c r="P7" i="6"/>
  <c r="P5" i="8" s="1"/>
  <c r="J7" i="6"/>
  <c r="J5" i="8" s="1"/>
  <c r="K5" i="6"/>
  <c r="L5" i="6"/>
  <c r="M5" i="6"/>
  <c r="N5" i="6"/>
  <c r="O5" i="6"/>
  <c r="P5" i="6"/>
  <c r="J5" i="6"/>
  <c r="S196" i="9"/>
  <c r="T196" i="9"/>
  <c r="U196" i="9"/>
  <c r="V196" i="9"/>
  <c r="W196" i="9"/>
  <c r="X196" i="9"/>
  <c r="Y196" i="9"/>
  <c r="Z196" i="9"/>
  <c r="AA196" i="9"/>
  <c r="AB196" i="9"/>
  <c r="AC196" i="9"/>
  <c r="AD196" i="9"/>
  <c r="R196" i="9"/>
  <c r="AC195" i="9"/>
  <c r="AD195" i="9"/>
  <c r="Y195" i="9"/>
  <c r="Z195" i="9"/>
  <c r="AA195" i="9"/>
  <c r="AB195" i="9"/>
  <c r="U195" i="9"/>
  <c r="V195" i="9"/>
  <c r="W195" i="9"/>
  <c r="X195" i="9"/>
  <c r="S195" i="9"/>
  <c r="T195" i="9"/>
  <c r="R195" i="9"/>
  <c r="S194" i="9"/>
  <c r="T194" i="9"/>
  <c r="U194" i="9"/>
  <c r="V194" i="9"/>
  <c r="W194" i="9"/>
  <c r="X194" i="9"/>
  <c r="Y194" i="9"/>
  <c r="Z194" i="9"/>
  <c r="AA194" i="9"/>
  <c r="AB194" i="9"/>
  <c r="AC194" i="9"/>
  <c r="AD194" i="9"/>
  <c r="R194" i="9"/>
  <c r="S193" i="9"/>
  <c r="T193" i="9"/>
  <c r="U193" i="9"/>
  <c r="V193" i="9"/>
  <c r="W193" i="9"/>
  <c r="X193" i="9"/>
  <c r="Y193" i="9"/>
  <c r="Z193" i="9"/>
  <c r="AA193" i="9"/>
  <c r="AB193" i="9"/>
  <c r="AC193" i="9"/>
  <c r="AD193" i="9"/>
  <c r="R193" i="9"/>
  <c r="S192" i="9"/>
  <c r="T192" i="9"/>
  <c r="U192" i="9"/>
  <c r="V192" i="9"/>
  <c r="W192" i="9"/>
  <c r="X192" i="9"/>
  <c r="Y192" i="9"/>
  <c r="Z192" i="9"/>
  <c r="AA192" i="9"/>
  <c r="AB192" i="9"/>
  <c r="AC192" i="9"/>
  <c r="AD192" i="9"/>
  <c r="R192" i="9"/>
  <c r="S138" i="9"/>
  <c r="T138" i="9"/>
  <c r="U138" i="9"/>
  <c r="V138" i="9"/>
  <c r="W138" i="9"/>
  <c r="X138" i="9"/>
  <c r="Y138" i="9"/>
  <c r="Z138" i="9"/>
  <c r="AA138" i="9"/>
  <c r="AB138" i="9"/>
  <c r="AC138" i="9"/>
  <c r="AD138" i="9"/>
  <c r="R138" i="9"/>
  <c r="S163" i="9"/>
  <c r="T163" i="9"/>
  <c r="U163" i="9"/>
  <c r="V163" i="9"/>
  <c r="W163" i="9"/>
  <c r="X163" i="9"/>
  <c r="Y163" i="9"/>
  <c r="Z163" i="9"/>
  <c r="AA163" i="9"/>
  <c r="AB163" i="9"/>
  <c r="AC163" i="9"/>
  <c r="AD163" i="9"/>
  <c r="R163" i="9"/>
  <c r="Y161" i="9"/>
  <c r="Z161" i="9"/>
  <c r="AA161" i="9"/>
  <c r="AB161" i="9"/>
  <c r="AC161" i="9"/>
  <c r="AD161" i="9"/>
  <c r="X161" i="9"/>
  <c r="Y160" i="9"/>
  <c r="Z160" i="9"/>
  <c r="AA160" i="9"/>
  <c r="AB160" i="9"/>
  <c r="AC160" i="9"/>
  <c r="AD160" i="9"/>
  <c r="X160" i="9"/>
  <c r="AA159" i="9"/>
  <c r="AB159" i="9"/>
  <c r="AC159" i="9"/>
  <c r="AD159" i="9"/>
  <c r="AC100" i="9"/>
  <c r="AB100" i="9"/>
  <c r="AA100" i="9"/>
  <c r="Z159" i="9"/>
  <c r="X158" i="9"/>
  <c r="Y158" i="9"/>
  <c r="Z158" i="9"/>
  <c r="AA158" i="9"/>
  <c r="AB158" i="9"/>
  <c r="AC158" i="9"/>
  <c r="AD158" i="9"/>
  <c r="W158" i="9"/>
  <c r="AD156" i="9"/>
  <c r="AC156" i="9"/>
  <c r="AB156" i="9"/>
  <c r="AA156" i="9"/>
  <c r="Z156" i="9"/>
  <c r="Y156" i="9"/>
  <c r="X156" i="9"/>
  <c r="W156" i="9"/>
  <c r="V156" i="9"/>
  <c r="W155" i="9"/>
  <c r="X155" i="9"/>
  <c r="Y155" i="9"/>
  <c r="Z155" i="9"/>
  <c r="AA155" i="9"/>
  <c r="AB155" i="9"/>
  <c r="AC155" i="9"/>
  <c r="AD155" i="9"/>
  <c r="V155" i="9"/>
  <c r="U153" i="9"/>
  <c r="V153" i="9"/>
  <c r="W153" i="9"/>
  <c r="X153" i="9"/>
  <c r="Y153" i="9"/>
  <c r="Z153" i="9"/>
  <c r="AA153" i="9"/>
  <c r="AB153" i="9"/>
  <c r="AC153" i="9"/>
  <c r="AD153" i="9"/>
  <c r="T153" i="9"/>
  <c r="T152" i="9"/>
  <c r="U152" i="9"/>
  <c r="V152" i="9"/>
  <c r="W152" i="9"/>
  <c r="X152" i="9"/>
  <c r="Y152" i="9"/>
  <c r="Z152" i="9"/>
  <c r="AA152" i="9"/>
  <c r="AB152" i="9"/>
  <c r="AC152" i="9"/>
  <c r="AD152" i="9"/>
  <c r="T151" i="9"/>
  <c r="U151" i="9"/>
  <c r="V151" i="9"/>
  <c r="W151" i="9"/>
  <c r="X151" i="9"/>
  <c r="Y151" i="9"/>
  <c r="Z151" i="9"/>
  <c r="AA151" i="9"/>
  <c r="AB151" i="9"/>
  <c r="AC151" i="9"/>
  <c r="AD151" i="9"/>
  <c r="S152" i="9"/>
  <c r="S151" i="9"/>
  <c r="S148" i="9"/>
  <c r="T148" i="9"/>
  <c r="U148" i="9"/>
  <c r="V148" i="9"/>
  <c r="W148" i="9"/>
  <c r="X148" i="9"/>
  <c r="Y148" i="9"/>
  <c r="Z148" i="9"/>
  <c r="AA148" i="9"/>
  <c r="AB148" i="9"/>
  <c r="AC148" i="9"/>
  <c r="AD148" i="9"/>
  <c r="R148" i="9"/>
  <c r="S147" i="9"/>
  <c r="T147" i="9"/>
  <c r="U147" i="9"/>
  <c r="V147" i="9"/>
  <c r="W147" i="9"/>
  <c r="X147" i="9"/>
  <c r="Y147" i="9"/>
  <c r="Z147" i="9"/>
  <c r="AA147" i="9"/>
  <c r="AB147" i="9"/>
  <c r="AC147" i="9"/>
  <c r="AD147" i="9"/>
  <c r="R147" i="9"/>
  <c r="S146" i="9"/>
  <c r="T146" i="9"/>
  <c r="U146" i="9"/>
  <c r="V146" i="9"/>
  <c r="W146" i="9"/>
  <c r="X146" i="9"/>
  <c r="Y146" i="9"/>
  <c r="Z146" i="9"/>
  <c r="AA146" i="9"/>
  <c r="AB146" i="9"/>
  <c r="AC146" i="9"/>
  <c r="AD146" i="9"/>
  <c r="R146" i="9"/>
  <c r="S145" i="9"/>
  <c r="T145" i="9"/>
  <c r="U145" i="9"/>
  <c r="V145" i="9"/>
  <c r="W145" i="9"/>
  <c r="X145" i="9"/>
  <c r="Y145" i="9"/>
  <c r="Z145" i="9"/>
  <c r="AA145" i="9"/>
  <c r="AB145" i="9"/>
  <c r="AC145" i="9"/>
  <c r="AD145" i="9"/>
  <c r="R145" i="9"/>
  <c r="S144" i="9"/>
  <c r="T144" i="9"/>
  <c r="U144" i="9"/>
  <c r="V144" i="9"/>
  <c r="W144" i="9"/>
  <c r="X144" i="9"/>
  <c r="Y144" i="9"/>
  <c r="Z144" i="9"/>
  <c r="AA144" i="9"/>
  <c r="AB144" i="9"/>
  <c r="AC144" i="9"/>
  <c r="AD144" i="9"/>
  <c r="R144" i="9"/>
  <c r="S143" i="9"/>
  <c r="T143" i="9"/>
  <c r="U143" i="9"/>
  <c r="V143" i="9"/>
  <c r="W143" i="9"/>
  <c r="X143" i="9"/>
  <c r="Y143" i="9"/>
  <c r="Z143" i="9"/>
  <c r="AA143" i="9"/>
  <c r="AB143" i="9"/>
  <c r="AC143" i="9"/>
  <c r="AD143" i="9"/>
  <c r="R143" i="9"/>
  <c r="S142" i="9"/>
  <c r="T142" i="9"/>
  <c r="U142" i="9"/>
  <c r="V142" i="9"/>
  <c r="W142" i="9"/>
  <c r="X142" i="9"/>
  <c r="Y142" i="9"/>
  <c r="Z142" i="9"/>
  <c r="AA142" i="9"/>
  <c r="AB142" i="9"/>
  <c r="AC142" i="9"/>
  <c r="AD142" i="9"/>
  <c r="R142" i="9"/>
  <c r="Y136" i="9"/>
  <c r="Z136" i="9"/>
  <c r="AA136" i="9"/>
  <c r="AB136" i="9"/>
  <c r="AC136" i="9"/>
  <c r="AD136" i="9"/>
  <c r="X136" i="9"/>
  <c r="Z135" i="9"/>
  <c r="AA135" i="9" s="1"/>
  <c r="AB135" i="9" s="1"/>
  <c r="AC135" i="9" s="1"/>
  <c r="AD135" i="9" s="1"/>
  <c r="Y135" i="9"/>
  <c r="AB134" i="9"/>
  <c r="AC134" i="9" s="1"/>
  <c r="AD134" i="9" s="1"/>
  <c r="AA134" i="9"/>
  <c r="AA133" i="9"/>
  <c r="AB133" i="9" s="1"/>
  <c r="AC133" i="9" s="1"/>
  <c r="AD133" i="9" s="1"/>
  <c r="Z133" i="9"/>
  <c r="Y133" i="9"/>
  <c r="X133" i="9"/>
  <c r="W131" i="9"/>
  <c r="X131" i="9"/>
  <c r="Y131" i="9"/>
  <c r="Z131" i="9"/>
  <c r="AA131" i="9"/>
  <c r="AB131" i="9"/>
  <c r="AC131" i="9"/>
  <c r="AD131" i="9"/>
  <c r="V131" i="9"/>
  <c r="X130" i="9"/>
  <c r="Y130" i="9" s="1"/>
  <c r="Z130" i="9" s="1"/>
  <c r="AA130" i="9" s="1"/>
  <c r="AB130" i="9" s="1"/>
  <c r="AC130" i="9" s="1"/>
  <c r="AD130" i="9" s="1"/>
  <c r="W130" i="9"/>
  <c r="X128" i="9"/>
  <c r="Y128" i="9" s="1"/>
  <c r="Z128" i="9" s="1"/>
  <c r="AA128" i="9" s="1"/>
  <c r="AB128" i="9" s="1"/>
  <c r="AC128" i="9" s="1"/>
  <c r="AD128" i="9" s="1"/>
  <c r="W128" i="9"/>
  <c r="V128" i="9"/>
  <c r="U128" i="9"/>
  <c r="U127" i="9"/>
  <c r="V127" i="9"/>
  <c r="W127" i="9"/>
  <c r="X127" i="9"/>
  <c r="Y127" i="9"/>
  <c r="Z127" i="9"/>
  <c r="AA127" i="9"/>
  <c r="AB127" i="9"/>
  <c r="AC127" i="9"/>
  <c r="AD127" i="9"/>
  <c r="T127" i="9"/>
  <c r="W126" i="9"/>
  <c r="X126" i="9" s="1"/>
  <c r="Y126" i="9" s="1"/>
  <c r="Z126" i="9" s="1"/>
  <c r="AA126" i="9" s="1"/>
  <c r="AB126" i="9" s="1"/>
  <c r="AC126" i="9" s="1"/>
  <c r="AD126" i="9" s="1"/>
  <c r="V126" i="9"/>
  <c r="U126" i="9"/>
  <c r="T126" i="9"/>
  <c r="U123" i="9"/>
  <c r="V123" i="9" s="1"/>
  <c r="W123" i="9" s="1"/>
  <c r="X123" i="9" s="1"/>
  <c r="T123" i="9"/>
  <c r="U122" i="9"/>
  <c r="V122" i="9" s="1"/>
  <c r="W122" i="9" s="1"/>
  <c r="X122" i="9" s="1"/>
  <c r="Y122" i="9" s="1"/>
  <c r="Z122" i="9" s="1"/>
  <c r="AA122" i="9" s="1"/>
  <c r="AB122" i="9" s="1"/>
  <c r="AC122" i="9" s="1"/>
  <c r="AD122" i="9" s="1"/>
  <c r="T122" i="9"/>
  <c r="U121" i="9"/>
  <c r="V121" i="9"/>
  <c r="W121" i="9" s="1"/>
  <c r="X121" i="9" s="1"/>
  <c r="Y121" i="9" s="1"/>
  <c r="Z121" i="9" s="1"/>
  <c r="AA121" i="9" s="1"/>
  <c r="AB121" i="9" s="1"/>
  <c r="AC121" i="9" s="1"/>
  <c r="AD121" i="9" s="1"/>
  <c r="T121" i="9"/>
  <c r="U120" i="9"/>
  <c r="V120" i="9"/>
  <c r="W120" i="9" s="1"/>
  <c r="X120" i="9" s="1"/>
  <c r="Y120" i="9" s="1"/>
  <c r="Z120" i="9" s="1"/>
  <c r="AA120" i="9" s="1"/>
  <c r="AB120" i="9" s="1"/>
  <c r="AC120" i="9" s="1"/>
  <c r="AD120" i="9" s="1"/>
  <c r="T120" i="9"/>
  <c r="U119" i="9"/>
  <c r="V119" i="9" s="1"/>
  <c r="W119" i="9" s="1"/>
  <c r="X119" i="9" s="1"/>
  <c r="Y119" i="9" s="1"/>
  <c r="Z119" i="9" s="1"/>
  <c r="AA119" i="9" s="1"/>
  <c r="AB119" i="9" s="1"/>
  <c r="AC119" i="9" s="1"/>
  <c r="AD119" i="9" s="1"/>
  <c r="T119" i="9"/>
  <c r="U118" i="9"/>
  <c r="V118" i="9"/>
  <c r="W118" i="9" s="1"/>
  <c r="X118" i="9" s="1"/>
  <c r="Y118" i="9" s="1"/>
  <c r="Z118" i="9" s="1"/>
  <c r="AA118" i="9" s="1"/>
  <c r="AB118" i="9" s="1"/>
  <c r="AC118" i="9" s="1"/>
  <c r="AD118" i="9" s="1"/>
  <c r="T118" i="9"/>
  <c r="U117" i="9"/>
  <c r="V117" i="9"/>
  <c r="W117" i="9" s="1"/>
  <c r="X117" i="9" s="1"/>
  <c r="Y117" i="9" s="1"/>
  <c r="Z117" i="9" s="1"/>
  <c r="AA117" i="9" s="1"/>
  <c r="AB117" i="9" s="1"/>
  <c r="AC117" i="9" s="1"/>
  <c r="AD117" i="9" s="1"/>
  <c r="T117" i="9"/>
  <c r="D101" i="13" l="1"/>
  <c r="D102" i="13"/>
  <c r="W243" i="9"/>
  <c r="V240" i="9"/>
  <c r="V30" i="9" s="1"/>
  <c r="U240" i="9"/>
  <c r="U30" i="9" s="1"/>
  <c r="T30" i="9"/>
  <c r="Q9" i="11" s="1"/>
  <c r="U266" i="9"/>
  <c r="V266" i="9"/>
  <c r="X52" i="10"/>
  <c r="X34" i="10" s="1"/>
  <c r="Y10" i="10"/>
  <c r="X11" i="10"/>
  <c r="X16" i="10" s="1"/>
  <c r="AA9" i="10"/>
  <c r="L369" i="9"/>
  <c r="AI319" i="9"/>
  <c r="AI293" i="9" s="1"/>
  <c r="BD215" i="9"/>
  <c r="BC215" i="9"/>
  <c r="BB215" i="9"/>
  <c r="BA215" i="9"/>
  <c r="AZ215" i="9"/>
  <c r="AZ30" i="9" s="1"/>
  <c r="AY215" i="9"/>
  <c r="AX215" i="9"/>
  <c r="AW215" i="9"/>
  <c r="AV215" i="9"/>
  <c r="AU215" i="9"/>
  <c r="AT215" i="9"/>
  <c r="AS215" i="9"/>
  <c r="AR215" i="9"/>
  <c r="AR30" i="9" s="1"/>
  <c r="AQ215" i="9"/>
  <c r="AP215" i="9"/>
  <c r="AO215" i="9"/>
  <c r="AN215" i="9"/>
  <c r="AM215" i="9"/>
  <c r="AL215" i="9"/>
  <c r="AK215" i="9"/>
  <c r="AJ215" i="9"/>
  <c r="AJ30" i="9" s="1"/>
  <c r="AI215" i="9"/>
  <c r="BD213" i="9"/>
  <c r="BC213" i="9"/>
  <c r="BB213" i="9"/>
  <c r="BA213" i="9"/>
  <c r="AZ213" i="9"/>
  <c r="AY213" i="9"/>
  <c r="AX213" i="9"/>
  <c r="AW213" i="9"/>
  <c r="AV213" i="9"/>
  <c r="AU213" i="9"/>
  <c r="AT213" i="9"/>
  <c r="AS213" i="9"/>
  <c r="AR213" i="9"/>
  <c r="AQ213" i="9"/>
  <c r="AP213" i="9"/>
  <c r="AO213" i="9"/>
  <c r="AN213" i="9"/>
  <c r="AM213" i="9"/>
  <c r="AL213" i="9"/>
  <c r="AK213" i="9"/>
  <c r="AJ213" i="9"/>
  <c r="AI213" i="9"/>
  <c r="AI114" i="9"/>
  <c r="AJ114" i="9" s="1"/>
  <c r="AK114" i="9" s="1"/>
  <c r="AL114" i="9" s="1"/>
  <c r="AM114" i="9" s="1"/>
  <c r="AN114" i="9" s="1"/>
  <c r="AO114" i="9" s="1"/>
  <c r="AP114" i="9" s="1"/>
  <c r="AQ114" i="9" s="1"/>
  <c r="AR114" i="9" s="1"/>
  <c r="AS114" i="9" s="1"/>
  <c r="AT114" i="9" s="1"/>
  <c r="AU114" i="9" s="1"/>
  <c r="AV114" i="9" s="1"/>
  <c r="AW114" i="9" s="1"/>
  <c r="AX114" i="9" s="1"/>
  <c r="AY114" i="9" s="1"/>
  <c r="AZ114" i="9" s="1"/>
  <c r="BA114" i="9" s="1"/>
  <c r="BB114" i="9" s="1"/>
  <c r="BC114" i="9" s="1"/>
  <c r="BD114" i="9" s="1"/>
  <c r="BD104" i="9"/>
  <c r="BC104" i="9"/>
  <c r="BB104" i="9"/>
  <c r="BA104" i="9"/>
  <c r="AZ104" i="9"/>
  <c r="AY104" i="9"/>
  <c r="AX104" i="9"/>
  <c r="AW104" i="9"/>
  <c r="AV104" i="9"/>
  <c r="AU104" i="9"/>
  <c r="AT104" i="9"/>
  <c r="AS104" i="9"/>
  <c r="AR104" i="9"/>
  <c r="AQ104" i="9"/>
  <c r="AP104" i="9"/>
  <c r="AO104" i="9"/>
  <c r="AN104" i="9"/>
  <c r="AM104" i="9"/>
  <c r="AL104" i="9"/>
  <c r="AK104" i="9"/>
  <c r="AJ104" i="9"/>
  <c r="AI104" i="9"/>
  <c r="Q88" i="9"/>
  <c r="R88" i="9" s="1"/>
  <c r="P88" i="9"/>
  <c r="P86" i="9"/>
  <c r="P104" i="9" s="1"/>
  <c r="BD80" i="9"/>
  <c r="BC80" i="9"/>
  <c r="BB80" i="9"/>
  <c r="BA80" i="9"/>
  <c r="AZ80" i="9"/>
  <c r="AY80" i="9"/>
  <c r="AX80" i="9"/>
  <c r="AW80" i="9"/>
  <c r="AV80" i="9"/>
  <c r="AU80" i="9"/>
  <c r="AT80" i="9"/>
  <c r="AS80" i="9"/>
  <c r="AR80" i="9"/>
  <c r="AQ80" i="9"/>
  <c r="AP80" i="9"/>
  <c r="AO80" i="9"/>
  <c r="AN80" i="9"/>
  <c r="AM80" i="9"/>
  <c r="AL80" i="9"/>
  <c r="AK80" i="9"/>
  <c r="AJ80" i="9"/>
  <c r="AI80" i="9"/>
  <c r="Y78" i="9"/>
  <c r="Z78" i="9" s="1"/>
  <c r="AA78" i="9" s="1"/>
  <c r="AB78" i="9" s="1"/>
  <c r="AC78" i="9" s="1"/>
  <c r="AD78" i="9" s="1"/>
  <c r="Y77" i="9"/>
  <c r="Z77" i="9" s="1"/>
  <c r="AA77" i="9" s="1"/>
  <c r="AB77" i="9" s="1"/>
  <c r="AC77" i="9" s="1"/>
  <c r="AD77" i="9" s="1"/>
  <c r="Z75" i="9"/>
  <c r="AA75" i="9" s="1"/>
  <c r="AB75" i="9" s="1"/>
  <c r="AC75" i="9" s="1"/>
  <c r="AD75" i="9" s="1"/>
  <c r="Y75" i="9"/>
  <c r="X75" i="9"/>
  <c r="Y74" i="9"/>
  <c r="Z74" i="9" s="1"/>
  <c r="AA74" i="9" s="1"/>
  <c r="AB74" i="9" s="1"/>
  <c r="AC74" i="9" s="1"/>
  <c r="AD74" i="9" s="1"/>
  <c r="X74" i="9"/>
  <c r="W73" i="9"/>
  <c r="X73" i="9" s="1"/>
  <c r="Y73" i="9" s="1"/>
  <c r="Z73" i="9" s="1"/>
  <c r="AA73" i="9" s="1"/>
  <c r="AB73" i="9" s="1"/>
  <c r="AC73" i="9" s="1"/>
  <c r="AD73" i="9" s="1"/>
  <c r="Z72" i="9"/>
  <c r="AA72" i="9" s="1"/>
  <c r="AB72" i="9" s="1"/>
  <c r="AC72" i="9" s="1"/>
  <c r="AD72" i="9" s="1"/>
  <c r="U70" i="9"/>
  <c r="V70" i="9" s="1"/>
  <c r="W70" i="9" s="1"/>
  <c r="X70" i="9" s="1"/>
  <c r="Y70" i="9" s="1"/>
  <c r="Z70" i="9" s="1"/>
  <c r="AA70" i="9" s="1"/>
  <c r="AB70" i="9" s="1"/>
  <c r="AC70" i="9" s="1"/>
  <c r="AD70" i="9" s="1"/>
  <c r="W69" i="9"/>
  <c r="X69" i="9" s="1"/>
  <c r="Y69" i="9" s="1"/>
  <c r="Z69" i="9" s="1"/>
  <c r="AA69" i="9" s="1"/>
  <c r="AB69" i="9" s="1"/>
  <c r="AC69" i="9" s="1"/>
  <c r="AD69" i="9" s="1"/>
  <c r="V69" i="9"/>
  <c r="U69" i="9"/>
  <c r="V68" i="9"/>
  <c r="W68" i="9" s="1"/>
  <c r="X68" i="9" s="1"/>
  <c r="Y68" i="9" s="1"/>
  <c r="Z68" i="9" s="1"/>
  <c r="AA68" i="9" s="1"/>
  <c r="AB68" i="9" s="1"/>
  <c r="AC68" i="9" s="1"/>
  <c r="AD68" i="9" s="1"/>
  <c r="U68" i="9"/>
  <c r="P64" i="9"/>
  <c r="AI56" i="9"/>
  <c r="L56" i="9"/>
  <c r="BD30" i="9"/>
  <c r="BC30" i="9"/>
  <c r="BC56" i="9" s="1"/>
  <c r="BB30" i="9"/>
  <c r="BA30" i="9"/>
  <c r="BB56" i="9" s="1"/>
  <c r="AY30" i="9"/>
  <c r="AX30" i="9"/>
  <c r="AY56" i="9" s="1"/>
  <c r="AW30" i="9"/>
  <c r="AW56" i="9" s="1"/>
  <c r="AV30" i="9"/>
  <c r="AU30" i="9"/>
  <c r="AU56" i="9" s="1"/>
  <c r="AT30" i="9"/>
  <c r="AS30" i="9"/>
  <c r="AT56" i="9" s="1"/>
  <c r="AQ30" i="9"/>
  <c r="AP30" i="9"/>
  <c r="AQ56" i="9" s="1"/>
  <c r="AO30" i="9"/>
  <c r="AO56" i="9" s="1"/>
  <c r="AN30" i="9"/>
  <c r="AM30" i="9"/>
  <c r="AM56" i="9" s="1"/>
  <c r="AL30" i="9"/>
  <c r="AK30" i="9"/>
  <c r="AL56" i="9" s="1"/>
  <c r="AI30" i="9"/>
  <c r="AI369" i="9" s="1"/>
  <c r="H3" i="9"/>
  <c r="I3" i="9" s="1"/>
  <c r="G3" i="9"/>
  <c r="F2" i="9"/>
  <c r="E2" i="9"/>
  <c r="E3" i="8"/>
  <c r="F3" i="8" s="1"/>
  <c r="C371" i="7"/>
  <c r="C368" i="7"/>
  <c r="C367" i="7"/>
  <c r="C366" i="7"/>
  <c r="C365" i="7"/>
  <c r="C363" i="7"/>
  <c r="C359" i="7"/>
  <c r="C358" i="7"/>
  <c r="C353" i="7"/>
  <c r="C355" i="7" s="1"/>
  <c r="C350" i="7"/>
  <c r="C349" i="7"/>
  <c r="C351" i="7" s="1"/>
  <c r="C354" i="7" s="1"/>
  <c r="C356" i="7" s="1"/>
  <c r="D347" i="7"/>
  <c r="D347" i="7" a="1"/>
  <c r="D346" i="7" a="1"/>
  <c r="D346" i="7" s="1"/>
  <c r="E346" i="7" s="1"/>
  <c r="C346" i="7"/>
  <c r="D345" i="7"/>
  <c r="D345" i="7" a="1"/>
  <c r="C345" i="7"/>
  <c r="E345" i="7" s="1"/>
  <c r="D344" i="7" a="1"/>
  <c r="D344" i="7" s="1"/>
  <c r="E344" i="7" s="1"/>
  <c r="C344" i="7"/>
  <c r="D343" i="7"/>
  <c r="D343" i="7" a="1"/>
  <c r="C343" i="7"/>
  <c r="E343" i="7" s="1"/>
  <c r="D342" i="7" a="1"/>
  <c r="D342" i="7" s="1"/>
  <c r="E342" i="7" s="1"/>
  <c r="C342" i="7"/>
  <c r="D341" i="7"/>
  <c r="D341" i="7" a="1"/>
  <c r="C341" i="7"/>
  <c r="E341" i="7" s="1"/>
  <c r="D340" i="7" a="1"/>
  <c r="D340" i="7" s="1"/>
  <c r="C340" i="7"/>
  <c r="D330" i="7"/>
  <c r="C316" i="7"/>
  <c r="E316" i="7" s="1"/>
  <c r="C315" i="7"/>
  <c r="E315" i="7" s="1"/>
  <c r="C314" i="7"/>
  <c r="E314" i="7" s="1"/>
  <c r="C313" i="7"/>
  <c r="E313" i="7" s="1"/>
  <c r="C312" i="7"/>
  <c r="C310" i="7"/>
  <c r="E309" i="7"/>
  <c r="D309" i="7"/>
  <c r="C309" i="7"/>
  <c r="C308" i="7"/>
  <c r="C307" i="7"/>
  <c r="O303" i="7"/>
  <c r="P303" i="7" s="1"/>
  <c r="N303" i="7"/>
  <c r="M303" i="7"/>
  <c r="O302" i="7"/>
  <c r="P302" i="7" s="1"/>
  <c r="M302" i="7"/>
  <c r="N302" i="7" s="1"/>
  <c r="P301" i="7"/>
  <c r="O301" i="7"/>
  <c r="M301" i="7"/>
  <c r="N301" i="7" s="1"/>
  <c r="O300" i="7"/>
  <c r="P300" i="7" s="1"/>
  <c r="M300" i="7"/>
  <c r="N300" i="7" s="1"/>
  <c r="O299" i="7"/>
  <c r="P299" i="7" s="1"/>
  <c r="M299" i="7"/>
  <c r="N299" i="7" s="1"/>
  <c r="O298" i="7"/>
  <c r="P298" i="7" s="1"/>
  <c r="N298" i="7"/>
  <c r="M298" i="7"/>
  <c r="O297" i="7"/>
  <c r="P297" i="7" s="1"/>
  <c r="N297" i="7"/>
  <c r="M297" i="7"/>
  <c r="O296" i="7"/>
  <c r="P296" i="7" s="1"/>
  <c r="N296" i="7"/>
  <c r="M296" i="7"/>
  <c r="O295" i="7"/>
  <c r="P295" i="7" s="1"/>
  <c r="N295" i="7"/>
  <c r="M295" i="7"/>
  <c r="O294" i="7"/>
  <c r="P294" i="7" s="1"/>
  <c r="M294" i="7"/>
  <c r="N294" i="7" s="1"/>
  <c r="P293" i="7"/>
  <c r="O293" i="7"/>
  <c r="M293" i="7"/>
  <c r="N293" i="7" s="1"/>
  <c r="O292" i="7"/>
  <c r="P292" i="7" s="1"/>
  <c r="M292" i="7"/>
  <c r="N292" i="7" s="1"/>
  <c r="O291" i="7"/>
  <c r="P291" i="7" s="1"/>
  <c r="M291" i="7"/>
  <c r="N291" i="7" s="1"/>
  <c r="O290" i="7"/>
  <c r="P290" i="7" s="1"/>
  <c r="N290" i="7"/>
  <c r="M290" i="7"/>
  <c r="O289" i="7"/>
  <c r="P289" i="7" s="1"/>
  <c r="N289" i="7"/>
  <c r="M289" i="7"/>
  <c r="O288" i="7"/>
  <c r="P288" i="7" s="1"/>
  <c r="M288" i="7"/>
  <c r="N288" i="7" s="1"/>
  <c r="O287" i="7"/>
  <c r="P287" i="7" s="1"/>
  <c r="M287" i="7"/>
  <c r="N287" i="7" s="1"/>
  <c r="O286" i="7"/>
  <c r="P286" i="7" s="1"/>
  <c r="M286" i="7"/>
  <c r="N286" i="7" s="1"/>
  <c r="P285" i="7"/>
  <c r="O285" i="7"/>
  <c r="M285" i="7"/>
  <c r="N285" i="7" s="1"/>
  <c r="O284" i="7"/>
  <c r="P284" i="7" s="1"/>
  <c r="M284" i="7"/>
  <c r="N284" i="7" s="1"/>
  <c r="O283" i="7"/>
  <c r="P283" i="7" s="1"/>
  <c r="M283" i="7"/>
  <c r="N283" i="7" s="1"/>
  <c r="O282" i="7"/>
  <c r="P282" i="7" s="1"/>
  <c r="N282" i="7"/>
  <c r="M282" i="7"/>
  <c r="O281" i="7"/>
  <c r="P281" i="7" s="1"/>
  <c r="N281" i="7"/>
  <c r="M281" i="7"/>
  <c r="O280" i="7"/>
  <c r="P280" i="7" s="1"/>
  <c r="M280" i="7"/>
  <c r="N280" i="7" s="1"/>
  <c r="O279" i="7"/>
  <c r="P279" i="7" s="1"/>
  <c r="M279" i="7"/>
  <c r="N279" i="7" s="1"/>
  <c r="O278" i="7"/>
  <c r="P278" i="7" s="1"/>
  <c r="M278" i="7"/>
  <c r="N278" i="7" s="1"/>
  <c r="P277" i="7"/>
  <c r="O277" i="7"/>
  <c r="M277" i="7"/>
  <c r="N277" i="7" s="1"/>
  <c r="O276" i="7"/>
  <c r="P276" i="7" s="1"/>
  <c r="M276" i="7"/>
  <c r="N276" i="7" s="1"/>
  <c r="P275" i="7"/>
  <c r="O275" i="7"/>
  <c r="M275" i="7"/>
  <c r="N275" i="7" s="1"/>
  <c r="O274" i="7"/>
  <c r="P274" i="7" s="1"/>
  <c r="N274" i="7"/>
  <c r="M274" i="7"/>
  <c r="O273" i="7"/>
  <c r="P273" i="7" s="1"/>
  <c r="N273" i="7"/>
  <c r="M273" i="7"/>
  <c r="O272" i="7"/>
  <c r="P272" i="7" s="1"/>
  <c r="M272" i="7"/>
  <c r="N272" i="7" s="1"/>
  <c r="O271" i="7"/>
  <c r="P271" i="7" s="1"/>
  <c r="N271" i="7"/>
  <c r="M271" i="7"/>
  <c r="O270" i="7"/>
  <c r="P270" i="7" s="1"/>
  <c r="M270" i="7"/>
  <c r="N270" i="7" s="1"/>
  <c r="P269" i="7"/>
  <c r="O269" i="7"/>
  <c r="M269" i="7"/>
  <c r="N269" i="7" s="1"/>
  <c r="O268" i="7"/>
  <c r="P268" i="7" s="1"/>
  <c r="M268" i="7"/>
  <c r="N268" i="7" s="1"/>
  <c r="O267" i="7"/>
  <c r="D337" i="7" s="1"/>
  <c r="M267" i="7"/>
  <c r="N267" i="7" s="1"/>
  <c r="O266" i="7"/>
  <c r="P266" i="7" s="1"/>
  <c r="N266" i="7"/>
  <c r="M266" i="7"/>
  <c r="O265" i="7"/>
  <c r="P265" i="7" s="1"/>
  <c r="N265" i="7"/>
  <c r="M265" i="7"/>
  <c r="O264" i="7"/>
  <c r="P264" i="7" s="1"/>
  <c r="N264" i="7"/>
  <c r="M264" i="7"/>
  <c r="O260" i="7"/>
  <c r="P260" i="7" s="1"/>
  <c r="N260" i="7"/>
  <c r="M260" i="7"/>
  <c r="O259" i="7"/>
  <c r="P259" i="7" s="1"/>
  <c r="M259" i="7"/>
  <c r="N259" i="7" s="1"/>
  <c r="P258" i="7"/>
  <c r="O258" i="7"/>
  <c r="M258" i="7"/>
  <c r="N258" i="7" s="1"/>
  <c r="O257" i="7"/>
  <c r="P257" i="7" s="1"/>
  <c r="M257" i="7"/>
  <c r="N257" i="7" s="1"/>
  <c r="O256" i="7"/>
  <c r="P256" i="7" s="1"/>
  <c r="M256" i="7"/>
  <c r="N256" i="7" s="1"/>
  <c r="O255" i="7"/>
  <c r="P255" i="7" s="1"/>
  <c r="N255" i="7"/>
  <c r="M255" i="7"/>
  <c r="O254" i="7"/>
  <c r="P254" i="7" s="1"/>
  <c r="N254" i="7"/>
  <c r="M254" i="7"/>
  <c r="O253" i="7"/>
  <c r="P253" i="7" s="1"/>
  <c r="M253" i="7"/>
  <c r="N253" i="7" s="1"/>
  <c r="O252" i="7"/>
  <c r="P252" i="7" s="1"/>
  <c r="M252" i="7"/>
  <c r="N252" i="7" s="1"/>
  <c r="O251" i="7"/>
  <c r="P251" i="7" s="1"/>
  <c r="M251" i="7"/>
  <c r="N251" i="7" s="1"/>
  <c r="P250" i="7"/>
  <c r="O250" i="7"/>
  <c r="M250" i="7"/>
  <c r="N250" i="7" s="1"/>
  <c r="O249" i="7"/>
  <c r="P249" i="7" s="1"/>
  <c r="M249" i="7"/>
  <c r="N249" i="7" s="1"/>
  <c r="O248" i="7"/>
  <c r="P248" i="7" s="1"/>
  <c r="C336" i="7" s="1"/>
  <c r="M248" i="7"/>
  <c r="N248" i="7" s="1"/>
  <c r="O244" i="7"/>
  <c r="P244" i="7" s="1"/>
  <c r="N244" i="7"/>
  <c r="M244" i="7"/>
  <c r="O243" i="7"/>
  <c r="P243" i="7" s="1"/>
  <c r="N243" i="7"/>
  <c r="M243" i="7"/>
  <c r="O242" i="7"/>
  <c r="P242" i="7" s="1"/>
  <c r="M242" i="7"/>
  <c r="N242" i="7" s="1"/>
  <c r="O241" i="7"/>
  <c r="P241" i="7" s="1"/>
  <c r="M241" i="7"/>
  <c r="N241" i="7" s="1"/>
  <c r="O240" i="7"/>
  <c r="P240" i="7" s="1"/>
  <c r="M240" i="7"/>
  <c r="N240" i="7" s="1"/>
  <c r="P239" i="7"/>
  <c r="O239" i="7"/>
  <c r="M239" i="7"/>
  <c r="N239" i="7" s="1"/>
  <c r="O238" i="7"/>
  <c r="P238" i="7" s="1"/>
  <c r="M238" i="7"/>
  <c r="N238" i="7" s="1"/>
  <c r="P237" i="7"/>
  <c r="O237" i="7"/>
  <c r="M237" i="7"/>
  <c r="N237" i="7" s="1"/>
  <c r="O236" i="7"/>
  <c r="P236" i="7" s="1"/>
  <c r="N236" i="7"/>
  <c r="M236" i="7"/>
  <c r="O235" i="7"/>
  <c r="P235" i="7" s="1"/>
  <c r="N235" i="7"/>
  <c r="M235" i="7"/>
  <c r="O234" i="7"/>
  <c r="P234" i="7" s="1"/>
  <c r="M234" i="7"/>
  <c r="N234" i="7" s="1"/>
  <c r="O233" i="7"/>
  <c r="P233" i="7" s="1"/>
  <c r="N233" i="7"/>
  <c r="M233" i="7"/>
  <c r="O232" i="7"/>
  <c r="P232" i="7" s="1"/>
  <c r="M232" i="7"/>
  <c r="N232" i="7" s="1"/>
  <c r="P231" i="7"/>
  <c r="O231" i="7"/>
  <c r="M231" i="7"/>
  <c r="N231" i="7" s="1"/>
  <c r="O230" i="7"/>
  <c r="P230" i="7" s="1"/>
  <c r="M230" i="7"/>
  <c r="N230" i="7" s="1"/>
  <c r="O229" i="7"/>
  <c r="P229" i="7" s="1"/>
  <c r="C335" i="7" s="1"/>
  <c r="M229" i="7"/>
  <c r="N229" i="7" s="1"/>
  <c r="O225" i="7"/>
  <c r="P225" i="7" s="1"/>
  <c r="N225" i="7"/>
  <c r="M225" i="7"/>
  <c r="O224" i="7"/>
  <c r="P224" i="7" s="1"/>
  <c r="C334" i="7" s="1"/>
  <c r="N224" i="7"/>
  <c r="M224" i="7"/>
  <c r="O220" i="7"/>
  <c r="P220" i="7" s="1"/>
  <c r="N220" i="7"/>
  <c r="M220" i="7"/>
  <c r="O219" i="7"/>
  <c r="P219" i="7" s="1"/>
  <c r="N219" i="7"/>
  <c r="M219" i="7"/>
  <c r="O218" i="7"/>
  <c r="P218" i="7" s="1"/>
  <c r="M218" i="7"/>
  <c r="N218" i="7" s="1"/>
  <c r="P217" i="7"/>
  <c r="O217" i="7"/>
  <c r="M217" i="7"/>
  <c r="N217" i="7" s="1"/>
  <c r="O216" i="7"/>
  <c r="P216" i="7" s="1"/>
  <c r="N216" i="7"/>
  <c r="M216" i="7"/>
  <c r="P215" i="7"/>
  <c r="O215" i="7"/>
  <c r="M215" i="7"/>
  <c r="N215" i="7" s="1"/>
  <c r="O214" i="7"/>
  <c r="P214" i="7" s="1"/>
  <c r="C333" i="7" s="1"/>
  <c r="M214" i="7"/>
  <c r="N214" i="7" s="1"/>
  <c r="O210" i="7"/>
  <c r="P210" i="7" s="1"/>
  <c r="N210" i="7"/>
  <c r="M210" i="7"/>
  <c r="O209" i="7"/>
  <c r="P209" i="7" s="1"/>
  <c r="M209" i="7"/>
  <c r="N209" i="7" s="1"/>
  <c r="P205" i="7"/>
  <c r="O205" i="7"/>
  <c r="N205" i="7"/>
  <c r="M205" i="7"/>
  <c r="O204" i="7"/>
  <c r="P204" i="7" s="1"/>
  <c r="M204" i="7"/>
  <c r="N204" i="7" s="1"/>
  <c r="O203" i="7"/>
  <c r="P203" i="7" s="1"/>
  <c r="M203" i="7"/>
  <c r="N203" i="7" s="1"/>
  <c r="O202" i="7"/>
  <c r="P202" i="7" s="1"/>
  <c r="M202" i="7"/>
  <c r="N202" i="7" s="1"/>
  <c r="O201" i="7"/>
  <c r="P201" i="7" s="1"/>
  <c r="N201" i="7"/>
  <c r="M201" i="7"/>
  <c r="O200" i="7"/>
  <c r="P200" i="7" s="1"/>
  <c r="N200" i="7"/>
  <c r="M200" i="7"/>
  <c r="O199" i="7"/>
  <c r="P199" i="7" s="1"/>
  <c r="M199" i="7"/>
  <c r="N199" i="7" s="1"/>
  <c r="O198" i="7"/>
  <c r="P198" i="7" s="1"/>
  <c r="M198" i="7"/>
  <c r="N198" i="7" s="1"/>
  <c r="O197" i="7"/>
  <c r="P197" i="7" s="1"/>
  <c r="M197" i="7"/>
  <c r="N197" i="7" s="1"/>
  <c r="O196" i="7"/>
  <c r="P196" i="7" s="1"/>
  <c r="M196" i="7"/>
  <c r="N196" i="7" s="1"/>
  <c r="P191" i="7"/>
  <c r="O191" i="7"/>
  <c r="M191" i="7"/>
  <c r="N191" i="7" s="1"/>
  <c r="O190" i="7"/>
  <c r="P190" i="7" s="1"/>
  <c r="N190" i="7"/>
  <c r="M190" i="7"/>
  <c r="O189" i="7"/>
  <c r="P189" i="7" s="1"/>
  <c r="M189" i="7"/>
  <c r="N189" i="7" s="1"/>
  <c r="O188" i="7"/>
  <c r="P188" i="7" s="1"/>
  <c r="N188" i="7"/>
  <c r="M188" i="7"/>
  <c r="O187" i="7"/>
  <c r="P187" i="7" s="1"/>
  <c r="N187" i="7"/>
  <c r="M187" i="7"/>
  <c r="O186" i="7"/>
  <c r="P186" i="7" s="1"/>
  <c r="M186" i="7"/>
  <c r="N186" i="7" s="1"/>
  <c r="P185" i="7"/>
  <c r="O185" i="7"/>
  <c r="M185" i="7"/>
  <c r="N185" i="7" s="1"/>
  <c r="O184" i="7"/>
  <c r="P184" i="7" s="1"/>
  <c r="M184" i="7"/>
  <c r="N184" i="7" s="1"/>
  <c r="O183" i="7"/>
  <c r="P183" i="7" s="1"/>
  <c r="M183" i="7"/>
  <c r="N183" i="7" s="1"/>
  <c r="O179" i="7"/>
  <c r="P179" i="7" s="1"/>
  <c r="M179" i="7"/>
  <c r="N179" i="7" s="1"/>
  <c r="P178" i="7"/>
  <c r="O178" i="7"/>
  <c r="N178" i="7"/>
  <c r="M178" i="7"/>
  <c r="O177" i="7"/>
  <c r="N177" i="7"/>
  <c r="M177" i="7"/>
  <c r="O173" i="7"/>
  <c r="P173" i="7" s="1"/>
  <c r="N173" i="7"/>
  <c r="M173" i="7"/>
  <c r="O172" i="7"/>
  <c r="P172" i="7" s="1"/>
  <c r="M172" i="7"/>
  <c r="N172" i="7" s="1"/>
  <c r="O171" i="7"/>
  <c r="P171" i="7" s="1"/>
  <c r="C328" i="7" s="1"/>
  <c r="M171" i="7"/>
  <c r="N171" i="7" s="1"/>
  <c r="O167" i="7"/>
  <c r="P167" i="7" s="1"/>
  <c r="M167" i="7"/>
  <c r="N167" i="7" s="1"/>
  <c r="P166" i="7"/>
  <c r="O166" i="7"/>
  <c r="M166" i="7"/>
  <c r="N166" i="7" s="1"/>
  <c r="O165" i="7"/>
  <c r="P165" i="7" s="1"/>
  <c r="N165" i="7"/>
  <c r="M165" i="7"/>
  <c r="P164" i="7"/>
  <c r="O164" i="7"/>
  <c r="M164" i="7"/>
  <c r="N164" i="7" s="1"/>
  <c r="O163" i="7"/>
  <c r="P163" i="7" s="1"/>
  <c r="M163" i="7"/>
  <c r="N163" i="7" s="1"/>
  <c r="O162" i="7"/>
  <c r="P162" i="7" s="1"/>
  <c r="N162" i="7"/>
  <c r="M162" i="7"/>
  <c r="O161" i="7"/>
  <c r="P161" i="7" s="1"/>
  <c r="N161" i="7"/>
  <c r="M161" i="7"/>
  <c r="P160" i="7"/>
  <c r="O160" i="7"/>
  <c r="M160" i="7"/>
  <c r="N160" i="7" s="1"/>
  <c r="O159" i="7"/>
  <c r="P159" i="7" s="1"/>
  <c r="M159" i="7"/>
  <c r="N159" i="7" s="1"/>
  <c r="P158" i="7"/>
  <c r="O158" i="7"/>
  <c r="M158" i="7"/>
  <c r="N158" i="7" s="1"/>
  <c r="O157" i="7"/>
  <c r="P157" i="7" s="1"/>
  <c r="M157" i="7"/>
  <c r="N157" i="7" s="1"/>
  <c r="O156" i="7"/>
  <c r="P156" i="7" s="1"/>
  <c r="N156" i="7"/>
  <c r="M156" i="7"/>
  <c r="O155" i="7"/>
  <c r="P155" i="7" s="1"/>
  <c r="N155" i="7"/>
  <c r="M155" i="7"/>
  <c r="O154" i="7"/>
  <c r="P154" i="7" s="1"/>
  <c r="M154" i="7"/>
  <c r="N154" i="7" s="1"/>
  <c r="O153" i="7"/>
  <c r="P153" i="7" s="1"/>
  <c r="N153" i="7"/>
  <c r="M153" i="7"/>
  <c r="O152" i="7"/>
  <c r="P152" i="7" s="1"/>
  <c r="N152" i="7"/>
  <c r="M152" i="7"/>
  <c r="O151" i="7"/>
  <c r="P151" i="7" s="1"/>
  <c r="M151" i="7"/>
  <c r="N151" i="7" s="1"/>
  <c r="P150" i="7"/>
  <c r="O150" i="7"/>
  <c r="M150" i="7"/>
  <c r="N150" i="7" s="1"/>
  <c r="O149" i="7"/>
  <c r="P149" i="7" s="1"/>
  <c r="N149" i="7"/>
  <c r="M149" i="7"/>
  <c r="O148" i="7"/>
  <c r="P148" i="7" s="1"/>
  <c r="M148" i="7"/>
  <c r="N148" i="7" s="1"/>
  <c r="O147" i="7"/>
  <c r="M147" i="7"/>
  <c r="N147" i="7" s="1"/>
  <c r="O143" i="7"/>
  <c r="P143" i="7" s="1"/>
  <c r="N143" i="7"/>
  <c r="M143" i="7"/>
  <c r="O142" i="7"/>
  <c r="P142" i="7" s="1"/>
  <c r="M142" i="7"/>
  <c r="N142" i="7" s="1"/>
  <c r="P141" i="7"/>
  <c r="O141" i="7"/>
  <c r="N141" i="7"/>
  <c r="M141" i="7"/>
  <c r="O140" i="7"/>
  <c r="P140" i="7" s="1"/>
  <c r="M140" i="7"/>
  <c r="N140" i="7" s="1"/>
  <c r="O139" i="7"/>
  <c r="M139" i="7"/>
  <c r="N139" i="7" s="1"/>
  <c r="O135" i="7"/>
  <c r="P135" i="7" s="1"/>
  <c r="M135" i="7"/>
  <c r="N135" i="7" s="1"/>
  <c r="O134" i="7"/>
  <c r="P134" i="7" s="1"/>
  <c r="N134" i="7"/>
  <c r="M134" i="7"/>
  <c r="O133" i="7"/>
  <c r="P133" i="7" s="1"/>
  <c r="N133" i="7"/>
  <c r="M133" i="7"/>
  <c r="O132" i="7"/>
  <c r="P132" i="7" s="1"/>
  <c r="M132" i="7"/>
  <c r="N132" i="7" s="1"/>
  <c r="O131" i="7"/>
  <c r="P131" i="7" s="1"/>
  <c r="M131" i="7"/>
  <c r="N131" i="7" s="1"/>
  <c r="O127" i="7"/>
  <c r="P127" i="7" s="1"/>
  <c r="M127" i="7"/>
  <c r="N127" i="7" s="1"/>
  <c r="O126" i="7"/>
  <c r="P126" i="7" s="1"/>
  <c r="M126" i="7"/>
  <c r="N126" i="7" s="1"/>
  <c r="P125" i="7"/>
  <c r="O125" i="7"/>
  <c r="M125" i="7"/>
  <c r="N125" i="7" s="1"/>
  <c r="O124" i="7"/>
  <c r="P124" i="7" s="1"/>
  <c r="N124" i="7"/>
  <c r="M124" i="7"/>
  <c r="O123" i="7"/>
  <c r="M123" i="7"/>
  <c r="N123" i="7" s="1"/>
  <c r="O119" i="7"/>
  <c r="P119" i="7" s="1"/>
  <c r="N119" i="7"/>
  <c r="M119" i="7"/>
  <c r="O118" i="7"/>
  <c r="P118" i="7" s="1"/>
  <c r="N118" i="7"/>
  <c r="M118" i="7"/>
  <c r="O117" i="7"/>
  <c r="P117" i="7" s="1"/>
  <c r="N117" i="7"/>
  <c r="M117" i="7"/>
  <c r="P116" i="7"/>
  <c r="O116" i="7"/>
  <c r="M116" i="7"/>
  <c r="N116" i="7" s="1"/>
  <c r="O115" i="7"/>
  <c r="P115" i="7" s="1"/>
  <c r="M115" i="7"/>
  <c r="N115" i="7" s="1"/>
  <c r="P114" i="7"/>
  <c r="O114" i="7"/>
  <c r="M114" i="7"/>
  <c r="N114" i="7" s="1"/>
  <c r="O113" i="7"/>
  <c r="P113" i="7" s="1"/>
  <c r="M113" i="7"/>
  <c r="N113" i="7" s="1"/>
  <c r="P112" i="7"/>
  <c r="O112" i="7"/>
  <c r="N112" i="7"/>
  <c r="M112" i="7"/>
  <c r="O111" i="7"/>
  <c r="P111" i="7" s="1"/>
  <c r="M111" i="7"/>
  <c r="N111" i="7" s="1"/>
  <c r="O110" i="7"/>
  <c r="P110" i="7" s="1"/>
  <c r="N110" i="7"/>
  <c r="M110" i="7"/>
  <c r="P109" i="7"/>
  <c r="O109" i="7"/>
  <c r="M109" i="7"/>
  <c r="N109" i="7" s="1"/>
  <c r="O108" i="7"/>
  <c r="P108" i="7" s="1"/>
  <c r="N108" i="7"/>
  <c r="M108" i="7"/>
  <c r="O107" i="7"/>
  <c r="P107" i="7" s="1"/>
  <c r="M107" i="7"/>
  <c r="N107" i="7" s="1"/>
  <c r="P106" i="7"/>
  <c r="O106" i="7"/>
  <c r="N106" i="7"/>
  <c r="M106" i="7"/>
  <c r="O105" i="7"/>
  <c r="P105" i="7" s="1"/>
  <c r="M105" i="7"/>
  <c r="N105" i="7" s="1"/>
  <c r="O104" i="7"/>
  <c r="P104" i="7" s="1"/>
  <c r="N104" i="7"/>
  <c r="M104" i="7"/>
  <c r="P103" i="7"/>
  <c r="O103" i="7"/>
  <c r="M103" i="7"/>
  <c r="N103" i="7" s="1"/>
  <c r="P102" i="7"/>
  <c r="O102" i="7"/>
  <c r="N102" i="7"/>
  <c r="M102" i="7"/>
  <c r="O101" i="7"/>
  <c r="D323" i="7" s="1"/>
  <c r="M101" i="7"/>
  <c r="N101" i="7" s="1"/>
  <c r="O97" i="7"/>
  <c r="P97" i="7" s="1"/>
  <c r="N97" i="7"/>
  <c r="M97" i="7"/>
  <c r="O96" i="7"/>
  <c r="P96" i="7" s="1"/>
  <c r="M96" i="7"/>
  <c r="N96" i="7" s="1"/>
  <c r="O95" i="7"/>
  <c r="P95" i="7" s="1"/>
  <c r="N95" i="7"/>
  <c r="M95" i="7"/>
  <c r="P94" i="7"/>
  <c r="O94" i="7"/>
  <c r="D322" i="7" s="1"/>
  <c r="M94" i="7"/>
  <c r="N94" i="7" s="1"/>
  <c r="P93" i="7"/>
  <c r="O93" i="7"/>
  <c r="N93" i="7"/>
  <c r="M93" i="7"/>
  <c r="O89" i="7"/>
  <c r="P89" i="7" s="1"/>
  <c r="M89" i="7"/>
  <c r="N89" i="7" s="1"/>
  <c r="O88" i="7"/>
  <c r="P88" i="7" s="1"/>
  <c r="N88" i="7"/>
  <c r="M88" i="7"/>
  <c r="P87" i="7"/>
  <c r="O87" i="7"/>
  <c r="M87" i="7"/>
  <c r="N87" i="7" s="1"/>
  <c r="O86" i="7"/>
  <c r="P86" i="7" s="1"/>
  <c r="N86" i="7"/>
  <c r="M86" i="7"/>
  <c r="O85" i="7"/>
  <c r="P85" i="7" s="1"/>
  <c r="M85" i="7"/>
  <c r="N85" i="7" s="1"/>
  <c r="P84" i="7"/>
  <c r="O84" i="7"/>
  <c r="N84" i="7"/>
  <c r="M84" i="7"/>
  <c r="O83" i="7"/>
  <c r="P83" i="7" s="1"/>
  <c r="M83" i="7"/>
  <c r="N83" i="7" s="1"/>
  <c r="O82" i="7"/>
  <c r="P82" i="7" s="1"/>
  <c r="N82" i="7"/>
  <c r="M82" i="7"/>
  <c r="P81" i="7"/>
  <c r="O81" i="7"/>
  <c r="M81" i="7"/>
  <c r="N81" i="7" s="1"/>
  <c r="P80" i="7"/>
  <c r="O80" i="7"/>
  <c r="N80" i="7"/>
  <c r="M80" i="7"/>
  <c r="O79" i="7"/>
  <c r="P79" i="7" s="1"/>
  <c r="M79" i="7"/>
  <c r="N79" i="7" s="1"/>
  <c r="O78" i="7"/>
  <c r="P78" i="7" s="1"/>
  <c r="N78" i="7"/>
  <c r="M78" i="7"/>
  <c r="O77" i="7"/>
  <c r="P77" i="7" s="1"/>
  <c r="M77" i="7"/>
  <c r="N77" i="7" s="1"/>
  <c r="O76" i="7"/>
  <c r="P76" i="7" s="1"/>
  <c r="N76" i="7"/>
  <c r="M76" i="7"/>
  <c r="P75" i="7"/>
  <c r="O75" i="7"/>
  <c r="M75" i="7"/>
  <c r="N75" i="7" s="1"/>
  <c r="P74" i="7"/>
  <c r="O74" i="7"/>
  <c r="N74" i="7"/>
  <c r="M74" i="7"/>
  <c r="O73" i="7"/>
  <c r="P73" i="7" s="1"/>
  <c r="M73" i="7"/>
  <c r="N73" i="7" s="1"/>
  <c r="O72" i="7"/>
  <c r="D321" i="7" s="1"/>
  <c r="N72" i="7"/>
  <c r="M72" i="7"/>
  <c r="P68" i="7"/>
  <c r="O68" i="7"/>
  <c r="M68" i="7"/>
  <c r="N68" i="7" s="1"/>
  <c r="O67" i="7"/>
  <c r="D320" i="7" s="1"/>
  <c r="N67" i="7"/>
  <c r="M67" i="7"/>
  <c r="O63" i="7"/>
  <c r="P63" i="7" s="1"/>
  <c r="M63" i="7"/>
  <c r="N63" i="7" s="1"/>
  <c r="P62" i="7"/>
  <c r="O62" i="7"/>
  <c r="N62" i="7"/>
  <c r="M62" i="7"/>
  <c r="O61" i="7"/>
  <c r="P61" i="7" s="1"/>
  <c r="M61" i="7"/>
  <c r="N61" i="7" s="1"/>
  <c r="O60" i="7"/>
  <c r="P60" i="7" s="1"/>
  <c r="N60" i="7"/>
  <c r="M60" i="7"/>
  <c r="P59" i="7"/>
  <c r="O59" i="7"/>
  <c r="M59" i="7"/>
  <c r="N59" i="7" s="1"/>
  <c r="P58" i="7"/>
  <c r="O58" i="7"/>
  <c r="N58" i="7"/>
  <c r="M58" i="7"/>
  <c r="O57" i="7"/>
  <c r="P57" i="7" s="1"/>
  <c r="M57" i="7"/>
  <c r="N57" i="7" s="1"/>
  <c r="O56" i="7"/>
  <c r="P56" i="7" s="1"/>
  <c r="N56" i="7"/>
  <c r="M56" i="7"/>
  <c r="O55" i="7"/>
  <c r="P55" i="7" s="1"/>
  <c r="M55" i="7"/>
  <c r="N55" i="7" s="1"/>
  <c r="O54" i="7"/>
  <c r="P54" i="7" s="1"/>
  <c r="N54" i="7"/>
  <c r="M54" i="7"/>
  <c r="P53" i="7"/>
  <c r="O53" i="7"/>
  <c r="M53" i="7"/>
  <c r="N53" i="7" s="1"/>
  <c r="P52" i="7"/>
  <c r="O52" i="7"/>
  <c r="N52" i="7"/>
  <c r="M52" i="7"/>
  <c r="O51" i="7"/>
  <c r="P51" i="7" s="1"/>
  <c r="M51" i="7"/>
  <c r="N51" i="7" s="1"/>
  <c r="O50" i="7"/>
  <c r="P50" i="7" s="1"/>
  <c r="N50" i="7"/>
  <c r="M50" i="7"/>
  <c r="P49" i="7"/>
  <c r="O49" i="7"/>
  <c r="M49" i="7"/>
  <c r="N49" i="7" s="1"/>
  <c r="O48" i="7"/>
  <c r="P48" i="7" s="1"/>
  <c r="N48" i="7"/>
  <c r="M48" i="7"/>
  <c r="O47" i="7"/>
  <c r="P47" i="7" s="1"/>
  <c r="M47" i="7"/>
  <c r="N47" i="7" s="1"/>
  <c r="P46" i="7"/>
  <c r="O46" i="7"/>
  <c r="N46" i="7"/>
  <c r="M46" i="7"/>
  <c r="O45" i="7"/>
  <c r="P45" i="7" s="1"/>
  <c r="M45" i="7"/>
  <c r="N45" i="7" s="1"/>
  <c r="O44" i="7"/>
  <c r="P44" i="7" s="1"/>
  <c r="N44" i="7"/>
  <c r="M44" i="7"/>
  <c r="P43" i="7"/>
  <c r="O43" i="7"/>
  <c r="M43" i="7"/>
  <c r="N43" i="7" s="1"/>
  <c r="P42" i="7"/>
  <c r="O42" i="7"/>
  <c r="N42" i="7"/>
  <c r="M42" i="7"/>
  <c r="O41" i="7"/>
  <c r="P41" i="7" s="1"/>
  <c r="M41" i="7"/>
  <c r="N41" i="7" s="1"/>
  <c r="O40" i="7"/>
  <c r="P40" i="7" s="1"/>
  <c r="N40" i="7"/>
  <c r="M40" i="7"/>
  <c r="O39" i="7"/>
  <c r="P39" i="7" s="1"/>
  <c r="M39" i="7"/>
  <c r="N39" i="7" s="1"/>
  <c r="O38" i="7"/>
  <c r="P38" i="7" s="1"/>
  <c r="N38" i="7"/>
  <c r="M38" i="7"/>
  <c r="P37" i="7"/>
  <c r="O37" i="7"/>
  <c r="M37" i="7"/>
  <c r="N37" i="7" s="1"/>
  <c r="P36" i="7"/>
  <c r="O36" i="7"/>
  <c r="N36" i="7"/>
  <c r="M36" i="7"/>
  <c r="O35" i="7"/>
  <c r="P35" i="7" s="1"/>
  <c r="M35" i="7"/>
  <c r="N35" i="7" s="1"/>
  <c r="O34" i="7"/>
  <c r="P34" i="7" s="1"/>
  <c r="N34" i="7"/>
  <c r="M34" i="7"/>
  <c r="P33" i="7"/>
  <c r="O33" i="7"/>
  <c r="M33" i="7"/>
  <c r="N33" i="7" s="1"/>
  <c r="O32" i="7"/>
  <c r="P32" i="7" s="1"/>
  <c r="N32" i="7"/>
  <c r="M32" i="7"/>
  <c r="O31" i="7"/>
  <c r="P31" i="7" s="1"/>
  <c r="M31" i="7"/>
  <c r="N31" i="7" s="1"/>
  <c r="P30" i="7"/>
  <c r="O30" i="7"/>
  <c r="N30" i="7"/>
  <c r="M30" i="7"/>
  <c r="O29" i="7"/>
  <c r="P29" i="7" s="1"/>
  <c r="M29" i="7"/>
  <c r="N29" i="7" s="1"/>
  <c r="O28" i="7"/>
  <c r="P28" i="7" s="1"/>
  <c r="N28" i="7"/>
  <c r="M28" i="7"/>
  <c r="P27" i="7"/>
  <c r="O27" i="7"/>
  <c r="M27" i="7"/>
  <c r="N27" i="7" s="1"/>
  <c r="P26" i="7"/>
  <c r="O26" i="7"/>
  <c r="N26" i="7"/>
  <c r="M26" i="7"/>
  <c r="O25" i="7"/>
  <c r="P25" i="7" s="1"/>
  <c r="M25" i="7"/>
  <c r="N25" i="7" s="1"/>
  <c r="O24" i="7"/>
  <c r="P24" i="7" s="1"/>
  <c r="N24" i="7"/>
  <c r="M24" i="7"/>
  <c r="O23" i="7"/>
  <c r="P23" i="7" s="1"/>
  <c r="M23" i="7"/>
  <c r="N23" i="7" s="1"/>
  <c r="O22" i="7"/>
  <c r="P22" i="7" s="1"/>
  <c r="N22" i="7"/>
  <c r="M22" i="7"/>
  <c r="P21" i="7"/>
  <c r="O21" i="7"/>
  <c r="M21" i="7"/>
  <c r="N21" i="7" s="1"/>
  <c r="P20" i="7"/>
  <c r="O20" i="7"/>
  <c r="N20" i="7"/>
  <c r="M20" i="7"/>
  <c r="O19" i="7"/>
  <c r="P19" i="7" s="1"/>
  <c r="M19" i="7"/>
  <c r="N19" i="7" s="1"/>
  <c r="O18" i="7"/>
  <c r="P18" i="7" s="1"/>
  <c r="N18" i="7"/>
  <c r="M18" i="7"/>
  <c r="P17" i="7"/>
  <c r="O17" i="7"/>
  <c r="M17" i="7"/>
  <c r="N17" i="7" s="1"/>
  <c r="O16" i="7"/>
  <c r="P16" i="7" s="1"/>
  <c r="N16" i="7"/>
  <c r="M16" i="7"/>
  <c r="O15" i="7"/>
  <c r="P15" i="7" s="1"/>
  <c r="M15" i="7"/>
  <c r="N15" i="7" s="1"/>
  <c r="P14" i="7"/>
  <c r="O14" i="7"/>
  <c r="M14" i="7"/>
  <c r="N14" i="7" s="1"/>
  <c r="O13" i="7"/>
  <c r="P13" i="7" s="1"/>
  <c r="M13" i="7"/>
  <c r="N13" i="7" s="1"/>
  <c r="O12" i="7"/>
  <c r="P12" i="7" s="1"/>
  <c r="M12" i="7"/>
  <c r="N12" i="7" s="1"/>
  <c r="P11" i="7"/>
  <c r="O11" i="7"/>
  <c r="M11" i="7"/>
  <c r="N11" i="7" s="1"/>
  <c r="P10" i="7"/>
  <c r="O10" i="7"/>
  <c r="N10" i="7"/>
  <c r="M10" i="7"/>
  <c r="O9" i="7"/>
  <c r="P9" i="7" s="1"/>
  <c r="M9" i="7"/>
  <c r="N9" i="7" s="1"/>
  <c r="O8" i="7"/>
  <c r="P8" i="7" s="1"/>
  <c r="M8" i="7"/>
  <c r="N8" i="7" s="1"/>
  <c r="O7" i="7"/>
  <c r="P7" i="7" s="1"/>
  <c r="N7" i="7"/>
  <c r="M7" i="7"/>
  <c r="O6" i="7"/>
  <c r="P6" i="7" s="1"/>
  <c r="M6" i="7"/>
  <c r="N6" i="7" s="1"/>
  <c r="O5" i="7"/>
  <c r="P5" i="7" s="1"/>
  <c r="C319" i="7" s="1"/>
  <c r="N5" i="7"/>
  <c r="M5" i="7"/>
  <c r="P402" i="6"/>
  <c r="P401" i="6"/>
  <c r="P398" i="6"/>
  <c r="K382" i="6"/>
  <c r="P382" i="6"/>
  <c r="O382" i="6"/>
  <c r="N382" i="6"/>
  <c r="M382" i="6"/>
  <c r="L382" i="6"/>
  <c r="J382" i="6"/>
  <c r="J385" i="6" s="1"/>
  <c r="O341" i="6"/>
  <c r="P307" i="6"/>
  <c r="O307" i="6"/>
  <c r="N307" i="6"/>
  <c r="M307" i="6"/>
  <c r="L307" i="6"/>
  <c r="K307" i="6"/>
  <c r="P299" i="6"/>
  <c r="P302" i="6" s="1"/>
  <c r="P400" i="6" s="1"/>
  <c r="O299" i="6"/>
  <c r="O302" i="6" s="1"/>
  <c r="N299" i="6"/>
  <c r="N302" i="6" s="1"/>
  <c r="M299" i="6"/>
  <c r="M302" i="6" s="1"/>
  <c r="L299" i="6"/>
  <c r="L302" i="6" s="1"/>
  <c r="K299" i="6"/>
  <c r="K302" i="6" s="1"/>
  <c r="J299" i="6"/>
  <c r="J302" i="6" s="1"/>
  <c r="N292" i="6"/>
  <c r="O163" i="6"/>
  <c r="P164" i="6"/>
  <c r="P160" i="6"/>
  <c r="N160" i="6"/>
  <c r="K160" i="6"/>
  <c r="O160" i="6"/>
  <c r="L160" i="6"/>
  <c r="P156" i="6"/>
  <c r="O156" i="6"/>
  <c r="M139" i="6"/>
  <c r="L139" i="6"/>
  <c r="L110" i="6" s="1"/>
  <c r="P139" i="6"/>
  <c r="O139" i="6"/>
  <c r="N139" i="6"/>
  <c r="J139" i="6"/>
  <c r="J110" i="6" s="1"/>
  <c r="M133" i="6"/>
  <c r="K133" i="6"/>
  <c r="K131" i="6" s="1"/>
  <c r="P133" i="6"/>
  <c r="L132" i="6"/>
  <c r="K132" i="6"/>
  <c r="O118" i="6"/>
  <c r="N118" i="6"/>
  <c r="N117" i="6" s="1"/>
  <c r="M118" i="6"/>
  <c r="M117" i="6" s="1"/>
  <c r="L118" i="6"/>
  <c r="K118" i="6"/>
  <c r="J118" i="6"/>
  <c r="J109" i="6"/>
  <c r="N109" i="6"/>
  <c r="K109" i="6"/>
  <c r="J127" i="6"/>
  <c r="P81" i="6"/>
  <c r="L80" i="6"/>
  <c r="O55" i="6"/>
  <c r="N55" i="6"/>
  <c r="M55" i="6"/>
  <c r="L55" i="6"/>
  <c r="M40" i="6"/>
  <c r="M15" i="8" s="1"/>
  <c r="J13" i="15" s="1"/>
  <c r="P40" i="6"/>
  <c r="O40" i="6"/>
  <c r="N40" i="6"/>
  <c r="N15" i="8" s="1"/>
  <c r="K13" i="15" s="1"/>
  <c r="L40" i="6"/>
  <c r="K40" i="6"/>
  <c r="K15" i="8" s="1"/>
  <c r="H13" i="15" s="1"/>
  <c r="J40" i="6"/>
  <c r="J15" i="8" s="1"/>
  <c r="G13" i="15" s="1"/>
  <c r="O26" i="6"/>
  <c r="L26" i="6"/>
  <c r="P22" i="6"/>
  <c r="N19" i="6"/>
  <c r="K19" i="6"/>
  <c r="K10" i="8" s="1"/>
  <c r="N22" i="6"/>
  <c r="O13" i="6"/>
  <c r="M10" i="6"/>
  <c r="K31" i="6"/>
  <c r="K30" i="6" s="1"/>
  <c r="O10" i="6"/>
  <c r="P346" i="6"/>
  <c r="O15" i="6"/>
  <c r="O7" i="8" s="1"/>
  <c r="O8" i="8" s="1"/>
  <c r="L224" i="6"/>
  <c r="L6" i="6"/>
  <c r="J282" i="6"/>
  <c r="P6" i="6"/>
  <c r="O6" i="6"/>
  <c r="P13" i="6"/>
  <c r="M13" i="6"/>
  <c r="K13" i="6"/>
  <c r="F3" i="6"/>
  <c r="G3" i="6" s="1"/>
  <c r="E3" i="6"/>
  <c r="E2" i="6" s="1"/>
  <c r="N29" i="5"/>
  <c r="M29" i="5"/>
  <c r="J29" i="5"/>
  <c r="P27" i="5"/>
  <c r="P29" i="5" s="1"/>
  <c r="O27" i="5"/>
  <c r="O29" i="5" s="1"/>
  <c r="N27" i="5"/>
  <c r="M27" i="5"/>
  <c r="L27" i="5"/>
  <c r="L29" i="5" s="1"/>
  <c r="K27" i="5"/>
  <c r="K29" i="5" s="1"/>
  <c r="J27" i="5"/>
  <c r="O13" i="5"/>
  <c r="O12" i="5" s="1"/>
  <c r="N13" i="5"/>
  <c r="N12" i="5" s="1"/>
  <c r="M13" i="5"/>
  <c r="L13" i="5"/>
  <c r="P12" i="5"/>
  <c r="M12" i="5"/>
  <c r="L12" i="5"/>
  <c r="K12" i="5"/>
  <c r="J12" i="5"/>
  <c r="O10" i="5"/>
  <c r="N10" i="5"/>
  <c r="M10" i="5"/>
  <c r="L10" i="5"/>
  <c r="K10" i="5"/>
  <c r="K8" i="5" s="1"/>
  <c r="J10" i="5"/>
  <c r="J8" i="5" s="1"/>
  <c r="O9" i="5"/>
  <c r="N9" i="5"/>
  <c r="M9" i="5"/>
  <c r="M8" i="5" s="1"/>
  <c r="L9" i="5"/>
  <c r="L8" i="5" s="1"/>
  <c r="L5" i="5" s="1"/>
  <c r="O8" i="5"/>
  <c r="N8" i="5"/>
  <c r="O7" i="5"/>
  <c r="O6" i="5" s="1"/>
  <c r="O5" i="5" s="1"/>
  <c r="N7" i="5"/>
  <c r="M7" i="5"/>
  <c r="M6" i="5" s="1"/>
  <c r="L7" i="5"/>
  <c r="N6" i="5"/>
  <c r="N5" i="5" s="1"/>
  <c r="L6" i="5"/>
  <c r="K6" i="5"/>
  <c r="J6" i="5"/>
  <c r="J5" i="5" s="1"/>
  <c r="E3" i="5"/>
  <c r="F3" i="5" s="1"/>
  <c r="G3" i="5" s="1"/>
  <c r="H3" i="5" s="1"/>
  <c r="I3" i="5" s="1"/>
  <c r="J3" i="5" s="1"/>
  <c r="K3" i="5" s="1"/>
  <c r="L3" i="5" s="1"/>
  <c r="M3" i="5" s="1"/>
  <c r="N3" i="5" s="1"/>
  <c r="T32" i="9" l="1"/>
  <c r="T369" i="9"/>
  <c r="T395" i="9" s="1"/>
  <c r="S9" i="11"/>
  <c r="V369" i="9"/>
  <c r="V395" i="9" s="1"/>
  <c r="V294" i="9"/>
  <c r="T294" i="9"/>
  <c r="X243" i="9"/>
  <c r="D103" i="13"/>
  <c r="D104" i="13" s="1"/>
  <c r="W240" i="9"/>
  <c r="T371" i="9"/>
  <c r="Q62" i="11"/>
  <c r="Q69" i="11" s="1"/>
  <c r="Q8" i="11"/>
  <c r="Q15" i="11"/>
  <c r="R9" i="11"/>
  <c r="U369" i="9"/>
  <c r="U32" i="9"/>
  <c r="U294" i="9"/>
  <c r="V32" i="9"/>
  <c r="P38" i="6"/>
  <c r="P41" i="6" s="1"/>
  <c r="P15" i="8"/>
  <c r="M13" i="15" s="1"/>
  <c r="L38" i="6"/>
  <c r="L41" i="6" s="1"/>
  <c r="L15" i="8"/>
  <c r="I13" i="15" s="1"/>
  <c r="O38" i="6"/>
  <c r="O41" i="6" s="1"/>
  <c r="O15" i="8"/>
  <c r="L13" i="15" s="1"/>
  <c r="Y52" i="10"/>
  <c r="Y34" i="10" s="1"/>
  <c r="Z10" i="10"/>
  <c r="Y11" i="10"/>
  <c r="Y16" i="10" s="1"/>
  <c r="AB9" i="10"/>
  <c r="N18" i="6"/>
  <c r="N10" i="8"/>
  <c r="O157" i="6"/>
  <c r="L296" i="6"/>
  <c r="P110" i="6"/>
  <c r="M81" i="6"/>
  <c r="J38" i="6"/>
  <c r="J41" i="6" s="1"/>
  <c r="O81" i="6"/>
  <c r="O296" i="6"/>
  <c r="M384" i="6"/>
  <c r="J80" i="6"/>
  <c r="L19" i="6"/>
  <c r="K26" i="6"/>
  <c r="O178" i="6"/>
  <c r="N385" i="6"/>
  <c r="K18" i="6"/>
  <c r="J26" i="6"/>
  <c r="P163" i="6"/>
  <c r="N384" i="6"/>
  <c r="P384" i="6"/>
  <c r="P157" i="6"/>
  <c r="P131" i="6"/>
  <c r="N157" i="6"/>
  <c r="J160" i="6"/>
  <c r="J178" i="6" s="1"/>
  <c r="P165" i="6"/>
  <c r="J296" i="6"/>
  <c r="O384" i="6"/>
  <c r="P385" i="6"/>
  <c r="K15" i="6"/>
  <c r="K7" i="8" s="1"/>
  <c r="K8" i="8" s="1"/>
  <c r="O110" i="6"/>
  <c r="L133" i="6"/>
  <c r="O109" i="6"/>
  <c r="K38" i="6"/>
  <c r="K41" i="6" s="1"/>
  <c r="P55" i="6"/>
  <c r="N80" i="6"/>
  <c r="K117" i="6"/>
  <c r="N287" i="6"/>
  <c r="P80" i="6"/>
  <c r="N178" i="6"/>
  <c r="J55" i="6"/>
  <c r="L128" i="6"/>
  <c r="L145" i="6" s="1"/>
  <c r="M128" i="6"/>
  <c r="M132" i="6"/>
  <c r="M160" i="6"/>
  <c r="M178" i="6" s="1"/>
  <c r="M296" i="6"/>
  <c r="L22" i="6"/>
  <c r="N38" i="6"/>
  <c r="N41" i="6" s="1"/>
  <c r="N81" i="6"/>
  <c r="L127" i="6"/>
  <c r="L142" i="6" s="1"/>
  <c r="N110" i="6"/>
  <c r="N296" i="6"/>
  <c r="K384" i="6"/>
  <c r="L385" i="6"/>
  <c r="AJ56" i="9"/>
  <c r="AR56" i="9"/>
  <c r="AZ56" i="9"/>
  <c r="S88" i="9"/>
  <c r="R64" i="9"/>
  <c r="J3" i="9"/>
  <c r="I2" i="9"/>
  <c r="AN56" i="9"/>
  <c r="BD56" i="9"/>
  <c r="P62" i="9"/>
  <c r="Q64" i="9"/>
  <c r="Q86" i="9"/>
  <c r="AV56" i="9"/>
  <c r="AP56" i="9"/>
  <c r="AX56" i="9"/>
  <c r="AJ319" i="9"/>
  <c r="AK56" i="9"/>
  <c r="AS56" i="9"/>
  <c r="BA56" i="9"/>
  <c r="G3" i="8"/>
  <c r="F2" i="8"/>
  <c r="C330" i="7"/>
  <c r="E330" i="7" s="1"/>
  <c r="P67" i="7"/>
  <c r="C320" i="7" s="1"/>
  <c r="E320" i="7" s="1"/>
  <c r="C332" i="7"/>
  <c r="P267" i="7"/>
  <c r="D310" i="7"/>
  <c r="D336" i="7"/>
  <c r="E336" i="7" s="1"/>
  <c r="P101" i="7"/>
  <c r="C323" i="7" s="1"/>
  <c r="E323" i="7" s="1"/>
  <c r="D325" i="7"/>
  <c r="D326" i="7"/>
  <c r="D327" i="7"/>
  <c r="P147" i="7"/>
  <c r="C327" i="7" s="1"/>
  <c r="C347" i="7"/>
  <c r="D319" i="7"/>
  <c r="P72" i="7"/>
  <c r="C321" i="7" s="1"/>
  <c r="E321" i="7" s="1"/>
  <c r="P177" i="7"/>
  <c r="C329" i="7" s="1"/>
  <c r="D329" i="7"/>
  <c r="D335" i="7"/>
  <c r="E335" i="7" s="1"/>
  <c r="C337" i="7"/>
  <c r="E337" i="7" s="1"/>
  <c r="D331" i="7"/>
  <c r="P139" i="7"/>
  <c r="C326" i="7" s="1"/>
  <c r="C331" i="7"/>
  <c r="E331" i="7" s="1"/>
  <c r="D333" i="7"/>
  <c r="E333" i="7" s="1"/>
  <c r="E340" i="7"/>
  <c r="D328" i="7"/>
  <c r="E328" i="7" s="1"/>
  <c r="D334" i="7"/>
  <c r="E334" i="7" s="1"/>
  <c r="C322" i="7"/>
  <c r="E322" i="7" s="1"/>
  <c r="C325" i="7"/>
  <c r="E308" i="7"/>
  <c r="D308" i="7"/>
  <c r="D324" i="7"/>
  <c r="P123" i="7"/>
  <c r="C324" i="7" s="1"/>
  <c r="D332" i="7"/>
  <c r="H3" i="6"/>
  <c r="I3" i="6" s="1"/>
  <c r="J3" i="6" s="1"/>
  <c r="K3" i="6" s="1"/>
  <c r="G2" i="6"/>
  <c r="F2" i="6"/>
  <c r="N13" i="6"/>
  <c r="O22" i="6"/>
  <c r="O19" i="6"/>
  <c r="O10" i="8" s="1"/>
  <c r="P188" i="6"/>
  <c r="P10" i="6"/>
  <c r="M38" i="6"/>
  <c r="M41" i="6" s="1"/>
  <c r="K127" i="6"/>
  <c r="N132" i="6"/>
  <c r="N133" i="6"/>
  <c r="N131" i="6" s="1"/>
  <c r="K341" i="6"/>
  <c r="K287" i="6"/>
  <c r="K346" i="6"/>
  <c r="K224" i="6"/>
  <c r="K292" i="6"/>
  <c r="K6" i="6"/>
  <c r="K22" i="6"/>
  <c r="J128" i="6"/>
  <c r="M224" i="6"/>
  <c r="M292" i="6"/>
  <c r="M282" i="6"/>
  <c r="M163" i="6"/>
  <c r="M341" i="6"/>
  <c r="M287" i="6"/>
  <c r="M26" i="6"/>
  <c r="M15" i="6"/>
  <c r="M7" i="8" s="1"/>
  <c r="M8" i="8" s="1"/>
  <c r="N6" i="6"/>
  <c r="M6" i="6"/>
  <c r="L31" i="6"/>
  <c r="L30" i="6" s="1"/>
  <c r="L10" i="6"/>
  <c r="J19" i="6"/>
  <c r="K55" i="6"/>
  <c r="K80" i="6"/>
  <c r="M80" i="6"/>
  <c r="M109" i="6"/>
  <c r="M110" i="6"/>
  <c r="N128" i="6"/>
  <c r="M127" i="6"/>
  <c r="K139" i="6"/>
  <c r="J13" i="6"/>
  <c r="K10" i="6"/>
  <c r="O14" i="6"/>
  <c r="L81" i="6"/>
  <c r="O117" i="6"/>
  <c r="O128" i="6"/>
  <c r="M145" i="6"/>
  <c r="M146" i="6"/>
  <c r="K163" i="6"/>
  <c r="N31" i="6"/>
  <c r="N30" i="6" s="1"/>
  <c r="N10" i="6"/>
  <c r="M59" i="6"/>
  <c r="M180" i="6" s="1"/>
  <c r="J133" i="6"/>
  <c r="J131" i="6" s="1"/>
  <c r="J132" i="6"/>
  <c r="P350" i="6"/>
  <c r="M329" i="6"/>
  <c r="M349" i="6" s="1"/>
  <c r="O350" i="6"/>
  <c r="L329" i="6"/>
  <c r="L349" i="6" s="1"/>
  <c r="N350" i="6"/>
  <c r="K329" i="6"/>
  <c r="K349" i="6" s="1"/>
  <c r="K218" i="6"/>
  <c r="O210" i="6"/>
  <c r="M350" i="6"/>
  <c r="J329" i="6"/>
  <c r="J349" i="6" s="1"/>
  <c r="P257" i="6"/>
  <c r="L350" i="6"/>
  <c r="O257" i="6"/>
  <c r="M210" i="6"/>
  <c r="L199" i="6"/>
  <c r="K188" i="6"/>
  <c r="K350" i="6"/>
  <c r="P329" i="6"/>
  <c r="P349" i="6" s="1"/>
  <c r="P218" i="6"/>
  <c r="L210" i="6"/>
  <c r="K199" i="6"/>
  <c r="J188" i="6"/>
  <c r="N184" i="6"/>
  <c r="J350" i="6"/>
  <c r="J353" i="6" s="1"/>
  <c r="O329" i="6"/>
  <c r="O349" i="6" s="1"/>
  <c r="O218" i="6"/>
  <c r="K210" i="6"/>
  <c r="J288" i="6"/>
  <c r="M184" i="6"/>
  <c r="K257" i="6"/>
  <c r="N218" i="6"/>
  <c r="O188" i="6"/>
  <c r="P59" i="6"/>
  <c r="P180" i="6" s="1"/>
  <c r="N17" i="6"/>
  <c r="N29" i="6" s="1"/>
  <c r="M218" i="6"/>
  <c r="P210" i="6"/>
  <c r="L214" i="6"/>
  <c r="N188" i="6"/>
  <c r="L218" i="6"/>
  <c r="N210" i="6"/>
  <c r="J393" i="6"/>
  <c r="M188" i="6"/>
  <c r="P184" i="6"/>
  <c r="N59" i="6"/>
  <c r="N180" i="6" s="1"/>
  <c r="N329" i="6"/>
  <c r="N349" i="6" s="1"/>
  <c r="J218" i="6"/>
  <c r="L188" i="6"/>
  <c r="L184" i="6"/>
  <c r="K184" i="6"/>
  <c r="L59" i="6"/>
  <c r="L180" i="6" s="1"/>
  <c r="J17" i="6"/>
  <c r="J29" i="6" s="1"/>
  <c r="O199" i="6"/>
  <c r="M198" i="6"/>
  <c r="J184" i="6"/>
  <c r="K59" i="6"/>
  <c r="K180" i="6" s="1"/>
  <c r="M199" i="6"/>
  <c r="K198" i="6"/>
  <c r="J59" i="6"/>
  <c r="J180" i="6" s="1"/>
  <c r="P17" i="6"/>
  <c r="P33" i="6" s="1"/>
  <c r="P45" i="6" s="1"/>
  <c r="P26" i="6"/>
  <c r="P19" i="6"/>
  <c r="L13" i="6"/>
  <c r="M19" i="6"/>
  <c r="M10" i="8" s="1"/>
  <c r="M22" i="6"/>
  <c r="O59" i="6"/>
  <c r="O180" i="6" s="1"/>
  <c r="J117" i="6"/>
  <c r="P178" i="6"/>
  <c r="N346" i="6"/>
  <c r="N282" i="6"/>
  <c r="L15" i="6"/>
  <c r="L7" i="8" s="1"/>
  <c r="L8" i="8" s="1"/>
  <c r="P109" i="6"/>
  <c r="N127" i="6"/>
  <c r="L131" i="6"/>
  <c r="K178" i="6"/>
  <c r="N163" i="6"/>
  <c r="L178" i="6"/>
  <c r="O282" i="6"/>
  <c r="O287" i="6"/>
  <c r="L384" i="6"/>
  <c r="M385" i="6"/>
  <c r="O292" i="6"/>
  <c r="O184" i="6"/>
  <c r="J198" i="6"/>
  <c r="J22" i="6"/>
  <c r="O80" i="6"/>
  <c r="O127" i="6"/>
  <c r="M131" i="6"/>
  <c r="O258" i="6"/>
  <c r="P296" i="6"/>
  <c r="P292" i="6"/>
  <c r="P282" i="6"/>
  <c r="P341" i="6"/>
  <c r="P287" i="6"/>
  <c r="J10" i="6"/>
  <c r="N15" i="6"/>
  <c r="N7" i="8" s="1"/>
  <c r="N8" i="8" s="1"/>
  <c r="N26" i="6"/>
  <c r="M262" i="6"/>
  <c r="N262" i="6"/>
  <c r="P258" i="6"/>
  <c r="J341" i="6"/>
  <c r="O385" i="6"/>
  <c r="J292" i="6"/>
  <c r="J287" i="6"/>
  <c r="J346" i="6"/>
  <c r="J224" i="6"/>
  <c r="P15" i="6"/>
  <c r="P7" i="8" s="1"/>
  <c r="P8" i="8" s="1"/>
  <c r="J142" i="6"/>
  <c r="J143" i="6"/>
  <c r="K128" i="6"/>
  <c r="L109" i="6"/>
  <c r="O132" i="6"/>
  <c r="O133" i="6"/>
  <c r="O131" i="6" s="1"/>
  <c r="N224" i="6"/>
  <c r="K282" i="6"/>
  <c r="K296" i="6"/>
  <c r="L341" i="6"/>
  <c r="M346" i="6"/>
  <c r="L146" i="6"/>
  <c r="L117" i="6"/>
  <c r="P132" i="6"/>
  <c r="O224" i="6"/>
  <c r="L287" i="6"/>
  <c r="L346" i="6"/>
  <c r="L292" i="6"/>
  <c r="L282" i="6"/>
  <c r="L163" i="6"/>
  <c r="J15" i="6"/>
  <c r="J7" i="8" s="1"/>
  <c r="J8" i="8" s="1"/>
  <c r="J163" i="6"/>
  <c r="J210" i="6"/>
  <c r="P224" i="6"/>
  <c r="N341" i="6"/>
  <c r="O346" i="6"/>
  <c r="J384" i="6"/>
  <c r="K385" i="6"/>
  <c r="P405" i="6"/>
  <c r="P406" i="6" s="1"/>
  <c r="O3" i="5"/>
  <c r="N2" i="5"/>
  <c r="K5" i="5"/>
  <c r="M5" i="5"/>
  <c r="C109" i="13" l="1"/>
  <c r="U103" i="13"/>
  <c r="U105" i="13" s="1"/>
  <c r="Q168" i="6" s="1"/>
  <c r="Q169" i="6" s="1"/>
  <c r="Q176" i="6" s="1"/>
  <c r="Y243" i="9"/>
  <c r="D155" i="13"/>
  <c r="X240" i="9"/>
  <c r="S62" i="11"/>
  <c r="S69" i="11" s="1"/>
  <c r="S8" i="11"/>
  <c r="W266" i="9"/>
  <c r="W30" i="9"/>
  <c r="U371" i="9"/>
  <c r="U395" i="9"/>
  <c r="V371" i="9"/>
  <c r="R62" i="11"/>
  <c r="R69" i="11" s="1"/>
  <c r="R8" i="11"/>
  <c r="R15" i="11"/>
  <c r="S15" i="11"/>
  <c r="Q5" i="6"/>
  <c r="Q60" i="11"/>
  <c r="Q24" i="11"/>
  <c r="Q14" i="11"/>
  <c r="Q12" i="11"/>
  <c r="Z52" i="10"/>
  <c r="Z34" i="10"/>
  <c r="AA10" i="10"/>
  <c r="Z11" i="10"/>
  <c r="Z16" i="10" s="1"/>
  <c r="AC9" i="10"/>
  <c r="AC33" i="10" s="1"/>
  <c r="AC35" i="10" s="1"/>
  <c r="L353" i="6"/>
  <c r="J394" i="6"/>
  <c r="J396" i="6" s="1"/>
  <c r="O353" i="6"/>
  <c r="N353" i="6"/>
  <c r="N388" i="6" s="1"/>
  <c r="J179" i="6"/>
  <c r="O179" i="6"/>
  <c r="L143" i="6"/>
  <c r="L18" i="6"/>
  <c r="L10" i="8"/>
  <c r="P18" i="6"/>
  <c r="P10" i="8"/>
  <c r="J18" i="6"/>
  <c r="J10" i="8"/>
  <c r="J31" i="6"/>
  <c r="J30" i="6" s="1"/>
  <c r="N213" i="6"/>
  <c r="M353" i="6"/>
  <c r="M388" i="6" s="1"/>
  <c r="K14" i="6"/>
  <c r="P213" i="6"/>
  <c r="P394" i="6"/>
  <c r="N179" i="6"/>
  <c r="K35" i="6"/>
  <c r="L394" i="6"/>
  <c r="K393" i="6"/>
  <c r="L198" i="6"/>
  <c r="M394" i="6"/>
  <c r="K186" i="6"/>
  <c r="L295" i="6"/>
  <c r="L352" i="6" s="1"/>
  <c r="L387" i="6" s="1"/>
  <c r="N278" i="6"/>
  <c r="P198" i="6"/>
  <c r="O213" i="6"/>
  <c r="K278" i="6"/>
  <c r="M288" i="6"/>
  <c r="K214" i="6"/>
  <c r="J213" i="6"/>
  <c r="J214" i="6"/>
  <c r="L213" i="6"/>
  <c r="P261" i="6"/>
  <c r="N288" i="6"/>
  <c r="P407" i="6"/>
  <c r="P409" i="6" s="1"/>
  <c r="N190" i="6"/>
  <c r="M179" i="6"/>
  <c r="P288" i="6"/>
  <c r="P84" i="6"/>
  <c r="P89" i="6" s="1"/>
  <c r="Q89" i="6" s="1"/>
  <c r="R89" i="6" s="1"/>
  <c r="S89" i="6" s="1"/>
  <c r="T89" i="6" s="1"/>
  <c r="U89" i="6" s="1"/>
  <c r="V89" i="6" s="1"/>
  <c r="W89" i="6" s="1"/>
  <c r="X89" i="6" s="1"/>
  <c r="Y89" i="6" s="1"/>
  <c r="Z89" i="6" s="1"/>
  <c r="J186" i="6"/>
  <c r="L393" i="6"/>
  <c r="O278" i="6"/>
  <c r="L179" i="6"/>
  <c r="N198" i="6"/>
  <c r="P393" i="6"/>
  <c r="J278" i="6"/>
  <c r="L261" i="6"/>
  <c r="L262" i="6"/>
  <c r="L265" i="6" s="1"/>
  <c r="O214" i="6"/>
  <c r="O394" i="6"/>
  <c r="O288" i="6"/>
  <c r="O393" i="6"/>
  <c r="K262" i="6"/>
  <c r="L278" i="6"/>
  <c r="M214" i="6"/>
  <c r="N393" i="6"/>
  <c r="Q104" i="9"/>
  <c r="R86" i="9"/>
  <c r="T88" i="9"/>
  <c r="S64" i="9"/>
  <c r="AJ293" i="9"/>
  <c r="AJ369" i="9" s="1"/>
  <c r="AK319" i="9"/>
  <c r="K3" i="9"/>
  <c r="J2" i="9"/>
  <c r="P80" i="9"/>
  <c r="Q62" i="9"/>
  <c r="G2" i="8"/>
  <c r="H3" i="8"/>
  <c r="E324" i="7"/>
  <c r="E329" i="7"/>
  <c r="D338" i="7"/>
  <c r="E326" i="7"/>
  <c r="E325" i="7"/>
  <c r="E327" i="7"/>
  <c r="E332" i="7"/>
  <c r="E319" i="7"/>
  <c r="C338" i="7"/>
  <c r="E338" i="7" s="1"/>
  <c r="J35" i="6"/>
  <c r="J12" i="8" s="1"/>
  <c r="J13" i="8" s="1"/>
  <c r="J14" i="6"/>
  <c r="K394" i="6"/>
  <c r="K353" i="6"/>
  <c r="N35" i="6"/>
  <c r="N12" i="8" s="1"/>
  <c r="N13" i="8" s="1"/>
  <c r="N14" i="6"/>
  <c r="O143" i="6"/>
  <c r="O142" i="6"/>
  <c r="M186" i="6"/>
  <c r="O186" i="6"/>
  <c r="M258" i="6"/>
  <c r="M257" i="6"/>
  <c r="P262" i="6"/>
  <c r="N199" i="6"/>
  <c r="K110" i="6"/>
  <c r="K17" i="6"/>
  <c r="P14" i="6"/>
  <c r="P35" i="6"/>
  <c r="P12" i="8" s="1"/>
  <c r="P13" i="8" s="1"/>
  <c r="O18" i="6"/>
  <c r="O31" i="6"/>
  <c r="O30" i="6" s="1"/>
  <c r="J388" i="6"/>
  <c r="O198" i="6"/>
  <c r="P179" i="6"/>
  <c r="O190" i="6"/>
  <c r="K190" i="6"/>
  <c r="O295" i="6"/>
  <c r="O352" i="6" s="1"/>
  <c r="O387" i="6" s="1"/>
  <c r="P186" i="6"/>
  <c r="O146" i="6"/>
  <c r="O145" i="6"/>
  <c r="O35" i="6"/>
  <c r="O12" i="8" s="1"/>
  <c r="O13" i="8" s="1"/>
  <c r="M143" i="6"/>
  <c r="M142" i="6"/>
  <c r="J145" i="6"/>
  <c r="J146" i="6"/>
  <c r="K142" i="6"/>
  <c r="K143" i="6"/>
  <c r="P31" i="6"/>
  <c r="P30" i="6" s="1"/>
  <c r="N33" i="6"/>
  <c r="N45" i="6" s="1"/>
  <c r="N84" i="6" s="1"/>
  <c r="M393" i="6"/>
  <c r="K258" i="6"/>
  <c r="O262" i="6"/>
  <c r="N394" i="6"/>
  <c r="K288" i="6"/>
  <c r="P278" i="6"/>
  <c r="L35" i="6"/>
  <c r="L12" i="8" s="1"/>
  <c r="L13" i="8" s="1"/>
  <c r="L14" i="6"/>
  <c r="K261" i="6"/>
  <c r="N261" i="6"/>
  <c r="N264" i="6" s="1"/>
  <c r="O261" i="6"/>
  <c r="J190" i="6"/>
  <c r="N257" i="6"/>
  <c r="N258" i="6"/>
  <c r="M295" i="6"/>
  <c r="M352" i="6" s="1"/>
  <c r="M387" i="6" s="1"/>
  <c r="L288" i="6"/>
  <c r="P199" i="6"/>
  <c r="J262" i="6"/>
  <c r="P214" i="6"/>
  <c r="M261" i="6"/>
  <c r="N295" i="6"/>
  <c r="N352" i="6" s="1"/>
  <c r="N387" i="6" s="1"/>
  <c r="L190" i="6"/>
  <c r="P295" i="6"/>
  <c r="P352" i="6" s="1"/>
  <c r="P387" i="6" s="1"/>
  <c r="K295" i="6"/>
  <c r="K352" i="6" s="1"/>
  <c r="K387" i="6" s="1"/>
  <c r="N146" i="6"/>
  <c r="N145" i="6"/>
  <c r="M278" i="6"/>
  <c r="P29" i="6"/>
  <c r="P353" i="6"/>
  <c r="J199" i="6"/>
  <c r="K145" i="6"/>
  <c r="K146" i="6"/>
  <c r="N186" i="6"/>
  <c r="J295" i="6"/>
  <c r="J352" i="6" s="1"/>
  <c r="J387" i="6" s="1"/>
  <c r="J257" i="6"/>
  <c r="J258" i="6"/>
  <c r="J33" i="6"/>
  <c r="J45" i="6" s="1"/>
  <c r="J84" i="6" s="1"/>
  <c r="L258" i="6"/>
  <c r="L257" i="6"/>
  <c r="M213" i="6"/>
  <c r="M190" i="6"/>
  <c r="P190" i="6"/>
  <c r="O17" i="6"/>
  <c r="L3" i="6"/>
  <c r="K2" i="6"/>
  <c r="M31" i="6"/>
  <c r="M30" i="6" s="1"/>
  <c r="M18" i="6"/>
  <c r="L388" i="6"/>
  <c r="O388" i="6"/>
  <c r="N143" i="6"/>
  <c r="N142" i="6"/>
  <c r="M17" i="6"/>
  <c r="K179" i="6"/>
  <c r="L186" i="6"/>
  <c r="L17" i="6"/>
  <c r="L29" i="6" s="1"/>
  <c r="K213" i="6"/>
  <c r="J261" i="6"/>
  <c r="N214" i="6"/>
  <c r="M35" i="6"/>
  <c r="M12" i="8" s="1"/>
  <c r="M13" i="8" s="1"/>
  <c r="M14" i="6"/>
  <c r="O2" i="5"/>
  <c r="P3" i="5"/>
  <c r="Q62" i="8" l="1"/>
  <c r="Q161" i="8" s="1"/>
  <c r="Q62" i="19"/>
  <c r="S60" i="11"/>
  <c r="S65" i="11" s="1"/>
  <c r="S5" i="6"/>
  <c r="S12" i="11"/>
  <c r="S24" i="11"/>
  <c r="X266" i="9"/>
  <c r="X30" i="9"/>
  <c r="Z243" i="9"/>
  <c r="Y240" i="9"/>
  <c r="T9" i="11"/>
  <c r="W369" i="9"/>
  <c r="W294" i="9"/>
  <c r="W32" i="9"/>
  <c r="S111" i="13"/>
  <c r="S112" i="13" s="1"/>
  <c r="Q107" i="13"/>
  <c r="Q281" i="6"/>
  <c r="Q284" i="6" s="1"/>
  <c r="Q85" i="8" s="1"/>
  <c r="Q256" i="6"/>
  <c r="Q340" i="6"/>
  <c r="Q291" i="6"/>
  <c r="Q293" i="6" s="1"/>
  <c r="Q87" i="8" s="1"/>
  <c r="Q345" i="6"/>
  <c r="Q347" i="6" s="1"/>
  <c r="Q97" i="8" s="1"/>
  <c r="Q217" i="6"/>
  <c r="Q220" i="6" s="1"/>
  <c r="Q69" i="8" s="1"/>
  <c r="Q286" i="6"/>
  <c r="Q160" i="6"/>
  <c r="Q166" i="6" s="1"/>
  <c r="Q183" i="6"/>
  <c r="Q13" i="6"/>
  <c r="Q7" i="6"/>
  <c r="R60" i="11"/>
  <c r="R5" i="6"/>
  <c r="S14" i="11"/>
  <c r="R12" i="11"/>
  <c r="R24" i="11"/>
  <c r="R14" i="11"/>
  <c r="Q128" i="11"/>
  <c r="Q132" i="11"/>
  <c r="Q126" i="11"/>
  <c r="Q130" i="11"/>
  <c r="Q134" i="11"/>
  <c r="Q124" i="11"/>
  <c r="Q111" i="11"/>
  <c r="Q91" i="11"/>
  <c r="Q18" i="11"/>
  <c r="Q115" i="11"/>
  <c r="Q109" i="11"/>
  <c r="Q95" i="11"/>
  <c r="Q97" i="11"/>
  <c r="Q113" i="11"/>
  <c r="X90" i="11"/>
  <c r="Q117" i="11"/>
  <c r="Q93" i="11"/>
  <c r="Q140" i="11" s="1"/>
  <c r="Q29" i="11"/>
  <c r="Q65" i="11"/>
  <c r="Q61" i="11"/>
  <c r="K34" i="6"/>
  <c r="K12" i="8"/>
  <c r="K13" i="8" s="1"/>
  <c r="AA52" i="10"/>
  <c r="AA34" i="10"/>
  <c r="AB10" i="10"/>
  <c r="AA11" i="10"/>
  <c r="AA16" i="10" s="1"/>
  <c r="M396" i="6"/>
  <c r="P396" i="6"/>
  <c r="P411" i="6" s="1"/>
  <c r="L396" i="6"/>
  <c r="L264" i="6"/>
  <c r="P264" i="6"/>
  <c r="M265" i="6"/>
  <c r="M267" i="6" s="1"/>
  <c r="N396" i="6"/>
  <c r="K396" i="6"/>
  <c r="K265" i="6"/>
  <c r="O264" i="6"/>
  <c r="O265" i="6"/>
  <c r="K47" i="6"/>
  <c r="K46" i="6" s="1"/>
  <c r="O396" i="6"/>
  <c r="J264" i="6"/>
  <c r="P92" i="6"/>
  <c r="P99" i="6" s="1"/>
  <c r="Q99" i="6" s="1"/>
  <c r="R99" i="6" s="1"/>
  <c r="S99" i="6" s="1"/>
  <c r="T99" i="6" s="1"/>
  <c r="U99" i="6" s="1"/>
  <c r="V99" i="6" s="1"/>
  <c r="W99" i="6" s="1"/>
  <c r="X99" i="6" s="1"/>
  <c r="Y99" i="6" s="1"/>
  <c r="Z99" i="6" s="1"/>
  <c r="P408" i="6"/>
  <c r="J265" i="6"/>
  <c r="L3" i="9"/>
  <c r="K2" i="9"/>
  <c r="AK293" i="9"/>
  <c r="AK369" i="9" s="1"/>
  <c r="AL319" i="9"/>
  <c r="U88" i="9"/>
  <c r="T64" i="9"/>
  <c r="Q80" i="9"/>
  <c r="R62" i="9"/>
  <c r="S86" i="9"/>
  <c r="R104" i="9"/>
  <c r="H2" i="8"/>
  <c r="I3" i="8"/>
  <c r="L2" i="6"/>
  <c r="M3" i="6"/>
  <c r="L390" i="6"/>
  <c r="O29" i="6"/>
  <c r="O33" i="6"/>
  <c r="O45" i="6" s="1"/>
  <c r="O84" i="6" s="1"/>
  <c r="J92" i="6"/>
  <c r="J99" i="6" s="1"/>
  <c r="J89" i="6"/>
  <c r="N265" i="6"/>
  <c r="N390" i="6" s="1"/>
  <c r="M390" i="6"/>
  <c r="N89" i="6"/>
  <c r="N92" i="6"/>
  <c r="N99" i="6" s="1"/>
  <c r="O47" i="6"/>
  <c r="O34" i="6"/>
  <c r="P47" i="6"/>
  <c r="P34" i="6"/>
  <c r="J47" i="6"/>
  <c r="J34" i="6"/>
  <c r="M47" i="6"/>
  <c r="M34" i="6"/>
  <c r="K264" i="6"/>
  <c r="K29" i="6"/>
  <c r="K33" i="6"/>
  <c r="K45" i="6" s="1"/>
  <c r="K84" i="6" s="1"/>
  <c r="N47" i="6"/>
  <c r="N34" i="6"/>
  <c r="P388" i="6"/>
  <c r="L267" i="6"/>
  <c r="L47" i="6"/>
  <c r="L34" i="6"/>
  <c r="K86" i="6"/>
  <c r="K28" i="8" s="1"/>
  <c r="M29" i="6"/>
  <c r="M33" i="6"/>
  <c r="M45" i="6" s="1"/>
  <c r="M84" i="6" s="1"/>
  <c r="M264" i="6"/>
  <c r="P265" i="6"/>
  <c r="L33" i="6"/>
  <c r="L45" i="6" s="1"/>
  <c r="L84" i="6" s="1"/>
  <c r="K388" i="6"/>
  <c r="Q3" i="5"/>
  <c r="P2" i="5"/>
  <c r="Q160" i="19" l="1"/>
  <c r="Q141" i="11"/>
  <c r="AA243" i="9"/>
  <c r="D156" i="13"/>
  <c r="D158" i="13"/>
  <c r="D157" i="13"/>
  <c r="D172" i="13" s="1"/>
  <c r="Z240" i="9"/>
  <c r="S26" i="13"/>
  <c r="Q300" i="6" s="1"/>
  <c r="S113" i="13"/>
  <c r="U9" i="11"/>
  <c r="X32" i="9"/>
  <c r="X369" i="9"/>
  <c r="X294" i="9"/>
  <c r="W371" i="9"/>
  <c r="W395" i="9"/>
  <c r="S130" i="11"/>
  <c r="S128" i="11"/>
  <c r="S126" i="11"/>
  <c r="S124" i="11"/>
  <c r="S34" i="11" s="1"/>
  <c r="S46" i="11" s="1"/>
  <c r="S117" i="11"/>
  <c r="S115" i="11"/>
  <c r="Z90" i="11"/>
  <c r="S29" i="11"/>
  <c r="S113" i="11"/>
  <c r="S111" i="11"/>
  <c r="S141" i="11" s="1"/>
  <c r="S109" i="11"/>
  <c r="S91" i="11"/>
  <c r="S93" i="11"/>
  <c r="S97" i="11"/>
  <c r="S95" i="11"/>
  <c r="T62" i="11"/>
  <c r="T69" i="11" s="1"/>
  <c r="T8" i="11"/>
  <c r="T15" i="11"/>
  <c r="S291" i="6"/>
  <c r="S293" i="6" s="1"/>
  <c r="S87" i="8" s="1"/>
  <c r="S345" i="6"/>
  <c r="S347" i="6" s="1"/>
  <c r="S97" i="8" s="1"/>
  <c r="S281" i="6"/>
  <c r="S284" i="6" s="1"/>
  <c r="S85" i="8" s="1"/>
  <c r="S217" i="6"/>
  <c r="S220" i="6" s="1"/>
  <c r="S69" i="8" s="1"/>
  <c r="S340" i="6"/>
  <c r="S343" i="6" s="1"/>
  <c r="S91" i="8" s="1"/>
  <c r="S256" i="6"/>
  <c r="S259" i="6" s="1"/>
  <c r="S286" i="6"/>
  <c r="S183" i="6"/>
  <c r="S160" i="6"/>
  <c r="S166" i="6" s="1"/>
  <c r="S13" i="6"/>
  <c r="S7" i="6"/>
  <c r="Y266" i="9"/>
  <c r="Y30" i="9"/>
  <c r="S72" i="11"/>
  <c r="Q61" i="8"/>
  <c r="Q165" i="6"/>
  <c r="R134" i="11"/>
  <c r="Q39" i="11"/>
  <c r="Q51" i="11" s="1"/>
  <c r="Q34" i="11"/>
  <c r="Q123" i="11"/>
  <c r="Q136" i="11" s="1"/>
  <c r="R291" i="6"/>
  <c r="R293" i="6" s="1"/>
  <c r="R87" i="8" s="1"/>
  <c r="R281" i="6"/>
  <c r="R284" i="6" s="1"/>
  <c r="R85" i="8" s="1"/>
  <c r="R256" i="6"/>
  <c r="R259" i="6" s="1"/>
  <c r="R340" i="6"/>
  <c r="R345" i="6"/>
  <c r="R347" i="6" s="1"/>
  <c r="R97" i="8" s="1"/>
  <c r="R217" i="6"/>
  <c r="R220" i="6" s="1"/>
  <c r="R69" i="8" s="1"/>
  <c r="R286" i="6"/>
  <c r="R183" i="6"/>
  <c r="R160" i="6"/>
  <c r="R166" i="6" s="1"/>
  <c r="R13" i="6"/>
  <c r="R7" i="6"/>
  <c r="Q289" i="6"/>
  <c r="Q288" i="6"/>
  <c r="Q37" i="11"/>
  <c r="Q49" i="11" s="1"/>
  <c r="Q105" i="11"/>
  <c r="R65" i="11"/>
  <c r="R61" i="11"/>
  <c r="S61" i="11"/>
  <c r="Q38" i="11"/>
  <c r="Q50" i="11" s="1"/>
  <c r="R132" i="11"/>
  <c r="Q5" i="8"/>
  <c r="Q10" i="6"/>
  <c r="Q76" i="6"/>
  <c r="Q79" i="6"/>
  <c r="Q65" i="6"/>
  <c r="Q55" i="6"/>
  <c r="Q187" i="6"/>
  <c r="Q209" i="6"/>
  <c r="Q211" i="6" s="1"/>
  <c r="Q65" i="8" s="1"/>
  <c r="Q15" i="6"/>
  <c r="Q7" i="19" s="1"/>
  <c r="Q8" i="19" s="1"/>
  <c r="Q6" i="6"/>
  <c r="Q343" i="6"/>
  <c r="R126" i="11"/>
  <c r="R130" i="11"/>
  <c r="R128" i="11"/>
  <c r="R124" i="11"/>
  <c r="R115" i="11"/>
  <c r="R29" i="11"/>
  <c r="R93" i="11"/>
  <c r="R109" i="11"/>
  <c r="R18" i="11"/>
  <c r="R113" i="11"/>
  <c r="R97" i="11"/>
  <c r="S18" i="11"/>
  <c r="R117" i="11"/>
  <c r="R111" i="11"/>
  <c r="R91" i="11"/>
  <c r="Y90" i="11"/>
  <c r="R95" i="11"/>
  <c r="Q72" i="11"/>
  <c r="Q66" i="11"/>
  <c r="Q35" i="11"/>
  <c r="Q47" i="11" s="1"/>
  <c r="Q139" i="11"/>
  <c r="Q142" i="11" s="1"/>
  <c r="Q36" i="11"/>
  <c r="Q48" i="11" s="1"/>
  <c r="Q258" i="6"/>
  <c r="Q259" i="6"/>
  <c r="Q87" i="11"/>
  <c r="Q189" i="6"/>
  <c r="O10" i="12"/>
  <c r="O18" i="8"/>
  <c r="O19" i="8" s="1"/>
  <c r="L10" i="12"/>
  <c r="L18" i="8"/>
  <c r="L19" i="8" s="1"/>
  <c r="K128" i="8"/>
  <c r="K141" i="8" s="1"/>
  <c r="K155" i="8" s="1"/>
  <c r="K29" i="8"/>
  <c r="M10" i="12"/>
  <c r="M18" i="8"/>
  <c r="M19" i="8" s="1"/>
  <c r="N10" i="12"/>
  <c r="N18" i="8"/>
  <c r="N19" i="8" s="1"/>
  <c r="K10" i="12"/>
  <c r="K18" i="8"/>
  <c r="K19" i="8" s="1"/>
  <c r="P10" i="12"/>
  <c r="P18" i="8"/>
  <c r="P19" i="8" s="1"/>
  <c r="J10" i="12"/>
  <c r="J18" i="8"/>
  <c r="J19" i="8" s="1"/>
  <c r="AB52" i="10"/>
  <c r="AB34" i="10"/>
  <c r="AB11" i="10"/>
  <c r="J267" i="6"/>
  <c r="J390" i="6"/>
  <c r="O267" i="6"/>
  <c r="O390" i="6"/>
  <c r="V88" i="9"/>
  <c r="U64" i="9"/>
  <c r="R80" i="9"/>
  <c r="S62" i="9"/>
  <c r="AM319" i="9"/>
  <c r="AL293" i="9"/>
  <c r="AL369" i="9" s="1"/>
  <c r="T86" i="9"/>
  <c r="S104" i="9"/>
  <c r="L2" i="9"/>
  <c r="M3" i="9"/>
  <c r="J3" i="8"/>
  <c r="I2" i="8"/>
  <c r="M89" i="6"/>
  <c r="M92" i="6"/>
  <c r="M99" i="6" s="1"/>
  <c r="O92" i="6"/>
  <c r="O99" i="6" s="1"/>
  <c r="O89" i="6"/>
  <c r="M46" i="6"/>
  <c r="M86" i="6"/>
  <c r="M28" i="8" s="1"/>
  <c r="K89" i="6"/>
  <c r="K92" i="6"/>
  <c r="K99" i="6" s="1"/>
  <c r="O46" i="6"/>
  <c r="O86" i="6"/>
  <c r="O28" i="8" s="1"/>
  <c r="K94" i="6"/>
  <c r="K85" i="6"/>
  <c r="L89" i="6"/>
  <c r="L92" i="6"/>
  <c r="L99" i="6" s="1"/>
  <c r="L86" i="6"/>
  <c r="L28" i="8" s="1"/>
  <c r="L46" i="6"/>
  <c r="P390" i="6"/>
  <c r="K390" i="6"/>
  <c r="K267" i="6"/>
  <c r="J46" i="6"/>
  <c r="J86" i="6"/>
  <c r="J28" i="8" s="1"/>
  <c r="P267" i="6"/>
  <c r="P86" i="6"/>
  <c r="P28" i="8" s="1"/>
  <c r="P46" i="6"/>
  <c r="N3" i="6"/>
  <c r="M2" i="6"/>
  <c r="N86" i="6"/>
  <c r="N28" i="8" s="1"/>
  <c r="N46" i="6"/>
  <c r="N267" i="6"/>
  <c r="Q2" i="5"/>
  <c r="R3" i="5"/>
  <c r="Q86" i="8" l="1"/>
  <c r="Q86" i="19"/>
  <c r="Q182" i="6"/>
  <c r="Q195" i="6" s="1"/>
  <c r="Q63" i="19" s="1"/>
  <c r="R140" i="11"/>
  <c r="S189" i="6"/>
  <c r="S36" i="11"/>
  <c r="S48" i="11" s="1"/>
  <c r="S27" i="13"/>
  <c r="Q302" i="6" s="1"/>
  <c r="Q400" i="6" s="1"/>
  <c r="Q405" i="6" s="1"/>
  <c r="T110" i="13"/>
  <c r="S115" i="13"/>
  <c r="S28" i="13" s="1"/>
  <c r="Q307" i="6" s="1"/>
  <c r="Q72" i="6" s="1"/>
  <c r="T112" i="13"/>
  <c r="S289" i="6"/>
  <c r="S288" i="6"/>
  <c r="T5" i="6"/>
  <c r="T60" i="11"/>
  <c r="T12" i="11"/>
  <c r="T24" i="11"/>
  <c r="T14" i="11"/>
  <c r="S37" i="11"/>
  <c r="S49" i="11" s="1"/>
  <c r="S76" i="8"/>
  <c r="Z266" i="9"/>
  <c r="Z30" i="9"/>
  <c r="V9" i="11"/>
  <c r="Y369" i="9"/>
  <c r="Y294" i="9"/>
  <c r="Y32" i="9"/>
  <c r="U172" i="13"/>
  <c r="S168" i="6" s="1"/>
  <c r="C177" i="13"/>
  <c r="R105" i="11"/>
  <c r="R106" i="11" s="1"/>
  <c r="D198" i="13"/>
  <c r="S5" i="8"/>
  <c r="S79" i="6"/>
  <c r="S82" i="6" s="1"/>
  <c r="S10" i="6"/>
  <c r="S65" i="6"/>
  <c r="S55" i="6"/>
  <c r="S187" i="6"/>
  <c r="S182" i="6" s="1"/>
  <c r="S195" i="6" s="1"/>
  <c r="S63" i="19" s="1"/>
  <c r="S209" i="6"/>
  <c r="S211" i="6" s="1"/>
  <c r="S65" i="8" s="1"/>
  <c r="S15" i="6"/>
  <c r="S7" i="19" s="1"/>
  <c r="S8" i="19" s="1"/>
  <c r="S140" i="11"/>
  <c r="S139" i="11" s="1"/>
  <c r="S142" i="11" s="1"/>
  <c r="X395" i="9"/>
  <c r="X371" i="9"/>
  <c r="D159" i="13"/>
  <c r="R141" i="11"/>
  <c r="S87" i="11"/>
  <c r="AB243" i="9"/>
  <c r="AA240" i="9"/>
  <c r="S61" i="8"/>
  <c r="S105" i="11"/>
  <c r="S35" i="11"/>
  <c r="S47" i="11" s="1"/>
  <c r="U62" i="11"/>
  <c r="U69" i="11" s="1"/>
  <c r="U8" i="11"/>
  <c r="U15" i="11"/>
  <c r="R87" i="11"/>
  <c r="R21" i="6" s="1"/>
  <c r="Q82" i="6"/>
  <c r="Q24" i="8" s="1"/>
  <c r="N12" i="15" s="1"/>
  <c r="N59" i="15" s="1"/>
  <c r="Q81" i="6"/>
  <c r="R66" i="11"/>
  <c r="R72" i="11"/>
  <c r="S66" i="11"/>
  <c r="R189" i="6"/>
  <c r="Q119" i="11"/>
  <c r="Q25" i="6"/>
  <c r="Q27" i="6" s="1"/>
  <c r="Q26" i="6" s="1"/>
  <c r="Q106" i="11"/>
  <c r="R289" i="6"/>
  <c r="R288" i="6"/>
  <c r="Q46" i="11"/>
  <c r="Q44" i="11" s="1"/>
  <c r="Q32" i="11"/>
  <c r="R119" i="11"/>
  <c r="Q91" i="8"/>
  <c r="R123" i="11"/>
  <c r="R136" i="11" s="1"/>
  <c r="R34" i="11"/>
  <c r="R38" i="11"/>
  <c r="R50" i="11" s="1"/>
  <c r="S132" i="11"/>
  <c r="Q42" i="18"/>
  <c r="R343" i="6"/>
  <c r="S134" i="11"/>
  <c r="R39" i="11"/>
  <c r="R51" i="11" s="1"/>
  <c r="Q63" i="8"/>
  <c r="N16" i="15" s="1"/>
  <c r="Q7" i="8"/>
  <c r="Q8" i="8" s="1"/>
  <c r="Q26" i="18" s="1"/>
  <c r="Q14" i="6"/>
  <c r="Q21" i="6"/>
  <c r="Q88" i="11"/>
  <c r="Q101" i="11"/>
  <c r="R36" i="11"/>
  <c r="R48" i="11" s="1"/>
  <c r="R5" i="8"/>
  <c r="R55" i="6"/>
  <c r="R10" i="6"/>
  <c r="R79" i="6"/>
  <c r="R65" i="6"/>
  <c r="R76" i="6"/>
  <c r="R187" i="6"/>
  <c r="R209" i="6"/>
  <c r="R211" i="6" s="1"/>
  <c r="R65" i="8" s="1"/>
  <c r="R15" i="6"/>
  <c r="R7" i="19" s="1"/>
  <c r="R8" i="19" s="1"/>
  <c r="R6" i="6"/>
  <c r="R173" i="6" s="1"/>
  <c r="S6" i="6"/>
  <c r="R76" i="8"/>
  <c r="S258" i="6"/>
  <c r="Q275" i="6"/>
  <c r="Q279" i="6" s="1"/>
  <c r="Q84" i="19" s="1"/>
  <c r="Q40" i="18"/>
  <c r="Q9" i="18"/>
  <c r="Q76" i="8"/>
  <c r="R258" i="6"/>
  <c r="R37" i="11"/>
  <c r="R49" i="11" s="1"/>
  <c r="R35" i="11"/>
  <c r="R47" i="11" s="1"/>
  <c r="R61" i="8"/>
  <c r="S165" i="6"/>
  <c r="R165" i="6"/>
  <c r="K156" i="8"/>
  <c r="K183" i="8"/>
  <c r="K186" i="8" s="1"/>
  <c r="K187" i="8" s="1"/>
  <c r="O29" i="8"/>
  <c r="O128" i="8"/>
  <c r="O141" i="8" s="1"/>
  <c r="O155" i="8" s="1"/>
  <c r="N29" i="8"/>
  <c r="N128" i="8"/>
  <c r="N141" i="8" s="1"/>
  <c r="N155" i="8" s="1"/>
  <c r="K96" i="6"/>
  <c r="K32" i="8"/>
  <c r="P29" i="8"/>
  <c r="P128" i="8"/>
  <c r="P141" i="8" s="1"/>
  <c r="P155" i="8" s="1"/>
  <c r="L29" i="8"/>
  <c r="L128" i="8"/>
  <c r="L141" i="8" s="1"/>
  <c r="L155" i="8" s="1"/>
  <c r="M29" i="8"/>
  <c r="M128" i="8"/>
  <c r="M141" i="8" s="1"/>
  <c r="M155" i="8" s="1"/>
  <c r="J29" i="8"/>
  <c r="J128" i="8"/>
  <c r="J141" i="8" s="1"/>
  <c r="J155" i="8" s="1"/>
  <c r="AB16" i="10"/>
  <c r="AC16" i="10"/>
  <c r="K93" i="6"/>
  <c r="K4" i="5"/>
  <c r="K17" i="5" s="1"/>
  <c r="S80" i="9"/>
  <c r="T62" i="9"/>
  <c r="U86" i="9"/>
  <c r="T104" i="9"/>
  <c r="M2" i="9"/>
  <c r="N3" i="9"/>
  <c r="AM293" i="9"/>
  <c r="AM369" i="9" s="1"/>
  <c r="AN319" i="9"/>
  <c r="V64" i="9"/>
  <c r="W88" i="9"/>
  <c r="J2" i="8"/>
  <c r="K3" i="8"/>
  <c r="J85" i="6"/>
  <c r="J94" i="6"/>
  <c r="L94" i="6"/>
  <c r="L85" i="6"/>
  <c r="N2" i="6"/>
  <c r="O3" i="6"/>
  <c r="N85" i="6"/>
  <c r="N94" i="6"/>
  <c r="M94" i="6"/>
  <c r="M85" i="6"/>
  <c r="P85" i="6"/>
  <c r="P94" i="6"/>
  <c r="O94" i="6"/>
  <c r="O85" i="6"/>
  <c r="R2" i="5"/>
  <c r="S3" i="5"/>
  <c r="Q142" i="19" l="1"/>
  <c r="N63" i="15"/>
  <c r="Q51" i="18"/>
  <c r="Q16" i="18"/>
  <c r="R86" i="8"/>
  <c r="R86" i="19"/>
  <c r="S86" i="8"/>
  <c r="S86" i="19"/>
  <c r="R25" i="6"/>
  <c r="R27" i="6" s="1"/>
  <c r="R26" i="6" s="1"/>
  <c r="R139" i="11"/>
  <c r="R142" i="11" s="1"/>
  <c r="Q43" i="18"/>
  <c r="R101" i="11"/>
  <c r="R182" i="6"/>
  <c r="R195" i="6" s="1"/>
  <c r="R63" i="19" s="1"/>
  <c r="R142" i="19" s="1"/>
  <c r="R88" i="11"/>
  <c r="S63" i="8"/>
  <c r="S275" i="6"/>
  <c r="S279" i="6" s="1"/>
  <c r="S84" i="19" s="1"/>
  <c r="C162" i="13"/>
  <c r="U155" i="13"/>
  <c r="U157" i="13" s="1"/>
  <c r="R168" i="6" s="1"/>
  <c r="R169" i="6" s="1"/>
  <c r="R176" i="6" s="1"/>
  <c r="R62" i="19" s="1"/>
  <c r="S24" i="8"/>
  <c r="P12" i="15" s="1"/>
  <c r="P59" i="15" s="1"/>
  <c r="AA266" i="9"/>
  <c r="AA30" i="9"/>
  <c r="S40" i="18"/>
  <c r="S9" i="18"/>
  <c r="Y395" i="9"/>
  <c r="Y371" i="9"/>
  <c r="T24" i="13"/>
  <c r="T113" i="13"/>
  <c r="T115" i="13" s="1"/>
  <c r="U5" i="6"/>
  <c r="U60" i="11"/>
  <c r="U12" i="11"/>
  <c r="U24" i="11"/>
  <c r="U14" i="11"/>
  <c r="AC243" i="9"/>
  <c r="AB240" i="9"/>
  <c r="S7" i="8"/>
  <c r="S8" i="8" s="1"/>
  <c r="S26" i="18" s="1"/>
  <c r="S14" i="6"/>
  <c r="U198" i="13"/>
  <c r="U168" i="6" s="1"/>
  <c r="C203" i="13"/>
  <c r="V62" i="11"/>
  <c r="V69" i="11" s="1"/>
  <c r="V15" i="11"/>
  <c r="V8" i="11"/>
  <c r="T130" i="11"/>
  <c r="T128" i="11"/>
  <c r="T126" i="11"/>
  <c r="T124" i="11"/>
  <c r="T34" i="11" s="1"/>
  <c r="T46" i="11" s="1"/>
  <c r="T117" i="11"/>
  <c r="T115" i="11"/>
  <c r="AA90" i="11"/>
  <c r="T29" i="11"/>
  <c r="T113" i="11"/>
  <c r="T111" i="11"/>
  <c r="T141" i="11" s="1"/>
  <c r="T109" i="11"/>
  <c r="T91" i="11"/>
  <c r="T93" i="11"/>
  <c r="T97" i="11"/>
  <c r="T18" i="11"/>
  <c r="T95" i="11"/>
  <c r="Q303" i="6"/>
  <c r="Q304" i="6" s="1"/>
  <c r="Q406" i="6"/>
  <c r="S21" i="6"/>
  <c r="S88" i="11"/>
  <c r="S101" i="11"/>
  <c r="W9" i="11"/>
  <c r="Z294" i="9"/>
  <c r="Z369" i="9"/>
  <c r="Z32" i="9"/>
  <c r="T61" i="11"/>
  <c r="T65" i="11"/>
  <c r="R42" i="18"/>
  <c r="S180" i="13"/>
  <c r="T180" i="13" s="1"/>
  <c r="Q175" i="13"/>
  <c r="U179" i="13"/>
  <c r="T291" i="6"/>
  <c r="T293" i="6" s="1"/>
  <c r="T87" i="8" s="1"/>
  <c r="T345" i="6"/>
  <c r="T347" i="6" s="1"/>
  <c r="T97" i="8" s="1"/>
  <c r="T281" i="6"/>
  <c r="T284" i="6" s="1"/>
  <c r="T85" i="8" s="1"/>
  <c r="T217" i="6"/>
  <c r="T220" i="6" s="1"/>
  <c r="T69" i="8" s="1"/>
  <c r="T340" i="6"/>
  <c r="T343" i="6" s="1"/>
  <c r="T91" i="8" s="1"/>
  <c r="T256" i="6"/>
  <c r="T286" i="6"/>
  <c r="T183" i="6"/>
  <c r="T160" i="6"/>
  <c r="T166" i="6" s="1"/>
  <c r="T7" i="6"/>
  <c r="T13" i="6"/>
  <c r="S25" i="6"/>
  <c r="S27" i="6" s="1"/>
  <c r="S26" i="6" s="1"/>
  <c r="S106" i="11"/>
  <c r="S119" i="11"/>
  <c r="R7" i="8"/>
  <c r="R8" i="8" s="1"/>
  <c r="R26" i="18" s="1"/>
  <c r="R14" i="6"/>
  <c r="R40" i="18"/>
  <c r="R9" i="18"/>
  <c r="Q143" i="8"/>
  <c r="T132" i="11"/>
  <c r="S38" i="11"/>
  <c r="S123" i="11"/>
  <c r="S136" i="11" s="1"/>
  <c r="Q10" i="18"/>
  <c r="Q40" i="11"/>
  <c r="Q52" i="11" s="1"/>
  <c r="Q33" i="11"/>
  <c r="Q42" i="11"/>
  <c r="R17" i="6"/>
  <c r="R23" i="6"/>
  <c r="R46" i="11"/>
  <c r="R44" i="11" s="1"/>
  <c r="R32" i="11"/>
  <c r="Q17" i="6"/>
  <c r="Q23" i="6"/>
  <c r="R82" i="6"/>
  <c r="R81" i="6"/>
  <c r="R91" i="8"/>
  <c r="Q145" i="8"/>
  <c r="S76" i="6"/>
  <c r="S46" i="13"/>
  <c r="Q84" i="8"/>
  <c r="T134" i="11"/>
  <c r="S39" i="11"/>
  <c r="S51" i="11" s="1"/>
  <c r="S173" i="6"/>
  <c r="N183" i="8"/>
  <c r="N186" i="8" s="1"/>
  <c r="N187" i="8" s="1"/>
  <c r="N156" i="8"/>
  <c r="O183" i="8"/>
  <c r="O186" i="8" s="1"/>
  <c r="O187" i="8" s="1"/>
  <c r="O156" i="8"/>
  <c r="M183" i="8"/>
  <c r="M186" i="8" s="1"/>
  <c r="M187" i="8" s="1"/>
  <c r="M156" i="8"/>
  <c r="L183" i="8"/>
  <c r="L186" i="8" s="1"/>
  <c r="L187" i="8" s="1"/>
  <c r="L156" i="8"/>
  <c r="P156" i="8"/>
  <c r="P183" i="8"/>
  <c r="P186" i="8" s="1"/>
  <c r="P187" i="8" s="1"/>
  <c r="J183" i="8"/>
  <c r="J186" i="8" s="1"/>
  <c r="J187" i="8" s="1"/>
  <c r="J156" i="8"/>
  <c r="K44" i="8"/>
  <c r="K33" i="8"/>
  <c r="N96" i="6"/>
  <c r="N32" i="8"/>
  <c r="P96" i="6"/>
  <c r="P32" i="8"/>
  <c r="M96" i="6"/>
  <c r="M32" i="8"/>
  <c r="O96" i="6"/>
  <c r="O32" i="8"/>
  <c r="L96" i="6"/>
  <c r="L32" i="8"/>
  <c r="J96" i="6"/>
  <c r="J32" i="8"/>
  <c r="J93" i="6"/>
  <c r="J4" i="5"/>
  <c r="J17" i="5" s="1"/>
  <c r="O93" i="6"/>
  <c r="O4" i="5"/>
  <c r="O17" i="5" s="1"/>
  <c r="N93" i="6"/>
  <c r="N4" i="5"/>
  <c r="N17" i="5" s="1"/>
  <c r="P93" i="6"/>
  <c r="P4" i="5"/>
  <c r="L93" i="6"/>
  <c r="L4" i="5"/>
  <c r="L17" i="5" s="1"/>
  <c r="M93" i="6"/>
  <c r="M4" i="5"/>
  <c r="M17" i="5" s="1"/>
  <c r="N2" i="9"/>
  <c r="O3" i="9"/>
  <c r="AN293" i="9"/>
  <c r="AN369" i="9" s="1"/>
  <c r="AO319" i="9"/>
  <c r="V86" i="9"/>
  <c r="U104" i="9"/>
  <c r="X88" i="9"/>
  <c r="W64" i="9"/>
  <c r="T80" i="9"/>
  <c r="U62" i="9"/>
  <c r="L3" i="8"/>
  <c r="K2" i="8"/>
  <c r="P3" i="6"/>
  <c r="O2" i="6"/>
  <c r="S2" i="5"/>
  <c r="T3" i="5"/>
  <c r="R160" i="19" l="1"/>
  <c r="S142" i="19"/>
  <c r="R275" i="6"/>
  <c r="R279" i="6" s="1"/>
  <c r="R84" i="19" s="1"/>
  <c r="R63" i="8"/>
  <c r="O16" i="15" s="1"/>
  <c r="S143" i="8"/>
  <c r="S42" i="18"/>
  <c r="S43" i="18" s="1"/>
  <c r="R43" i="18"/>
  <c r="P16" i="15"/>
  <c r="R143" i="8"/>
  <c r="T140" i="11"/>
  <c r="T139" i="11" s="1"/>
  <c r="T142" i="11" s="1"/>
  <c r="Q407" i="6"/>
  <c r="Q408" i="6" s="1"/>
  <c r="T87" i="11"/>
  <c r="T21" i="6" s="1"/>
  <c r="T259" i="6"/>
  <c r="T258" i="6"/>
  <c r="T72" i="11"/>
  <c r="T66" i="11"/>
  <c r="S17" i="6"/>
  <c r="S23" i="6"/>
  <c r="Q201" i="13"/>
  <c r="S206" i="13"/>
  <c r="T206" i="13" s="1"/>
  <c r="T207" i="13" s="1"/>
  <c r="U206" i="13" s="1"/>
  <c r="W205" i="13"/>
  <c r="U130" i="11"/>
  <c r="U128" i="11"/>
  <c r="U126" i="11"/>
  <c r="U124" i="11"/>
  <c r="U34" i="11" s="1"/>
  <c r="U46" i="11" s="1"/>
  <c r="U97" i="11"/>
  <c r="U18" i="11"/>
  <c r="U117" i="11"/>
  <c r="U115" i="11"/>
  <c r="U29" i="11"/>
  <c r="U113" i="11"/>
  <c r="U111" i="11"/>
  <c r="U141" i="11" s="1"/>
  <c r="U109" i="11"/>
  <c r="U91" i="11"/>
  <c r="U93" i="11"/>
  <c r="U95" i="11"/>
  <c r="U65" i="11"/>
  <c r="U61" i="11"/>
  <c r="T5" i="8"/>
  <c r="T55" i="6"/>
  <c r="T79" i="6"/>
  <c r="T10" i="6"/>
  <c r="T65" i="6"/>
  <c r="T187" i="6"/>
  <c r="T209" i="6"/>
  <c r="T211" i="6" s="1"/>
  <c r="T65" i="8" s="1"/>
  <c r="T6" i="6"/>
  <c r="T15" i="6"/>
  <c r="T7" i="19" s="1"/>
  <c r="T8" i="19" s="1"/>
  <c r="Z395" i="9"/>
  <c r="Z371" i="9"/>
  <c r="T105" i="11"/>
  <c r="T35" i="11"/>
  <c r="T47" i="11" s="1"/>
  <c r="U340" i="6"/>
  <c r="U343" i="6" s="1"/>
  <c r="U91" i="8" s="1"/>
  <c r="U256" i="6"/>
  <c r="U259" i="6" s="1"/>
  <c r="U291" i="6"/>
  <c r="U293" i="6" s="1"/>
  <c r="U87" i="8" s="1"/>
  <c r="U345" i="6"/>
  <c r="U347" i="6" s="1"/>
  <c r="U97" i="8" s="1"/>
  <c r="U281" i="6"/>
  <c r="U284" i="6" s="1"/>
  <c r="U85" i="8" s="1"/>
  <c r="U217" i="6"/>
  <c r="U220" i="6" s="1"/>
  <c r="U69" i="8" s="1"/>
  <c r="U286" i="6"/>
  <c r="U183" i="6"/>
  <c r="U160" i="6"/>
  <c r="U166" i="6" s="1"/>
  <c r="U165" i="6" s="1"/>
  <c r="U7" i="6"/>
  <c r="U13" i="6"/>
  <c r="U180" i="13"/>
  <c r="U181" i="13"/>
  <c r="U26" i="13"/>
  <c r="S300" i="6" s="1"/>
  <c r="T36" i="11"/>
  <c r="T48" i="11" s="1"/>
  <c r="X9" i="11"/>
  <c r="AA32" i="9"/>
  <c r="AA369" i="9"/>
  <c r="AA294" i="9"/>
  <c r="T164" i="13"/>
  <c r="T26" i="13" s="1"/>
  <c r="R300" i="6" s="1"/>
  <c r="S165" i="13"/>
  <c r="T165" i="13"/>
  <c r="Q159" i="13"/>
  <c r="T61" i="8"/>
  <c r="T165" i="6"/>
  <c r="T189" i="6"/>
  <c r="W62" i="11"/>
  <c r="W69" i="11" s="1"/>
  <c r="W8" i="11"/>
  <c r="W15" i="11"/>
  <c r="Q329" i="6"/>
  <c r="Q305" i="6"/>
  <c r="R299" i="6" s="1"/>
  <c r="T37" i="11"/>
  <c r="T49" i="11" s="1"/>
  <c r="AB266" i="9"/>
  <c r="AB30" i="9"/>
  <c r="U46" i="13"/>
  <c r="S84" i="8"/>
  <c r="T289" i="6"/>
  <c r="T288" i="6"/>
  <c r="V5" i="6"/>
  <c r="V60" i="11"/>
  <c r="V24" i="11"/>
  <c r="V14" i="11"/>
  <c r="V12" i="11"/>
  <c r="AD243" i="9"/>
  <c r="AD240" i="9" s="1"/>
  <c r="AC240" i="9"/>
  <c r="U112" i="13"/>
  <c r="U110" i="13"/>
  <c r="S81" i="6"/>
  <c r="R24" i="8"/>
  <c r="O12" i="15" s="1"/>
  <c r="O59" i="15" s="1"/>
  <c r="R29" i="6"/>
  <c r="R45" i="6"/>
  <c r="R9" i="12" s="1"/>
  <c r="R157" i="19" s="1"/>
  <c r="S169" i="6"/>
  <c r="S176" i="6" s="1"/>
  <c r="S62" i="19" s="1"/>
  <c r="T76" i="6"/>
  <c r="S32" i="11"/>
  <c r="S50" i="11"/>
  <c r="S44" i="11" s="1"/>
  <c r="Q22" i="6"/>
  <c r="Q19" i="6"/>
  <c r="U132" i="11"/>
  <c r="T38" i="11"/>
  <c r="T123" i="11"/>
  <c r="T136" i="11" s="1"/>
  <c r="Q29" i="6"/>
  <c r="Q45" i="6"/>
  <c r="Q9" i="12" s="1"/>
  <c r="Q157" i="19" s="1"/>
  <c r="R145" i="8"/>
  <c r="S145" i="8"/>
  <c r="R62" i="8"/>
  <c r="R161" i="8" s="1"/>
  <c r="T46" i="13"/>
  <c r="R84" i="8"/>
  <c r="U134" i="11"/>
  <c r="T39" i="11"/>
  <c r="T51" i="11" s="1"/>
  <c r="R19" i="6"/>
  <c r="R22" i="6"/>
  <c r="T43" i="13"/>
  <c r="T17" i="13" s="1"/>
  <c r="S20" i="13"/>
  <c r="R42" i="11"/>
  <c r="R40" i="11"/>
  <c r="R52" i="11" s="1"/>
  <c r="R33" i="11"/>
  <c r="R10" i="18"/>
  <c r="S10" i="18"/>
  <c r="L44" i="8"/>
  <c r="L33" i="8"/>
  <c r="N44" i="8"/>
  <c r="N33" i="8"/>
  <c r="M44" i="8"/>
  <c r="M33" i="8"/>
  <c r="P44" i="8"/>
  <c r="P33" i="8"/>
  <c r="O44" i="8"/>
  <c r="O33" i="8"/>
  <c r="J33" i="8"/>
  <c r="J44" i="8"/>
  <c r="P10" i="5"/>
  <c r="P9" i="5"/>
  <c r="P7" i="5"/>
  <c r="P6" i="5" s="1"/>
  <c r="Y88" i="9"/>
  <c r="X64" i="9"/>
  <c r="W86" i="9"/>
  <c r="V104" i="9"/>
  <c r="AO293" i="9"/>
  <c r="AO369" i="9" s="1"/>
  <c r="AP319" i="9"/>
  <c r="P3" i="9"/>
  <c r="O2" i="9"/>
  <c r="V62" i="9"/>
  <c r="U80" i="9"/>
  <c r="M3" i="8"/>
  <c r="L2" i="8"/>
  <c r="P2" i="6"/>
  <c r="Q3" i="6"/>
  <c r="T2" i="5"/>
  <c r="U3" i="5"/>
  <c r="S160" i="19" l="1"/>
  <c r="O63" i="15"/>
  <c r="R51" i="18"/>
  <c r="R16" i="18"/>
  <c r="P63" i="15"/>
  <c r="S51" i="18"/>
  <c r="S16" i="18"/>
  <c r="T86" i="8"/>
  <c r="T42" i="18" s="1"/>
  <c r="T86" i="19"/>
  <c r="T182" i="6"/>
  <c r="T195" i="6" s="1"/>
  <c r="T63" i="19" s="1"/>
  <c r="S25" i="13"/>
  <c r="Q301" i="6" s="1"/>
  <c r="U87" i="11"/>
  <c r="U105" i="11"/>
  <c r="U25" i="6" s="1"/>
  <c r="U27" i="6" s="1"/>
  <c r="U26" i="6" s="1"/>
  <c r="T88" i="11"/>
  <c r="T101" i="11"/>
  <c r="Q409" i="6"/>
  <c r="U113" i="13"/>
  <c r="U115" i="13" s="1"/>
  <c r="V281" i="6"/>
  <c r="V284" i="6" s="1"/>
  <c r="V85" i="8" s="1"/>
  <c r="V217" i="6"/>
  <c r="V220" i="6" s="1"/>
  <c r="V69" i="8" s="1"/>
  <c r="V340" i="6"/>
  <c r="V343" i="6" s="1"/>
  <c r="V91" i="8" s="1"/>
  <c r="V256" i="6"/>
  <c r="V259" i="6" s="1"/>
  <c r="V345" i="6"/>
  <c r="V347" i="6" s="1"/>
  <c r="V97" i="8" s="1"/>
  <c r="V291" i="6"/>
  <c r="V293" i="6" s="1"/>
  <c r="V87" i="8" s="1"/>
  <c r="V286" i="6"/>
  <c r="V183" i="6"/>
  <c r="V160" i="6"/>
  <c r="V166" i="6" s="1"/>
  <c r="V7" i="6"/>
  <c r="V13" i="6"/>
  <c r="AA395" i="9"/>
  <c r="AA371" i="9"/>
  <c r="U5" i="8"/>
  <c r="U10" i="6"/>
  <c r="U65" i="6"/>
  <c r="U55" i="6"/>
  <c r="U79" i="6"/>
  <c r="U187" i="6"/>
  <c r="U209" i="6"/>
  <c r="U211" i="6" s="1"/>
  <c r="U65" i="8" s="1"/>
  <c r="U6" i="6"/>
  <c r="U15" i="6"/>
  <c r="U7" i="19" s="1"/>
  <c r="U8" i="19" s="1"/>
  <c r="U76" i="8"/>
  <c r="U66" i="11"/>
  <c r="U72" i="11"/>
  <c r="U21" i="6"/>
  <c r="U101" i="11"/>
  <c r="U88" i="11"/>
  <c r="S19" i="6"/>
  <c r="S22" i="6"/>
  <c r="Q330" i="6"/>
  <c r="Q349" i="6"/>
  <c r="U61" i="8"/>
  <c r="U119" i="11"/>
  <c r="S29" i="6"/>
  <c r="S45" i="6"/>
  <c r="S9" i="12" s="1"/>
  <c r="S157" i="19" s="1"/>
  <c r="AC266" i="9"/>
  <c r="AC30" i="9"/>
  <c r="X62" i="11"/>
  <c r="X69" i="11" s="1"/>
  <c r="X8" i="11"/>
  <c r="X15" i="11"/>
  <c r="U189" i="6"/>
  <c r="U182" i="6" s="1"/>
  <c r="U195" i="6" s="1"/>
  <c r="U63" i="19" s="1"/>
  <c r="U35" i="11"/>
  <c r="U47" i="11" s="1"/>
  <c r="W206" i="13"/>
  <c r="W26" i="13"/>
  <c r="U300" i="6" s="1"/>
  <c r="AD266" i="9"/>
  <c r="AD30" i="9"/>
  <c r="W60" i="11"/>
  <c r="W5" i="6"/>
  <c r="W12" i="11"/>
  <c r="W24" i="11"/>
  <c r="W14" i="11"/>
  <c r="U289" i="6"/>
  <c r="U288" i="6"/>
  <c r="T25" i="6"/>
  <c r="T27" i="6" s="1"/>
  <c r="T26" i="6" s="1"/>
  <c r="T106" i="11"/>
  <c r="T119" i="11"/>
  <c r="T23" i="6"/>
  <c r="U36" i="11"/>
  <c r="U48" i="11" s="1"/>
  <c r="V124" i="11"/>
  <c r="V34" i="11" s="1"/>
  <c r="V46" i="11" s="1"/>
  <c r="V130" i="11"/>
  <c r="V128" i="11"/>
  <c r="V126" i="11"/>
  <c r="V93" i="11"/>
  <c r="V97" i="11"/>
  <c r="V18" i="11"/>
  <c r="V117" i="11"/>
  <c r="V115" i="11"/>
  <c r="V29" i="11"/>
  <c r="V113" i="11"/>
  <c r="V111" i="11"/>
  <c r="V109" i="11"/>
  <c r="V91" i="11"/>
  <c r="V95" i="11"/>
  <c r="U20" i="13"/>
  <c r="V43" i="13"/>
  <c r="V17" i="13" s="1"/>
  <c r="T166" i="13"/>
  <c r="T25" i="13"/>
  <c r="R301" i="6" s="1"/>
  <c r="T82" i="6"/>
  <c r="T24" i="8" s="1"/>
  <c r="Q12" i="15" s="1"/>
  <c r="Q59" i="15" s="1"/>
  <c r="T81" i="6"/>
  <c r="U37" i="11"/>
  <c r="U49" i="11" s="1"/>
  <c r="Y9" i="11"/>
  <c r="AB32" i="9"/>
  <c r="AB369" i="9"/>
  <c r="AB294" i="9"/>
  <c r="V178" i="13"/>
  <c r="U183" i="13"/>
  <c r="V180" i="13"/>
  <c r="U204" i="13"/>
  <c r="T209" i="13"/>
  <c r="T7" i="8"/>
  <c r="T8" i="8" s="1"/>
  <c r="T26" i="18" s="1"/>
  <c r="T14" i="6"/>
  <c r="T40" i="18"/>
  <c r="T9" i="18"/>
  <c r="T10" i="18" s="1"/>
  <c r="T76" i="8"/>
  <c r="U258" i="6"/>
  <c r="U76" i="6"/>
  <c r="V76" i="6" s="1"/>
  <c r="V65" i="11"/>
  <c r="V61" i="11"/>
  <c r="U140" i="11"/>
  <c r="U139" i="11" s="1"/>
  <c r="U142" i="11" s="1"/>
  <c r="V132" i="11"/>
  <c r="U38" i="11"/>
  <c r="U123" i="11"/>
  <c r="U136" i="11" s="1"/>
  <c r="R158" i="8"/>
  <c r="O15" i="15" s="1"/>
  <c r="R126" i="12"/>
  <c r="R92" i="12"/>
  <c r="R59" i="12"/>
  <c r="R24" i="12"/>
  <c r="R161" i="12"/>
  <c r="S62" i="8"/>
  <c r="T169" i="6"/>
  <c r="T176" i="6" s="1"/>
  <c r="T62" i="19" s="1"/>
  <c r="T20" i="13"/>
  <c r="U43" i="13"/>
  <c r="U17" i="13" s="1"/>
  <c r="T8" i="13"/>
  <c r="S33" i="11"/>
  <c r="S42" i="11"/>
  <c r="S40" i="11"/>
  <c r="S52" i="11" s="1"/>
  <c r="Q10" i="8"/>
  <c r="Q31" i="6"/>
  <c r="Q18" i="6"/>
  <c r="S11" i="13"/>
  <c r="S47" i="13" s="1"/>
  <c r="N49" i="15"/>
  <c r="V134" i="11"/>
  <c r="U39" i="11"/>
  <c r="U51" i="11" s="1"/>
  <c r="Q158" i="8"/>
  <c r="N15" i="15" s="1"/>
  <c r="Q24" i="12"/>
  <c r="Q92" i="12"/>
  <c r="Q161" i="12"/>
  <c r="Q164" i="12" s="1"/>
  <c r="Q126" i="12"/>
  <c r="Q59" i="12"/>
  <c r="R10" i="8"/>
  <c r="R31" i="6"/>
  <c r="R18" i="6"/>
  <c r="T32" i="11"/>
  <c r="T50" i="11"/>
  <c r="T44" i="11" s="1"/>
  <c r="P8" i="5"/>
  <c r="Q3" i="9"/>
  <c r="P2" i="9"/>
  <c r="W104" i="9"/>
  <c r="X86" i="9"/>
  <c r="AP293" i="9"/>
  <c r="AP369" i="9" s="1"/>
  <c r="AQ319" i="9"/>
  <c r="W62" i="9"/>
  <c r="V80" i="9"/>
  <c r="Z88" i="9"/>
  <c r="Y64" i="9"/>
  <c r="N3" i="8"/>
  <c r="M2" i="8"/>
  <c r="Q2" i="6"/>
  <c r="R3" i="6"/>
  <c r="U2" i="5"/>
  <c r="V3" i="5"/>
  <c r="T275" i="6" l="1"/>
  <c r="T279" i="6" s="1"/>
  <c r="T84" i="19" s="1"/>
  <c r="T63" i="8"/>
  <c r="T160" i="19"/>
  <c r="R30" i="6"/>
  <c r="R10" i="20"/>
  <c r="Q30" i="6"/>
  <c r="Q10" i="20"/>
  <c r="U142" i="19"/>
  <c r="T142" i="19"/>
  <c r="O62" i="15"/>
  <c r="R15" i="18"/>
  <c r="N62" i="15"/>
  <c r="Q15" i="18"/>
  <c r="T145" i="8"/>
  <c r="U86" i="8"/>
  <c r="U86" i="19"/>
  <c r="Q16" i="15"/>
  <c r="Q63" i="15" s="1"/>
  <c r="T43" i="18"/>
  <c r="V181" i="13"/>
  <c r="U106" i="11"/>
  <c r="T17" i="6"/>
  <c r="V140" i="11"/>
  <c r="V37" i="11"/>
  <c r="V49" i="11" s="1"/>
  <c r="V258" i="6"/>
  <c r="U63" i="8"/>
  <c r="U143" i="8" s="1"/>
  <c r="U275" i="6"/>
  <c r="U279" i="6" s="1"/>
  <c r="U84" i="19" s="1"/>
  <c r="AB395" i="9"/>
  <c r="AB371" i="9"/>
  <c r="U81" i="6"/>
  <c r="U82" i="6"/>
  <c r="U24" i="8" s="1"/>
  <c r="R12" i="15" s="1"/>
  <c r="R59" i="15" s="1"/>
  <c r="V5" i="8"/>
  <c r="V10" i="6"/>
  <c r="V65" i="6"/>
  <c r="V55" i="6"/>
  <c r="V79" i="6"/>
  <c r="V187" i="6"/>
  <c r="V209" i="6"/>
  <c r="V211" i="6" s="1"/>
  <c r="V65" i="8" s="1"/>
  <c r="V6" i="6"/>
  <c r="V15" i="6"/>
  <c r="V7" i="19" s="1"/>
  <c r="V8" i="19" s="1"/>
  <c r="Q92" i="8"/>
  <c r="Q350" i="6"/>
  <c r="V61" i="8"/>
  <c r="Y62" i="11"/>
  <c r="Y69" i="11" s="1"/>
  <c r="Y8" i="11"/>
  <c r="Y15" i="11"/>
  <c r="V189" i="6"/>
  <c r="U163" i="13"/>
  <c r="T168" i="13"/>
  <c r="T28" i="13" s="1"/>
  <c r="R307" i="6" s="1"/>
  <c r="R72" i="6" s="1"/>
  <c r="T27" i="13"/>
  <c r="R302" i="6" s="1"/>
  <c r="R400" i="6" s="1"/>
  <c r="R405" i="6" s="1"/>
  <c r="U165" i="13"/>
  <c r="U25" i="13" s="1"/>
  <c r="S301" i="6" s="1"/>
  <c r="V66" i="11"/>
  <c r="V72" i="11"/>
  <c r="U145" i="8"/>
  <c r="T19" i="6"/>
  <c r="T22" i="6"/>
  <c r="V289" i="6"/>
  <c r="V288" i="6"/>
  <c r="V110" i="13"/>
  <c r="V112" i="13"/>
  <c r="W178" i="13"/>
  <c r="W180" i="13"/>
  <c r="V87" i="11"/>
  <c r="T29" i="6"/>
  <c r="T45" i="6"/>
  <c r="T9" i="12" s="1"/>
  <c r="T157" i="19" s="1"/>
  <c r="W124" i="11"/>
  <c r="W34" i="11" s="1"/>
  <c r="W46" i="11" s="1"/>
  <c r="W130" i="11"/>
  <c r="W128" i="11"/>
  <c r="W126" i="11"/>
  <c r="W109" i="11"/>
  <c r="W91" i="11"/>
  <c r="W93" i="11"/>
  <c r="W97" i="11"/>
  <c r="W18" i="11"/>
  <c r="W117" i="11"/>
  <c r="W115" i="11"/>
  <c r="W29" i="11"/>
  <c r="W113" i="11"/>
  <c r="W111" i="11"/>
  <c r="W95" i="11"/>
  <c r="U42" i="18"/>
  <c r="S10" i="8"/>
  <c r="S31" i="6"/>
  <c r="S18" i="6"/>
  <c r="U7" i="8"/>
  <c r="U8" i="8" s="1"/>
  <c r="U26" i="18" s="1"/>
  <c r="U14" i="6"/>
  <c r="U40" i="18"/>
  <c r="U9" i="18"/>
  <c r="U10" i="18" s="1"/>
  <c r="V105" i="11"/>
  <c r="W345" i="6"/>
  <c r="W347" i="6" s="1"/>
  <c r="W97" i="8" s="1"/>
  <c r="W281" i="6"/>
  <c r="W284" i="6" s="1"/>
  <c r="W85" i="8" s="1"/>
  <c r="W217" i="6"/>
  <c r="W220" i="6" s="1"/>
  <c r="W69" i="8" s="1"/>
  <c r="W340" i="6"/>
  <c r="W343" i="6" s="1"/>
  <c r="W91" i="8" s="1"/>
  <c r="W256" i="6"/>
  <c r="W259" i="6" s="1"/>
  <c r="W291" i="6"/>
  <c r="W293" i="6" s="1"/>
  <c r="W87" i="8" s="1"/>
  <c r="W286" i="6"/>
  <c r="W183" i="6"/>
  <c r="W160" i="6"/>
  <c r="W166" i="6" s="1"/>
  <c r="W165" i="6" s="1"/>
  <c r="W13" i="6"/>
  <c r="W7" i="6"/>
  <c r="Z9" i="11"/>
  <c r="AC369" i="9"/>
  <c r="AC294" i="9"/>
  <c r="AC32" i="9"/>
  <c r="U207" i="13"/>
  <c r="U209" i="13" s="1"/>
  <c r="T11" i="13"/>
  <c r="T47" i="13" s="1"/>
  <c r="V183" i="13"/>
  <c r="V141" i="11"/>
  <c r="V139" i="11" s="1"/>
  <c r="V142" i="11" s="1"/>
  <c r="V35" i="11"/>
  <c r="V47" i="11" s="1"/>
  <c r="W61" i="11"/>
  <c r="W65" i="11"/>
  <c r="V165" i="6"/>
  <c r="V76" i="8"/>
  <c r="W258" i="6"/>
  <c r="V46" i="13"/>
  <c r="T84" i="8"/>
  <c r="V36" i="11"/>
  <c r="V48" i="11" s="1"/>
  <c r="AA9" i="11"/>
  <c r="AD369" i="9"/>
  <c r="AD294" i="9"/>
  <c r="AD32" i="9"/>
  <c r="X60" i="11"/>
  <c r="X5" i="6"/>
  <c r="X12" i="11"/>
  <c r="X24" i="11"/>
  <c r="X14" i="11"/>
  <c r="S158" i="8"/>
  <c r="P15" i="15" s="1"/>
  <c r="S92" i="12"/>
  <c r="S59" i="12"/>
  <c r="S161" i="12"/>
  <c r="S24" i="12"/>
  <c r="S126" i="12"/>
  <c r="U17" i="6"/>
  <c r="U23" i="6"/>
  <c r="T143" i="8"/>
  <c r="O49" i="15"/>
  <c r="T62" i="8"/>
  <c r="T161" i="8" s="1"/>
  <c r="R229" i="6"/>
  <c r="R94" i="12"/>
  <c r="Q241" i="6"/>
  <c r="Q128" i="12"/>
  <c r="S48" i="13"/>
  <c r="S21" i="13" s="1"/>
  <c r="Q276" i="6"/>
  <c r="S161" i="8"/>
  <c r="Q235" i="6"/>
  <c r="Q61" i="12"/>
  <c r="U50" i="11"/>
  <c r="U44" i="11" s="1"/>
  <c r="U32" i="11"/>
  <c r="R241" i="6"/>
  <c r="R128" i="12"/>
  <c r="W134" i="11"/>
  <c r="V39" i="11"/>
  <c r="V51" i="11" s="1"/>
  <c r="U169" i="6"/>
  <c r="U176" i="6" s="1"/>
  <c r="U62" i="19" s="1"/>
  <c r="Q216" i="12"/>
  <c r="Q246" i="6" s="1"/>
  <c r="Q249" i="6" s="1"/>
  <c r="R160" i="12"/>
  <c r="T42" i="11"/>
  <c r="T33" i="11"/>
  <c r="T40" i="11"/>
  <c r="T52" i="11" s="1"/>
  <c r="Q94" i="12"/>
  <c r="Q229" i="6"/>
  <c r="R26" i="12"/>
  <c r="R223" i="6"/>
  <c r="R224" i="6" s="1"/>
  <c r="W132" i="11"/>
  <c r="V38" i="11"/>
  <c r="V123" i="11"/>
  <c r="V136" i="11" s="1"/>
  <c r="Q26" i="12"/>
  <c r="Q223" i="6"/>
  <c r="Q224" i="6" s="1"/>
  <c r="R235" i="6"/>
  <c r="R61" i="12"/>
  <c r="P5" i="5"/>
  <c r="P17" i="5" s="1"/>
  <c r="P116" i="6"/>
  <c r="AQ293" i="9"/>
  <c r="AQ369" i="9" s="1"/>
  <c r="AR319" i="9"/>
  <c r="X104" i="9"/>
  <c r="Y86" i="9"/>
  <c r="W80" i="9"/>
  <c r="X62" i="9"/>
  <c r="AA88" i="9"/>
  <c r="Z64" i="9"/>
  <c r="R3" i="9"/>
  <c r="Q2" i="9"/>
  <c r="O3" i="8"/>
  <c r="N2" i="8"/>
  <c r="S3" i="6"/>
  <c r="R2" i="6"/>
  <c r="W3" i="5"/>
  <c r="V2" i="5"/>
  <c r="U160" i="19" l="1"/>
  <c r="Q156" i="6"/>
  <c r="Q174" i="6"/>
  <c r="Q175" i="6" s="1"/>
  <c r="Q61" i="6" s="1"/>
  <c r="T16" i="18"/>
  <c r="S30" i="6"/>
  <c r="S10" i="20"/>
  <c r="T51" i="18"/>
  <c r="P62" i="15"/>
  <c r="S15" i="18"/>
  <c r="Q74" i="8"/>
  <c r="Q74" i="19"/>
  <c r="V86" i="8"/>
  <c r="V86" i="19"/>
  <c r="V182" i="6"/>
  <c r="V195" i="6" s="1"/>
  <c r="V63" i="19" s="1"/>
  <c r="W140" i="11"/>
  <c r="U43" i="18"/>
  <c r="W141" i="11"/>
  <c r="W181" i="13"/>
  <c r="X180" i="13" s="1"/>
  <c r="U29" i="6"/>
  <c r="U45" i="6"/>
  <c r="U9" i="12" s="1"/>
  <c r="U157" i="19" s="1"/>
  <c r="AC395" i="9"/>
  <c r="AC371" i="9"/>
  <c r="W76" i="8"/>
  <c r="AA62" i="11"/>
  <c r="AA69" i="11" s="1"/>
  <c r="AA8" i="11"/>
  <c r="AA15" i="11"/>
  <c r="Z62" i="11"/>
  <c r="Z69" i="11" s="1"/>
  <c r="Z8" i="11"/>
  <c r="Z15" i="11"/>
  <c r="W87" i="11"/>
  <c r="V21" i="6"/>
  <c r="V101" i="11"/>
  <c r="V88" i="11"/>
  <c r="U166" i="13"/>
  <c r="U168" i="13" s="1"/>
  <c r="U28" i="13" s="1"/>
  <c r="S307" i="6" s="1"/>
  <c r="S72" i="6" s="1"/>
  <c r="U24" i="13"/>
  <c r="V145" i="8"/>
  <c r="V7" i="8"/>
  <c r="V8" i="8" s="1"/>
  <c r="V26" i="18" s="1"/>
  <c r="V14" i="6"/>
  <c r="V40" i="18"/>
  <c r="V9" i="18"/>
  <c r="V10" i="18" s="1"/>
  <c r="S128" i="12"/>
  <c r="S241" i="6"/>
  <c r="X126" i="11"/>
  <c r="X124" i="11"/>
  <c r="X34" i="11" s="1"/>
  <c r="X46" i="11" s="1"/>
  <c r="X130" i="11"/>
  <c r="X128" i="11"/>
  <c r="X111" i="11"/>
  <c r="X109" i="11"/>
  <c r="X91" i="11"/>
  <c r="X93" i="11"/>
  <c r="X140" i="11" s="1"/>
  <c r="X97" i="11"/>
  <c r="X18" i="11"/>
  <c r="X117" i="11"/>
  <c r="X115" i="11"/>
  <c r="X29" i="11"/>
  <c r="X113" i="11"/>
  <c r="X95" i="11"/>
  <c r="W5" i="8"/>
  <c r="W10" i="6"/>
  <c r="W65" i="6"/>
  <c r="W55" i="6"/>
  <c r="W79" i="6"/>
  <c r="W187" i="6"/>
  <c r="W209" i="6"/>
  <c r="W211" i="6" s="1"/>
  <c r="W65" i="8" s="1"/>
  <c r="W15" i="6"/>
  <c r="W7" i="19" s="1"/>
  <c r="W8" i="19" s="1"/>
  <c r="W6" i="6"/>
  <c r="W105" i="11"/>
  <c r="X178" i="13"/>
  <c r="T10" i="8"/>
  <c r="T31" i="6"/>
  <c r="T18" i="6"/>
  <c r="S26" i="12"/>
  <c r="S233" i="12" s="1"/>
  <c r="S223" i="6"/>
  <c r="S224" i="6" s="1"/>
  <c r="X345" i="6"/>
  <c r="X347" i="6" s="1"/>
  <c r="X97" i="8" s="1"/>
  <c r="X281" i="6"/>
  <c r="X284" i="6" s="1"/>
  <c r="X85" i="8" s="1"/>
  <c r="X217" i="6"/>
  <c r="X220" i="6" s="1"/>
  <c r="X69" i="8" s="1"/>
  <c r="X340" i="6"/>
  <c r="X343" i="6" s="1"/>
  <c r="X91" i="8" s="1"/>
  <c r="X256" i="6"/>
  <c r="X259" i="6" s="1"/>
  <c r="X291" i="6"/>
  <c r="X293" i="6" s="1"/>
  <c r="X87" i="8" s="1"/>
  <c r="X286" i="6"/>
  <c r="X183" i="6"/>
  <c r="X160" i="6"/>
  <c r="X166" i="6" s="1"/>
  <c r="X13" i="6"/>
  <c r="X7" i="6"/>
  <c r="W43" i="13"/>
  <c r="W17" i="13" s="1"/>
  <c r="V20" i="13"/>
  <c r="W35" i="11"/>
  <c r="W47" i="11" s="1"/>
  <c r="W183" i="13"/>
  <c r="X61" i="11"/>
  <c r="X65" i="11"/>
  <c r="W61" i="8"/>
  <c r="W36" i="11"/>
  <c r="W48" i="11" s="1"/>
  <c r="V113" i="13"/>
  <c r="S61" i="12"/>
  <c r="S235" i="6"/>
  <c r="V204" i="13"/>
  <c r="V206" i="13"/>
  <c r="W189" i="6"/>
  <c r="W182" i="6" s="1"/>
  <c r="W195" i="6" s="1"/>
  <c r="W63" i="19" s="1"/>
  <c r="W37" i="11"/>
  <c r="W49" i="11" s="1"/>
  <c r="V82" i="6"/>
  <c r="V24" i="8" s="1"/>
  <c r="S12" i="15" s="1"/>
  <c r="S59" i="15" s="1"/>
  <c r="V81" i="6"/>
  <c r="S94" i="12"/>
  <c r="S229" i="6"/>
  <c r="W289" i="6"/>
  <c r="W288" i="6"/>
  <c r="V25" i="6"/>
  <c r="V27" i="6" s="1"/>
  <c r="V26" i="6" s="1"/>
  <c r="V106" i="11"/>
  <c r="V119" i="11"/>
  <c r="V115" i="13"/>
  <c r="Y60" i="11"/>
  <c r="Y5" i="6"/>
  <c r="Y12" i="11"/>
  <c r="Y24" i="11"/>
  <c r="Y14" i="11"/>
  <c r="Q167" i="8"/>
  <c r="Q98" i="8"/>
  <c r="W46" i="13"/>
  <c r="U84" i="8"/>
  <c r="U19" i="6"/>
  <c r="U22" i="6"/>
  <c r="AD395" i="9"/>
  <c r="AD371" i="9"/>
  <c r="W72" i="11"/>
  <c r="W66" i="11"/>
  <c r="W76" i="6"/>
  <c r="T158" i="8"/>
  <c r="Q15" i="15" s="1"/>
  <c r="T161" i="12"/>
  <c r="T126" i="12"/>
  <c r="T24" i="12"/>
  <c r="T92" i="12"/>
  <c r="T59" i="12"/>
  <c r="R303" i="6"/>
  <c r="R304" i="6" s="1"/>
  <c r="R406" i="6"/>
  <c r="R407" i="6" s="1"/>
  <c r="R408" i="6" s="1"/>
  <c r="V42" i="18"/>
  <c r="R16" i="15"/>
  <c r="R247" i="12"/>
  <c r="R79" i="12" s="1"/>
  <c r="U42" i="11"/>
  <c r="U33" i="11"/>
  <c r="U40" i="11"/>
  <c r="U52" i="11" s="1"/>
  <c r="Q144" i="12"/>
  <c r="Q130" i="12"/>
  <c r="Q278" i="12"/>
  <c r="T48" i="13"/>
  <c r="T21" i="13" s="1"/>
  <c r="R276" i="6"/>
  <c r="Q277" i="6"/>
  <c r="Q71" i="6" s="1"/>
  <c r="Q271" i="6"/>
  <c r="U62" i="8"/>
  <c r="U161" i="8" s="1"/>
  <c r="Q246" i="12"/>
  <c r="Q63" i="12"/>
  <c r="R263" i="12"/>
  <c r="R215" i="12"/>
  <c r="R164" i="12"/>
  <c r="Q231" i="12"/>
  <c r="Q28" i="12"/>
  <c r="Q96" i="12"/>
  <c r="Q262" i="12"/>
  <c r="Q111" i="12" s="1"/>
  <c r="V169" i="6"/>
  <c r="V176" i="6" s="1"/>
  <c r="V62" i="19" s="1"/>
  <c r="V50" i="11"/>
  <c r="V44" i="11" s="1"/>
  <c r="V32" i="11"/>
  <c r="R279" i="12"/>
  <c r="R146" i="12" s="1"/>
  <c r="R232" i="12"/>
  <c r="R45" i="12" s="1"/>
  <c r="X132" i="11"/>
  <c r="W38" i="11"/>
  <c r="W123" i="11"/>
  <c r="W136" i="11" s="1"/>
  <c r="X134" i="11"/>
  <c r="W39" i="11"/>
  <c r="W51" i="11" s="1"/>
  <c r="P118" i="6"/>
  <c r="P37" i="8" s="1"/>
  <c r="P40" i="8" s="1"/>
  <c r="M10" i="15" s="1"/>
  <c r="P127" i="6"/>
  <c r="Y104" i="9"/>
  <c r="Z86" i="9"/>
  <c r="X80" i="9"/>
  <c r="Y62" i="9"/>
  <c r="AB88" i="9"/>
  <c r="AA64" i="9"/>
  <c r="AR293" i="9"/>
  <c r="AR369" i="9" s="1"/>
  <c r="AS319" i="9"/>
  <c r="S3" i="9"/>
  <c r="R2" i="9"/>
  <c r="O2" i="8"/>
  <c r="P3" i="8"/>
  <c r="S2" i="6"/>
  <c r="T3" i="6"/>
  <c r="W2" i="5"/>
  <c r="X3" i="5"/>
  <c r="V160" i="19" l="1"/>
  <c r="V63" i="8"/>
  <c r="V143" i="8" s="1"/>
  <c r="R174" i="6"/>
  <c r="R175" i="6" s="1"/>
  <c r="R61" i="6" s="1"/>
  <c r="R156" i="6"/>
  <c r="V275" i="6"/>
  <c r="V279" i="6" s="1"/>
  <c r="V84" i="19" s="1"/>
  <c r="T30" i="6"/>
  <c r="T10" i="20"/>
  <c r="W142" i="19"/>
  <c r="V142" i="19"/>
  <c r="Q62" i="15"/>
  <c r="T15" i="18"/>
  <c r="W86" i="8"/>
  <c r="W86" i="19"/>
  <c r="R63" i="15"/>
  <c r="U51" i="18"/>
  <c r="U16" i="18"/>
  <c r="X141" i="11"/>
  <c r="V207" i="13"/>
  <c r="W204" i="13" s="1"/>
  <c r="R409" i="6"/>
  <c r="X105" i="11"/>
  <c r="X119" i="11" s="1"/>
  <c r="W139" i="11"/>
  <c r="W142" i="11" s="1"/>
  <c r="W63" i="8"/>
  <c r="W143" i="8" s="1"/>
  <c r="W275" i="6"/>
  <c r="W279" i="6" s="1"/>
  <c r="W84" i="19" s="1"/>
  <c r="T61" i="12"/>
  <c r="T235" i="6"/>
  <c r="X258" i="6"/>
  <c r="T229" i="6"/>
  <c r="T94" i="12"/>
  <c r="X61" i="8"/>
  <c r="W119" i="11"/>
  <c r="W25" i="6"/>
  <c r="W27" i="6" s="1"/>
  <c r="W26" i="6" s="1"/>
  <c r="W106" i="11"/>
  <c r="X35" i="11"/>
  <c r="X47" i="11" s="1"/>
  <c r="U8" i="13"/>
  <c r="U10" i="8"/>
  <c r="U31" i="6"/>
  <c r="U18" i="6"/>
  <c r="T223" i="6"/>
  <c r="T224" i="6" s="1"/>
  <c r="T26" i="12"/>
  <c r="T234" i="12" s="1"/>
  <c r="W110" i="13"/>
  <c r="W112" i="13"/>
  <c r="X189" i="6"/>
  <c r="W40" i="18"/>
  <c r="W9" i="18"/>
  <c r="W10" i="18" s="1"/>
  <c r="Z60" i="11"/>
  <c r="Z5" i="6"/>
  <c r="Z12" i="11"/>
  <c r="Z24" i="11"/>
  <c r="Z14" i="11"/>
  <c r="T241" i="6"/>
  <c r="T128" i="12"/>
  <c r="Y128" i="11"/>
  <c r="Y126" i="11"/>
  <c r="Y35" i="11" s="1"/>
  <c r="Y47" i="11" s="1"/>
  <c r="Y124" i="11"/>
  <c r="Y34" i="11" s="1"/>
  <c r="Y46" i="11" s="1"/>
  <c r="Y130" i="11"/>
  <c r="Y113" i="11"/>
  <c r="Y111" i="11"/>
  <c r="Y109" i="11"/>
  <c r="Y91" i="11"/>
  <c r="Y93" i="11"/>
  <c r="Y140" i="11" s="1"/>
  <c r="Y97" i="11"/>
  <c r="Y18" i="11"/>
  <c r="Y117" i="11"/>
  <c r="Y115" i="11"/>
  <c r="Y29" i="11"/>
  <c r="Y95" i="11"/>
  <c r="W145" i="8"/>
  <c r="X289" i="6"/>
  <c r="X288" i="6"/>
  <c r="S46" i="12"/>
  <c r="T233" i="12" s="1"/>
  <c r="W7" i="8"/>
  <c r="W8" i="8" s="1"/>
  <c r="W26" i="18" s="1"/>
  <c r="W14" i="6"/>
  <c r="X87" i="11"/>
  <c r="S280" i="12"/>
  <c r="S147" i="12" s="1"/>
  <c r="V163" i="13"/>
  <c r="V165" i="13"/>
  <c r="U27" i="13"/>
  <c r="X25" i="6"/>
  <c r="X27" i="6" s="1"/>
  <c r="X26" i="6" s="1"/>
  <c r="X106" i="11"/>
  <c r="U59" i="12"/>
  <c r="U158" i="8"/>
  <c r="R15" i="15" s="1"/>
  <c r="U24" i="12"/>
  <c r="U161" i="12"/>
  <c r="U126" i="12"/>
  <c r="U92" i="12"/>
  <c r="W207" i="13"/>
  <c r="W209" i="13" s="1"/>
  <c r="Y61" i="11"/>
  <c r="Y65" i="11"/>
  <c r="V209" i="13"/>
  <c r="X165" i="6"/>
  <c r="X76" i="8"/>
  <c r="X139" i="11"/>
  <c r="X142" i="11" s="1"/>
  <c r="V43" i="18"/>
  <c r="AA60" i="11"/>
  <c r="AA12" i="11"/>
  <c r="AA24" i="11"/>
  <c r="AA14" i="11"/>
  <c r="Y345" i="6"/>
  <c r="Y347" i="6" s="1"/>
  <c r="Y97" i="8" s="1"/>
  <c r="Y281" i="6"/>
  <c r="Y284" i="6" s="1"/>
  <c r="Y85" i="8" s="1"/>
  <c r="Y217" i="6"/>
  <c r="Y220" i="6" s="1"/>
  <c r="Y69" i="8" s="1"/>
  <c r="Y340" i="6"/>
  <c r="Y343" i="6" s="1"/>
  <c r="Y91" i="8" s="1"/>
  <c r="Y256" i="6"/>
  <c r="Y259" i="6" s="1"/>
  <c r="Y286" i="6"/>
  <c r="Y291" i="6"/>
  <c r="Y293" i="6" s="1"/>
  <c r="Y183" i="6"/>
  <c r="Y160" i="6"/>
  <c r="Y166" i="6" s="1"/>
  <c r="Y13" i="6"/>
  <c r="Y7" i="6"/>
  <c r="X76" i="6"/>
  <c r="X43" i="13"/>
  <c r="X17" i="13" s="1"/>
  <c r="W20" i="13"/>
  <c r="S264" i="12"/>
  <c r="S113" i="12" s="1"/>
  <c r="W82" i="6"/>
  <c r="W81" i="6"/>
  <c r="X36" i="11"/>
  <c r="X48" i="11" s="1"/>
  <c r="V17" i="6"/>
  <c r="V23" i="6"/>
  <c r="X46" i="13"/>
  <c r="V84" i="8"/>
  <c r="R305" i="6"/>
  <c r="S299" i="6" s="1"/>
  <c r="R329" i="6"/>
  <c r="S248" i="12"/>
  <c r="X72" i="11"/>
  <c r="X66" i="11"/>
  <c r="X5" i="8"/>
  <c r="X10" i="6"/>
  <c r="X65" i="6"/>
  <c r="X55" i="6"/>
  <c r="X79" i="6"/>
  <c r="X82" i="6" s="1"/>
  <c r="X24" i="8" s="1"/>
  <c r="U12" i="15" s="1"/>
  <c r="U59" i="15" s="1"/>
  <c r="X187" i="6"/>
  <c r="X182" i="6" s="1"/>
  <c r="X195" i="6" s="1"/>
  <c r="X63" i="19" s="1"/>
  <c r="X209" i="6"/>
  <c r="X211" i="6" s="1"/>
  <c r="X65" i="8" s="1"/>
  <c r="X15" i="6"/>
  <c r="X7" i="19" s="1"/>
  <c r="X8" i="19" s="1"/>
  <c r="X6" i="6"/>
  <c r="X181" i="13"/>
  <c r="X183" i="13" s="1"/>
  <c r="X37" i="11"/>
  <c r="X49" i="11" s="1"/>
  <c r="W21" i="6"/>
  <c r="W101" i="11"/>
  <c r="W88" i="11"/>
  <c r="W42" i="18"/>
  <c r="S16" i="15"/>
  <c r="Y132" i="11"/>
  <c r="X123" i="11"/>
  <c r="X136" i="11" s="1"/>
  <c r="X38" i="11"/>
  <c r="Q29" i="12"/>
  <c r="R23" i="12"/>
  <c r="R28" i="12" s="1"/>
  <c r="Q6" i="12"/>
  <c r="Q257" i="12"/>
  <c r="Q69" i="12" s="1"/>
  <c r="Q289" i="12"/>
  <c r="Q136" i="12" s="1"/>
  <c r="W169" i="6"/>
  <c r="W176" i="6" s="1"/>
  <c r="W62" i="19" s="1"/>
  <c r="S160" i="12"/>
  <c r="R216" i="12"/>
  <c r="R246" i="6" s="1"/>
  <c r="R249" i="6" s="1"/>
  <c r="R277" i="12"/>
  <c r="S232" i="12"/>
  <c r="S45" i="12" s="1"/>
  <c r="V62" i="8"/>
  <c r="R125" i="12"/>
  <c r="Y134" i="11"/>
  <c r="X39" i="11"/>
  <c r="X51" i="11" s="1"/>
  <c r="V40" i="11"/>
  <c r="V52" i="11" s="1"/>
  <c r="V33" i="11"/>
  <c r="V42" i="11"/>
  <c r="Q273" i="12"/>
  <c r="Q102" i="12" s="1"/>
  <c r="R262" i="12"/>
  <c r="R112" i="12"/>
  <c r="S263" i="12" s="1"/>
  <c r="R277" i="6"/>
  <c r="R71" i="6" s="1"/>
  <c r="R271" i="6"/>
  <c r="R91" i="12"/>
  <c r="Q78" i="12"/>
  <c r="R246" i="12" s="1"/>
  <c r="Q242" i="12"/>
  <c r="Q35" i="12" s="1"/>
  <c r="S279" i="12"/>
  <c r="W32" i="11"/>
  <c r="W50" i="11"/>
  <c r="W44" i="11" s="1"/>
  <c r="Q44" i="12"/>
  <c r="R58" i="12"/>
  <c r="Q145" i="12"/>
  <c r="R278" i="12" s="1"/>
  <c r="S247" i="12"/>
  <c r="P142" i="6"/>
  <c r="P143" i="6"/>
  <c r="P128" i="6"/>
  <c r="P136" i="6" s="1"/>
  <c r="P43" i="8" s="1"/>
  <c r="P117" i="6"/>
  <c r="AC88" i="9"/>
  <c r="AB64" i="9"/>
  <c r="Y80" i="9"/>
  <c r="Z62" i="9"/>
  <c r="AS293" i="9"/>
  <c r="AS369" i="9" s="1"/>
  <c r="AT319" i="9"/>
  <c r="AA86" i="9"/>
  <c r="Z104" i="9"/>
  <c r="T3" i="9"/>
  <c r="S2" i="9"/>
  <c r="P2" i="8"/>
  <c r="Q3" i="8"/>
  <c r="U3" i="6"/>
  <c r="T2" i="6"/>
  <c r="T2" i="20" s="1"/>
  <c r="X2" i="5"/>
  <c r="Y3" i="5"/>
  <c r="Y87" i="8" l="1"/>
  <c r="Y87" i="19"/>
  <c r="Y144" i="19" s="1"/>
  <c r="W160" i="19"/>
  <c r="U30" i="6"/>
  <c r="U10" i="20"/>
  <c r="X142" i="19"/>
  <c r="R62" i="15"/>
  <c r="U15" i="18"/>
  <c r="R74" i="8"/>
  <c r="R74" i="19"/>
  <c r="X86" i="8"/>
  <c r="X86" i="19"/>
  <c r="S63" i="15"/>
  <c r="V51" i="18"/>
  <c r="V16" i="18"/>
  <c r="Y76" i="6"/>
  <c r="X63" i="8"/>
  <c r="X143" i="8" s="1"/>
  <c r="X275" i="6"/>
  <c r="X279" i="6" s="1"/>
  <c r="X84" i="19" s="1"/>
  <c r="W17" i="6"/>
  <c r="W23" i="6"/>
  <c r="Y76" i="8"/>
  <c r="AA61" i="11"/>
  <c r="AA65" i="11"/>
  <c r="U223" i="6"/>
  <c r="U224" i="6" s="1"/>
  <c r="U26" i="12"/>
  <c r="U235" i="12" s="1"/>
  <c r="V24" i="13"/>
  <c r="Z61" i="11"/>
  <c r="Z65" i="11"/>
  <c r="T47" i="12"/>
  <c r="U234" i="12" s="1"/>
  <c r="R330" i="6"/>
  <c r="R349" i="6"/>
  <c r="X81" i="6"/>
  <c r="W24" i="8"/>
  <c r="T12" i="15" s="1"/>
  <c r="T59" i="15" s="1"/>
  <c r="Y72" i="11"/>
  <c r="Y66" i="11"/>
  <c r="T280" i="12"/>
  <c r="T147" i="12" s="1"/>
  <c r="Y36" i="11"/>
  <c r="Y48" i="11" s="1"/>
  <c r="X145" i="8"/>
  <c r="Y178" i="13"/>
  <c r="Y180" i="13"/>
  <c r="Y5" i="8"/>
  <c r="Y79" i="6"/>
  <c r="Y10" i="6"/>
  <c r="Y65" i="6"/>
  <c r="Y55" i="6"/>
  <c r="Y187" i="6"/>
  <c r="Y209" i="6"/>
  <c r="Y211" i="6" s="1"/>
  <c r="Y65" i="8" s="1"/>
  <c r="Y15" i="6"/>
  <c r="Y7" i="19" s="1"/>
  <c r="Y8" i="19" s="1"/>
  <c r="Y6" i="6"/>
  <c r="U235" i="6"/>
  <c r="U61" i="12"/>
  <c r="Y87" i="11"/>
  <c r="T281" i="12"/>
  <c r="T148" i="12" s="1"/>
  <c r="W43" i="18"/>
  <c r="X40" i="18"/>
  <c r="X9" i="18"/>
  <c r="X10" i="18" s="1"/>
  <c r="Y258" i="6"/>
  <c r="X21" i="6"/>
  <c r="X101" i="11"/>
  <c r="X88" i="11"/>
  <c r="Y105" i="11"/>
  <c r="X7" i="8"/>
  <c r="X8" i="8" s="1"/>
  <c r="X26" i="18" s="1"/>
  <c r="X14" i="6"/>
  <c r="X20" i="13"/>
  <c r="Y43" i="13"/>
  <c r="Y17" i="13" s="1"/>
  <c r="Y165" i="6"/>
  <c r="Y61" i="8"/>
  <c r="X204" i="13"/>
  <c r="X206" i="13"/>
  <c r="Y141" i="11"/>
  <c r="Y139" i="11" s="1"/>
  <c r="Y142" i="11" s="1"/>
  <c r="T249" i="12"/>
  <c r="T81" i="12" s="1"/>
  <c r="V19" i="6"/>
  <c r="V22" i="6"/>
  <c r="Y189" i="6"/>
  <c r="U229" i="6"/>
  <c r="U94" i="12"/>
  <c r="W113" i="13"/>
  <c r="T265" i="12"/>
  <c r="T114" i="12" s="1"/>
  <c r="X42" i="18"/>
  <c r="T264" i="12"/>
  <c r="V29" i="6"/>
  <c r="V45" i="6"/>
  <c r="V9" i="12" s="1"/>
  <c r="V157" i="19" s="1"/>
  <c r="U241" i="6"/>
  <c r="U128" i="12"/>
  <c r="U11" i="13"/>
  <c r="U47" i="13" s="1"/>
  <c r="S302" i="6"/>
  <c r="S400" i="6" s="1"/>
  <c r="S405" i="6" s="1"/>
  <c r="Y37" i="11"/>
  <c r="Y49" i="11" s="1"/>
  <c r="Z130" i="11"/>
  <c r="Z128" i="11"/>
  <c r="Z126" i="11"/>
  <c r="Z124" i="11"/>
  <c r="Z34" i="11" s="1"/>
  <c r="Z46" i="11" s="1"/>
  <c r="Z115" i="11"/>
  <c r="Z29" i="11"/>
  <c r="Z113" i="11"/>
  <c r="Z111" i="11"/>
  <c r="Z109" i="11"/>
  <c r="Z91" i="11"/>
  <c r="Z93" i="11"/>
  <c r="Z97" i="11"/>
  <c r="Z18" i="11"/>
  <c r="Z117" i="11"/>
  <c r="Z95" i="11"/>
  <c r="P49" i="15"/>
  <c r="Y46" i="13"/>
  <c r="W84" i="8"/>
  <c r="S80" i="12"/>
  <c r="T248" i="12" s="1"/>
  <c r="Y289" i="6"/>
  <c r="Y288" i="6"/>
  <c r="AA130" i="11"/>
  <c r="AA128" i="11"/>
  <c r="AA126" i="11"/>
  <c r="AA124" i="11"/>
  <c r="AA34" i="11" s="1"/>
  <c r="AA46" i="11" s="1"/>
  <c r="AA117" i="11"/>
  <c r="AA115" i="11"/>
  <c r="AA29" i="11"/>
  <c r="AA113" i="11"/>
  <c r="AA111" i="11"/>
  <c r="AA109" i="11"/>
  <c r="AA91" i="11"/>
  <c r="AA93" i="11"/>
  <c r="AA97" i="11"/>
  <c r="AA18" i="11"/>
  <c r="AA95" i="11"/>
  <c r="V166" i="13"/>
  <c r="V25" i="13"/>
  <c r="T301" i="6" s="1"/>
  <c r="T46" i="12"/>
  <c r="U233" i="12" s="1"/>
  <c r="Z345" i="6"/>
  <c r="Z347" i="6" s="1"/>
  <c r="Z97" i="8" s="1"/>
  <c r="Z281" i="6"/>
  <c r="Z284" i="6" s="1"/>
  <c r="Z85" i="8" s="1"/>
  <c r="Z217" i="6"/>
  <c r="Z220" i="6" s="1"/>
  <c r="Z69" i="8" s="1"/>
  <c r="Z340" i="6"/>
  <c r="Z343" i="6" s="1"/>
  <c r="Z91" i="8" s="1"/>
  <c r="Z256" i="6"/>
  <c r="Z259" i="6" s="1"/>
  <c r="Z76" i="8" s="1"/>
  <c r="Z291" i="6"/>
  <c r="Z293" i="6" s="1"/>
  <c r="Z286" i="6"/>
  <c r="Z183" i="6"/>
  <c r="Z160" i="6"/>
  <c r="Z166" i="6" s="1"/>
  <c r="Z61" i="19" s="1"/>
  <c r="Z13" i="6"/>
  <c r="Z7" i="6"/>
  <c r="Z76" i="6" s="1"/>
  <c r="T16" i="15"/>
  <c r="S112" i="12"/>
  <c r="T263" i="12" s="1"/>
  <c r="W62" i="8"/>
  <c r="W161" i="8" s="1"/>
  <c r="R29" i="12"/>
  <c r="S23" i="12"/>
  <c r="S28" i="12" s="1"/>
  <c r="X169" i="6"/>
  <c r="X176" i="6" s="1"/>
  <c r="X62" i="19" s="1"/>
  <c r="T232" i="12"/>
  <c r="R289" i="12"/>
  <c r="R136" i="12" s="1"/>
  <c r="Q243" i="6"/>
  <c r="Q138" i="12"/>
  <c r="Q140" i="12" s="1"/>
  <c r="R63" i="12"/>
  <c r="W40" i="11"/>
  <c r="W52" i="11" s="1"/>
  <c r="W33" i="11"/>
  <c r="W42" i="11"/>
  <c r="Z134" i="11"/>
  <c r="Y39" i="11"/>
  <c r="Y51" i="11" s="1"/>
  <c r="S79" i="12"/>
  <c r="T247" i="12" s="1"/>
  <c r="R231" i="12"/>
  <c r="R44" i="12" s="1"/>
  <c r="R111" i="12"/>
  <c r="S262" i="12" s="1"/>
  <c r="R273" i="12"/>
  <c r="R102" i="12" s="1"/>
  <c r="S146" i="12"/>
  <c r="T279" i="12" s="1"/>
  <c r="R144" i="12"/>
  <c r="R78" i="12"/>
  <c r="S246" i="12" s="1"/>
  <c r="R257" i="12"/>
  <c r="R69" i="12" s="1"/>
  <c r="X32" i="11"/>
  <c r="X50" i="11"/>
  <c r="X44" i="11" s="1"/>
  <c r="R145" i="12"/>
  <c r="Q37" i="12"/>
  <c r="Q225" i="6"/>
  <c r="Q104" i="12"/>
  <c r="Q106" i="12" s="1"/>
  <c r="Q231" i="6"/>
  <c r="Q71" i="12"/>
  <c r="Q73" i="12" s="1"/>
  <c r="Q237" i="6"/>
  <c r="R96" i="12"/>
  <c r="V161" i="8"/>
  <c r="R130" i="12"/>
  <c r="S215" i="12"/>
  <c r="S164" i="12"/>
  <c r="Z132" i="11"/>
  <c r="Y38" i="11"/>
  <c r="Y123" i="11"/>
  <c r="Y136" i="11" s="1"/>
  <c r="Q117" i="6"/>
  <c r="R117" i="6" s="1"/>
  <c r="P145" i="6"/>
  <c r="P146" i="6"/>
  <c r="Z80" i="9"/>
  <c r="AA62" i="9"/>
  <c r="AB86" i="9"/>
  <c r="AA104" i="9"/>
  <c r="AU319" i="9"/>
  <c r="AT293" i="9"/>
  <c r="AT369" i="9" s="1"/>
  <c r="T2" i="9"/>
  <c r="U3" i="9"/>
  <c r="AD88" i="9"/>
  <c r="AD64" i="9" s="1"/>
  <c r="AC64" i="9"/>
  <c r="R3" i="8"/>
  <c r="Q2" i="8"/>
  <c r="U2" i="6"/>
  <c r="U2" i="20" s="1"/>
  <c r="V3" i="6"/>
  <c r="Y2" i="5"/>
  <c r="Z3" i="5"/>
  <c r="Z2" i="5" s="1"/>
  <c r="Z87" i="8" l="1"/>
  <c r="Z87" i="19"/>
  <c r="Z144" i="19" s="1"/>
  <c r="X160" i="19"/>
  <c r="Y86" i="8"/>
  <c r="Y145" i="8" s="1"/>
  <c r="Y86" i="19"/>
  <c r="T63" i="15"/>
  <c r="W51" i="18"/>
  <c r="W16" i="18"/>
  <c r="Z140" i="11"/>
  <c r="Z141" i="11"/>
  <c r="X207" i="13"/>
  <c r="Y182" i="6"/>
  <c r="Y195" i="6" s="1"/>
  <c r="Z105" i="11"/>
  <c r="Z25" i="6" s="1"/>
  <c r="Z27" i="6" s="1"/>
  <c r="Z26" i="6" s="1"/>
  <c r="Z37" i="11"/>
  <c r="Z49" i="11" s="1"/>
  <c r="AA87" i="11"/>
  <c r="AA88" i="11" s="1"/>
  <c r="AA35" i="11"/>
  <c r="AA47" i="11" s="1"/>
  <c r="AA105" i="11"/>
  <c r="AA106" i="11" s="1"/>
  <c r="AA36" i="11"/>
  <c r="AA48" i="11" s="1"/>
  <c r="S276" i="6"/>
  <c r="U48" i="13"/>
  <c r="U21" i="13" s="1"/>
  <c r="Y20" i="13"/>
  <c r="Z43" i="13"/>
  <c r="Z17" i="13" s="1"/>
  <c r="V59" i="12"/>
  <c r="V158" i="8"/>
  <c r="S15" i="15" s="1"/>
  <c r="V92" i="12"/>
  <c r="V24" i="12"/>
  <c r="V161" i="12"/>
  <c r="V126" i="12"/>
  <c r="U249" i="12"/>
  <c r="Z72" i="11"/>
  <c r="Z66" i="11"/>
  <c r="Z258" i="6"/>
  <c r="Z189" i="6"/>
  <c r="X110" i="13"/>
  <c r="X112" i="13"/>
  <c r="X17" i="6"/>
  <c r="X23" i="6"/>
  <c r="Z289" i="6"/>
  <c r="Z288" i="6"/>
  <c r="AA141" i="11"/>
  <c r="AA37" i="11"/>
  <c r="AA49" i="11" s="1"/>
  <c r="U266" i="12"/>
  <c r="U115" i="12" s="1"/>
  <c r="U281" i="12"/>
  <c r="V8" i="13"/>
  <c r="W19" i="6"/>
  <c r="W22" i="6"/>
  <c r="W163" i="13"/>
  <c r="W165" i="13"/>
  <c r="V27" i="13"/>
  <c r="Q49" i="15" s="1"/>
  <c r="S303" i="6"/>
  <c r="S304" i="6" s="1"/>
  <c r="S406" i="6"/>
  <c r="S407" i="6" s="1"/>
  <c r="Y21" i="6"/>
  <c r="Y101" i="11"/>
  <c r="Y88" i="11"/>
  <c r="V168" i="13"/>
  <c r="V28" i="13" s="1"/>
  <c r="T307" i="6" s="1"/>
  <c r="T72" i="6" s="1"/>
  <c r="W29" i="6"/>
  <c r="W45" i="6"/>
  <c r="W9" i="12" s="1"/>
  <c r="W157" i="19" s="1"/>
  <c r="Z61" i="8"/>
  <c r="Y204" i="13"/>
  <c r="Y206" i="13"/>
  <c r="U250" i="12"/>
  <c r="U82" i="12" s="1"/>
  <c r="Y42" i="18"/>
  <c r="U48" i="12"/>
  <c r="V235" i="12" s="1"/>
  <c r="U46" i="12"/>
  <c r="W115" i="13"/>
  <c r="U282" i="12"/>
  <c r="U149" i="12" s="1"/>
  <c r="X209" i="13"/>
  <c r="Y81" i="6"/>
  <c r="Y82" i="6"/>
  <c r="Y24" i="8" s="1"/>
  <c r="V12" i="15" s="1"/>
  <c r="V59" i="15" s="1"/>
  <c r="R92" i="8"/>
  <c r="R350" i="6"/>
  <c r="T113" i="12"/>
  <c r="U264" i="12" s="1"/>
  <c r="R6" i="12"/>
  <c r="Z5" i="8"/>
  <c r="Z79" i="6"/>
  <c r="Z10" i="6"/>
  <c r="Z65" i="6"/>
  <c r="Z55" i="6"/>
  <c r="Z187" i="6"/>
  <c r="Z209" i="6"/>
  <c r="Z211" i="6" s="1"/>
  <c r="Z65" i="8" s="1"/>
  <c r="Z15" i="6"/>
  <c r="Z7" i="19" s="1"/>
  <c r="Z8" i="19" s="1"/>
  <c r="Z6" i="6"/>
  <c r="T80" i="12"/>
  <c r="U248" i="12" s="1"/>
  <c r="Z139" i="11"/>
  <c r="Z142" i="11" s="1"/>
  <c r="Z35" i="11"/>
  <c r="Z47" i="11" s="1"/>
  <c r="U265" i="12"/>
  <c r="Y119" i="11"/>
  <c r="Y25" i="6"/>
  <c r="Y27" i="6" s="1"/>
  <c r="Y26" i="6" s="1"/>
  <c r="Y106" i="11"/>
  <c r="X43" i="18"/>
  <c r="Y9" i="18"/>
  <c r="Y10" i="18" s="1"/>
  <c r="Y40" i="18"/>
  <c r="U280" i="12"/>
  <c r="U147" i="12" s="1"/>
  <c r="AA72" i="11"/>
  <c r="AA66" i="11"/>
  <c r="Z46" i="13"/>
  <c r="X84" i="8"/>
  <c r="AA140" i="11"/>
  <c r="Z87" i="11"/>
  <c r="Z36" i="11"/>
  <c r="Z48" i="11" s="1"/>
  <c r="V10" i="8"/>
  <c r="V31" i="6"/>
  <c r="V18" i="6"/>
  <c r="Z165" i="6"/>
  <c r="Y7" i="8"/>
  <c r="Y8" i="8" s="1"/>
  <c r="Y26" i="18" s="1"/>
  <c r="Y14" i="6"/>
  <c r="Y181" i="13"/>
  <c r="Y183" i="13" s="1"/>
  <c r="U47" i="12"/>
  <c r="U16" i="15"/>
  <c r="S111" i="12"/>
  <c r="T262" i="12" s="1"/>
  <c r="S273" i="12"/>
  <c r="S102" i="12" s="1"/>
  <c r="S257" i="12"/>
  <c r="S69" i="12" s="1"/>
  <c r="AA132" i="11"/>
  <c r="Z38" i="11"/>
  <c r="Z123" i="11"/>
  <c r="Z136" i="11" s="1"/>
  <c r="R104" i="12"/>
  <c r="R231" i="6"/>
  <c r="S216" i="12"/>
  <c r="S246" i="6" s="1"/>
  <c r="S249" i="6" s="1"/>
  <c r="T160" i="12"/>
  <c r="X40" i="11"/>
  <c r="X52" i="11" s="1"/>
  <c r="X33" i="11"/>
  <c r="X42" i="11"/>
  <c r="T23" i="12"/>
  <c r="S29" i="12"/>
  <c r="R68" i="12"/>
  <c r="Q75" i="12"/>
  <c r="Q234" i="6" s="1"/>
  <c r="Q238" i="6" s="1"/>
  <c r="R242" i="12"/>
  <c r="R35" i="12" s="1"/>
  <c r="S231" i="12"/>
  <c r="R71" i="12"/>
  <c r="R237" i="6"/>
  <c r="S58" i="12"/>
  <c r="S125" i="12"/>
  <c r="S78" i="12"/>
  <c r="T246" i="12" s="1"/>
  <c r="T79" i="12"/>
  <c r="U247" i="12" s="1"/>
  <c r="R135" i="12"/>
  <c r="Q142" i="12"/>
  <c r="Q240" i="6" s="1"/>
  <c r="Q244" i="6" s="1"/>
  <c r="X62" i="8"/>
  <c r="X161" i="8" s="1"/>
  <c r="Y169" i="6"/>
  <c r="Y176" i="6" s="1"/>
  <c r="Y62" i="19" s="1"/>
  <c r="T112" i="12"/>
  <c r="U263" i="12" s="1"/>
  <c r="T146" i="12"/>
  <c r="AA134" i="11"/>
  <c r="AA39" i="11" s="1"/>
  <c r="AA51" i="11" s="1"/>
  <c r="Z39" i="11"/>
  <c r="Z51" i="11" s="1"/>
  <c r="R138" i="12"/>
  <c r="R243" i="6"/>
  <c r="T45" i="12"/>
  <c r="S91" i="12"/>
  <c r="R101" i="12"/>
  <c r="Q108" i="12"/>
  <c r="Q228" i="6" s="1"/>
  <c r="Q232" i="6" s="1"/>
  <c r="Q39" i="12"/>
  <c r="Q8" i="12"/>
  <c r="Q37" i="6" s="1"/>
  <c r="Y32" i="11"/>
  <c r="Y50" i="11"/>
  <c r="Y44" i="11" s="1"/>
  <c r="S277" i="12"/>
  <c r="S278" i="12"/>
  <c r="S117" i="6"/>
  <c r="T117" i="6"/>
  <c r="U117" i="6" s="1"/>
  <c r="U2" i="9"/>
  <c r="V3" i="9"/>
  <c r="AU293" i="9"/>
  <c r="AU369" i="9" s="1"/>
  <c r="AV319" i="9"/>
  <c r="AC86" i="9"/>
  <c r="AB104" i="9"/>
  <c r="AA80" i="9"/>
  <c r="AB62" i="9"/>
  <c r="S3" i="8"/>
  <c r="R2" i="8"/>
  <c r="W3" i="6"/>
  <c r="V2" i="6"/>
  <c r="V2" i="20" s="1"/>
  <c r="Y160" i="19" l="1"/>
  <c r="S156" i="6"/>
  <c r="S174" i="6"/>
  <c r="S175" i="6" s="1"/>
  <c r="S61" i="6" s="1"/>
  <c r="V30" i="6"/>
  <c r="V10" i="20"/>
  <c r="S62" i="15"/>
  <c r="V15" i="18"/>
  <c r="Q73" i="8"/>
  <c r="Q73" i="19"/>
  <c r="S74" i="8"/>
  <c r="S74" i="19"/>
  <c r="Q72" i="8"/>
  <c r="Q72" i="19"/>
  <c r="Q71" i="8"/>
  <c r="Q71" i="19"/>
  <c r="Z86" i="8"/>
  <c r="Z42" i="18" s="1"/>
  <c r="Z86" i="19"/>
  <c r="Y63" i="8"/>
  <c r="Y143" i="8" s="1"/>
  <c r="Y63" i="19"/>
  <c r="Z182" i="6"/>
  <c r="Z195" i="6" s="1"/>
  <c r="Z63" i="19" s="1"/>
  <c r="U63" i="15"/>
  <c r="X51" i="18"/>
  <c r="X16" i="18"/>
  <c r="AA139" i="11"/>
  <c r="AA142" i="11" s="1"/>
  <c r="AA101" i="11"/>
  <c r="Y43" i="18"/>
  <c r="Y275" i="6"/>
  <c r="Y279" i="6" s="1"/>
  <c r="Y84" i="19" s="1"/>
  <c r="Z106" i="11"/>
  <c r="Z119" i="11"/>
  <c r="Z145" i="8"/>
  <c r="Z169" i="6"/>
  <c r="AA119" i="11"/>
  <c r="S409" i="6"/>
  <c r="S408" i="6"/>
  <c r="U113" i="12"/>
  <c r="V264" i="12" s="1"/>
  <c r="V280" i="12"/>
  <c r="AA43" i="13"/>
  <c r="AA17" i="13" s="1"/>
  <c r="Z20" i="13"/>
  <c r="Z7" i="8"/>
  <c r="Z8" i="8" s="1"/>
  <c r="Z26" i="18" s="1"/>
  <c r="Z14" i="6"/>
  <c r="W59" i="12"/>
  <c r="W158" i="8"/>
  <c r="T15" i="15" s="1"/>
  <c r="W126" i="12"/>
  <c r="W24" i="12"/>
  <c r="W92" i="12"/>
  <c r="W161" i="12"/>
  <c r="X19" i="6"/>
  <c r="X22" i="6"/>
  <c r="V229" i="6"/>
  <c r="V94" i="12"/>
  <c r="V282" i="12"/>
  <c r="V149" i="12" s="1"/>
  <c r="V250" i="12"/>
  <c r="X29" i="6"/>
  <c r="X45" i="6"/>
  <c r="X9" i="12" s="1"/>
  <c r="X157" i="19" s="1"/>
  <c r="Y207" i="13"/>
  <c r="Y209" i="13" s="1"/>
  <c r="V266" i="12"/>
  <c r="V235" i="6"/>
  <c r="V61" i="12"/>
  <c r="V251" i="12" s="1"/>
  <c r="Z178" i="13"/>
  <c r="Z180" i="13"/>
  <c r="Z21" i="6"/>
  <c r="Z101" i="11"/>
  <c r="Z88" i="11"/>
  <c r="V234" i="12"/>
  <c r="R167" i="8"/>
  <c r="R98" i="8"/>
  <c r="W10" i="8"/>
  <c r="W31" i="6"/>
  <c r="W18" i="6"/>
  <c r="S277" i="6"/>
  <c r="S71" i="6" s="1"/>
  <c r="S271" i="6"/>
  <c r="V233" i="12"/>
  <c r="V46" i="12" s="1"/>
  <c r="S329" i="6"/>
  <c r="S305" i="6"/>
  <c r="T299" i="6" s="1"/>
  <c r="X113" i="13"/>
  <c r="X115" i="13" s="1"/>
  <c r="U81" i="12"/>
  <c r="V249" i="12" s="1"/>
  <c r="U114" i="12"/>
  <c r="Y17" i="6"/>
  <c r="Y23" i="6"/>
  <c r="T302" i="6"/>
  <c r="T400" i="6" s="1"/>
  <c r="T405" i="6" s="1"/>
  <c r="V11" i="13"/>
  <c r="V47" i="13" s="1"/>
  <c r="V241" i="6"/>
  <c r="V128" i="12"/>
  <c r="V283" i="12" s="1"/>
  <c r="U80" i="12"/>
  <c r="Z81" i="6"/>
  <c r="Z82" i="6"/>
  <c r="Z24" i="8" s="1"/>
  <c r="W12" i="15" s="1"/>
  <c r="W59" i="15" s="1"/>
  <c r="V48" i="12"/>
  <c r="W166" i="13"/>
  <c r="W168" i="13" s="1"/>
  <c r="W28" i="13" s="1"/>
  <c r="U307" i="6" s="1"/>
  <c r="U72" i="6" s="1"/>
  <c r="W25" i="13"/>
  <c r="U301" i="6" s="1"/>
  <c r="Z40" i="18"/>
  <c r="Z9" i="18"/>
  <c r="W24" i="13"/>
  <c r="U148" i="12"/>
  <c r="V26" i="12"/>
  <c r="V223" i="6"/>
  <c r="V224" i="6" s="1"/>
  <c r="V16" i="15"/>
  <c r="S130" i="12"/>
  <c r="R225" i="6"/>
  <c r="R37" i="12"/>
  <c r="R8" i="12" s="1"/>
  <c r="R37" i="6" s="1"/>
  <c r="Z32" i="11"/>
  <c r="Z50" i="11"/>
  <c r="Z44" i="11" s="1"/>
  <c r="AA38" i="11"/>
  <c r="AA123" i="11"/>
  <c r="AA136" i="11" s="1"/>
  <c r="T164" i="12"/>
  <c r="T215" i="12"/>
  <c r="S71" i="12"/>
  <c r="S237" i="6"/>
  <c r="T257" i="12"/>
  <c r="T69" i="12" s="1"/>
  <c r="R73" i="12"/>
  <c r="R74" i="12"/>
  <c r="S96" i="12"/>
  <c r="Y40" i="11"/>
  <c r="Y52" i="11" s="1"/>
  <c r="Y33" i="11"/>
  <c r="Y42" i="11"/>
  <c r="U79" i="12"/>
  <c r="U279" i="12"/>
  <c r="S104" i="12"/>
  <c r="S231" i="6"/>
  <c r="R106" i="12"/>
  <c r="R107" i="12"/>
  <c r="S145" i="12"/>
  <c r="U112" i="12"/>
  <c r="V263" i="12" s="1"/>
  <c r="R140" i="12"/>
  <c r="R141" i="12"/>
  <c r="Y62" i="8"/>
  <c r="Q40" i="6"/>
  <c r="Q15" i="19" s="1"/>
  <c r="Q131" i="19" s="1"/>
  <c r="Q33" i="6"/>
  <c r="T78" i="12"/>
  <c r="U246" i="12" s="1"/>
  <c r="U232" i="12"/>
  <c r="U45" i="12" s="1"/>
  <c r="T28" i="12"/>
  <c r="T273" i="12"/>
  <c r="T102" i="12" s="1"/>
  <c r="S289" i="12"/>
  <c r="S136" i="12" s="1"/>
  <c r="S63" i="12"/>
  <c r="R34" i="12"/>
  <c r="Q41" i="12"/>
  <c r="S144" i="12"/>
  <c r="T277" i="12" s="1"/>
  <c r="S242" i="12"/>
  <c r="S35" i="12" s="1"/>
  <c r="S44" i="12"/>
  <c r="T111" i="12"/>
  <c r="U262" i="12" s="1"/>
  <c r="U273" i="12" s="1"/>
  <c r="U102" i="12" s="1"/>
  <c r="V117" i="6"/>
  <c r="W117" i="6" s="1"/>
  <c r="X117" i="6" s="1"/>
  <c r="AD86" i="9"/>
  <c r="AD104" i="9" s="1"/>
  <c r="AC104" i="9"/>
  <c r="AB80" i="9"/>
  <c r="AC62" i="9"/>
  <c r="AV293" i="9"/>
  <c r="AV369" i="9" s="1"/>
  <c r="AW319" i="9"/>
  <c r="V2" i="9"/>
  <c r="W3" i="9"/>
  <c r="T3" i="8"/>
  <c r="S2" i="8"/>
  <c r="X3" i="6"/>
  <c r="W2" i="6"/>
  <c r="W2" i="20" s="1"/>
  <c r="Z176" i="6" l="1"/>
  <c r="Z62" i="19" s="1"/>
  <c r="Z160" i="19" s="1"/>
  <c r="Z170" i="6"/>
  <c r="Z63" i="8"/>
  <c r="W16" i="15" s="1"/>
  <c r="W63" i="15" s="1"/>
  <c r="AA46" i="13"/>
  <c r="W30" i="6"/>
  <c r="W10" i="20"/>
  <c r="Z43" i="18"/>
  <c r="Z142" i="19"/>
  <c r="Y142" i="19"/>
  <c r="T62" i="15"/>
  <c r="W15" i="18"/>
  <c r="Y84" i="8"/>
  <c r="V63" i="15"/>
  <c r="Y51" i="18"/>
  <c r="Y16" i="18"/>
  <c r="Z275" i="6"/>
  <c r="Z279" i="6" s="1"/>
  <c r="Z84" i="19" s="1"/>
  <c r="Z62" i="8"/>
  <c r="Z161" i="8" s="1"/>
  <c r="Z143" i="8"/>
  <c r="Z181" i="13"/>
  <c r="Z10" i="18"/>
  <c r="T303" i="6"/>
  <c r="T304" i="6" s="1"/>
  <c r="T406" i="6"/>
  <c r="T407" i="6" s="1"/>
  <c r="T409" i="6" s="1"/>
  <c r="V267" i="12"/>
  <c r="V116" i="12" s="1"/>
  <c r="Y19" i="6"/>
  <c r="Y22" i="6"/>
  <c r="X116" i="13"/>
  <c r="Y110" i="13"/>
  <c r="Y112" i="13"/>
  <c r="W235" i="6"/>
  <c r="W61" i="12"/>
  <c r="Y29" i="6"/>
  <c r="Y45" i="6"/>
  <c r="Y9" i="12" s="1"/>
  <c r="Y157" i="19" s="1"/>
  <c r="V115" i="12"/>
  <c r="W266" i="12" s="1"/>
  <c r="V113" i="12"/>
  <c r="W264" i="12" s="1"/>
  <c r="V236" i="12"/>
  <c r="V49" i="12" s="1"/>
  <c r="W235" i="12"/>
  <c r="S330" i="6"/>
  <c r="S349" i="6"/>
  <c r="Z17" i="6"/>
  <c r="Z23" i="6"/>
  <c r="Z204" i="13"/>
  <c r="Z206" i="13"/>
  <c r="Z207" i="13" s="1"/>
  <c r="X10" i="8"/>
  <c r="X31" i="6"/>
  <c r="X18" i="6"/>
  <c r="V150" i="12"/>
  <c r="W283" i="12" s="1"/>
  <c r="AA178" i="13"/>
  <c r="AA180" i="13"/>
  <c r="AA181" i="13" s="1"/>
  <c r="X158" i="8"/>
  <c r="U15" i="15" s="1"/>
  <c r="X24" i="12"/>
  <c r="X161" i="12"/>
  <c r="X126" i="12"/>
  <c r="X92" i="12"/>
  <c r="X59" i="12"/>
  <c r="V281" i="12"/>
  <c r="V148" i="12" s="1"/>
  <c r="W233" i="12"/>
  <c r="W46" i="12" s="1"/>
  <c r="Z183" i="13"/>
  <c r="W94" i="12"/>
  <c r="W229" i="6"/>
  <c r="AB43" i="13"/>
  <c r="AB17" i="13" s="1"/>
  <c r="AA20" i="13"/>
  <c r="V48" i="13"/>
  <c r="V21" i="13" s="1"/>
  <c r="T276" i="6"/>
  <c r="V81" i="12"/>
  <c r="W249" i="12" s="1"/>
  <c r="V47" i="12"/>
  <c r="V82" i="12"/>
  <c r="W250" i="12" s="1"/>
  <c r="W223" i="6"/>
  <c r="W224" i="6" s="1"/>
  <c r="W26" i="12"/>
  <c r="W8" i="13"/>
  <c r="X163" i="13"/>
  <c r="X165" i="13"/>
  <c r="W27" i="13"/>
  <c r="V265" i="12"/>
  <c r="V83" i="12"/>
  <c r="W282" i="12"/>
  <c r="W241" i="6"/>
  <c r="W128" i="12"/>
  <c r="V147" i="12"/>
  <c r="V248" i="12"/>
  <c r="V112" i="12"/>
  <c r="W263" i="12" s="1"/>
  <c r="R40" i="6"/>
  <c r="R15" i="19" s="1"/>
  <c r="R131" i="19" s="1"/>
  <c r="R33" i="6"/>
  <c r="U257" i="12"/>
  <c r="U69" i="12" s="1"/>
  <c r="Q222" i="6"/>
  <c r="Q7" i="12"/>
  <c r="Y161" i="8"/>
  <c r="T144" i="12"/>
  <c r="U277" i="12" s="1"/>
  <c r="S101" i="12"/>
  <c r="R108" i="12"/>
  <c r="R228" i="6" s="1"/>
  <c r="R232" i="6" s="1"/>
  <c r="T91" i="12"/>
  <c r="Z42" i="11"/>
  <c r="Z40" i="11"/>
  <c r="Z52" i="11" s="1"/>
  <c r="Z33" i="11"/>
  <c r="Q15" i="8"/>
  <c r="Q13" i="20" s="1"/>
  <c r="Q38" i="6"/>
  <c r="Q41" i="6" s="1"/>
  <c r="Q35" i="6"/>
  <c r="Q12" i="19" s="1"/>
  <c r="Q13" i="19" s="1"/>
  <c r="U231" i="6"/>
  <c r="U104" i="12"/>
  <c r="T231" i="6"/>
  <c r="T104" i="12"/>
  <c r="R40" i="12"/>
  <c r="R39" i="12"/>
  <c r="S135" i="12"/>
  <c r="R142" i="12"/>
  <c r="R240" i="6" s="1"/>
  <c r="R244" i="6" s="1"/>
  <c r="AA32" i="11"/>
  <c r="AA50" i="11"/>
  <c r="AA44" i="11" s="1"/>
  <c r="U111" i="12"/>
  <c r="T29" i="12"/>
  <c r="U23" i="12"/>
  <c r="V232" i="12"/>
  <c r="S68" i="12"/>
  <c r="R75" i="12"/>
  <c r="R234" i="6" s="1"/>
  <c r="R238" i="6" s="1"/>
  <c r="T231" i="12"/>
  <c r="T44" i="12" s="1"/>
  <c r="T58" i="12"/>
  <c r="S6" i="12"/>
  <c r="U78" i="12"/>
  <c r="V246" i="12" s="1"/>
  <c r="V247" i="12"/>
  <c r="U160" i="12"/>
  <c r="T216" i="12"/>
  <c r="T246" i="6" s="1"/>
  <c r="T249" i="6" s="1"/>
  <c r="T71" i="12"/>
  <c r="T237" i="6"/>
  <c r="S37" i="12"/>
  <c r="S225" i="6"/>
  <c r="S243" i="6"/>
  <c r="S138" i="12"/>
  <c r="T278" i="12"/>
  <c r="T289" i="12" s="1"/>
  <c r="T136" i="12" s="1"/>
  <c r="U146" i="12"/>
  <c r="T125" i="12"/>
  <c r="Y117" i="6"/>
  <c r="Z117" i="6" s="1"/>
  <c r="AW293" i="9"/>
  <c r="AW369" i="9" s="1"/>
  <c r="AX319" i="9"/>
  <c r="AD62" i="9"/>
  <c r="AD80" i="9" s="1"/>
  <c r="AC80" i="9"/>
  <c r="X3" i="9"/>
  <c r="W2" i="9"/>
  <c r="U3" i="8"/>
  <c r="T2" i="8"/>
  <c r="X2" i="6"/>
  <c r="X2" i="20" s="1"/>
  <c r="Y3" i="6"/>
  <c r="X30" i="6" l="1"/>
  <c r="X10" i="20"/>
  <c r="Z16" i="18"/>
  <c r="Z51" i="18"/>
  <c r="U62" i="15"/>
  <c r="X15" i="18"/>
  <c r="R71" i="8"/>
  <c r="R71" i="19"/>
  <c r="R72" i="8"/>
  <c r="R72" i="19"/>
  <c r="R73" i="8"/>
  <c r="R73" i="19"/>
  <c r="T74" i="8"/>
  <c r="T74" i="19"/>
  <c r="Z84" i="8"/>
  <c r="AB46" i="13"/>
  <c r="AB20" i="13" s="1"/>
  <c r="T174" i="6"/>
  <c r="T175" i="6" s="1"/>
  <c r="T61" i="6" s="1"/>
  <c r="T156" i="6"/>
  <c r="W115" i="12"/>
  <c r="X266" i="12"/>
  <c r="X233" i="12"/>
  <c r="X46" i="12" s="1"/>
  <c r="W236" i="12"/>
  <c r="W49" i="12" s="1"/>
  <c r="X223" i="6"/>
  <c r="X224" i="6" s="1"/>
  <c r="X26" i="12"/>
  <c r="Y113" i="13"/>
  <c r="S92" i="8"/>
  <c r="S350" i="6"/>
  <c r="Y158" i="8"/>
  <c r="V15" i="15" s="1"/>
  <c r="Y92" i="12"/>
  <c r="Y24" i="12"/>
  <c r="Y126" i="12"/>
  <c r="Y161" i="12"/>
  <c r="Y59" i="12"/>
  <c r="U302" i="6"/>
  <c r="U400" i="6" s="1"/>
  <c r="U405" i="6" s="1"/>
  <c r="W11" i="13"/>
  <c r="W47" i="13" s="1"/>
  <c r="AB178" i="13"/>
  <c r="AB180" i="13"/>
  <c r="T408" i="6"/>
  <c r="W237" i="12"/>
  <c r="W50" i="12" s="1"/>
  <c r="X166" i="13"/>
  <c r="X25" i="13"/>
  <c r="V301" i="6" s="1"/>
  <c r="W281" i="12"/>
  <c r="AA183" i="13"/>
  <c r="V80" i="12"/>
  <c r="Y10" i="8"/>
  <c r="Y31" i="6"/>
  <c r="Y18" i="6"/>
  <c r="W284" i="12"/>
  <c r="W151" i="12" s="1"/>
  <c r="X24" i="13"/>
  <c r="W82" i="12"/>
  <c r="X235" i="6"/>
  <c r="X61" i="12"/>
  <c r="X253" i="12" s="1"/>
  <c r="AA204" i="13"/>
  <c r="AA206" i="13"/>
  <c r="W252" i="12"/>
  <c r="W84" i="12" s="1"/>
  <c r="W280" i="12"/>
  <c r="W147" i="12" s="1"/>
  <c r="T305" i="6"/>
  <c r="U299" i="6" s="1"/>
  <c r="T329" i="6"/>
  <c r="R49" i="15"/>
  <c r="X94" i="12"/>
  <c r="X269" i="12" s="1"/>
  <c r="X229" i="6"/>
  <c r="V114" i="12"/>
  <c r="W265" i="12" s="1"/>
  <c r="Z209" i="13"/>
  <c r="W48" i="12"/>
  <c r="W149" i="12"/>
  <c r="X282" i="12" s="1"/>
  <c r="W81" i="12"/>
  <c r="X241" i="6"/>
  <c r="X128" i="12"/>
  <c r="W150" i="12"/>
  <c r="X283" i="12" s="1"/>
  <c r="Z19" i="6"/>
  <c r="Z22" i="6"/>
  <c r="W113" i="12"/>
  <c r="W267" i="12"/>
  <c r="W116" i="12" s="1"/>
  <c r="W251" i="12"/>
  <c r="W83" i="12" s="1"/>
  <c r="T277" i="6"/>
  <c r="T71" i="6" s="1"/>
  <c r="T271" i="6"/>
  <c r="W268" i="12"/>
  <c r="Z29" i="6"/>
  <c r="Z45" i="6"/>
  <c r="Z9" i="12" s="1"/>
  <c r="Z157" i="19" s="1"/>
  <c r="W234" i="12"/>
  <c r="W47" i="12" s="1"/>
  <c r="V257" i="12"/>
  <c r="V69" i="12" s="1"/>
  <c r="V45" i="12"/>
  <c r="W232" i="12" s="1"/>
  <c r="W45" i="12" s="1"/>
  <c r="X232" i="12" s="1"/>
  <c r="Q226" i="6"/>
  <c r="Q70" i="19" s="1"/>
  <c r="Q77" i="19" s="1"/>
  <c r="Q261" i="6"/>
  <c r="T138" i="12"/>
  <c r="T243" i="6"/>
  <c r="U237" i="6"/>
  <c r="U71" i="12"/>
  <c r="T96" i="12"/>
  <c r="U28" i="12"/>
  <c r="S140" i="12"/>
  <c r="S141" i="12"/>
  <c r="Q12" i="8"/>
  <c r="Q34" i="6"/>
  <c r="Q47" i="6"/>
  <c r="Q18" i="19" s="1"/>
  <c r="Q19" i="19" s="1"/>
  <c r="AA33" i="11"/>
  <c r="AA42" i="11"/>
  <c r="AA40" i="11"/>
  <c r="AA52" i="11" s="1"/>
  <c r="V78" i="12"/>
  <c r="T130" i="12"/>
  <c r="T63" i="12"/>
  <c r="T242" i="12"/>
  <c r="T35" i="12" s="1"/>
  <c r="U231" i="12"/>
  <c r="U44" i="12" s="1"/>
  <c r="S34" i="12"/>
  <c r="R41" i="12"/>
  <c r="S106" i="12"/>
  <c r="S107" i="12"/>
  <c r="R15" i="8"/>
  <c r="R13" i="20" s="1"/>
  <c r="R38" i="6"/>
  <c r="R41" i="6" s="1"/>
  <c r="R35" i="6"/>
  <c r="R12" i="19" s="1"/>
  <c r="R13" i="19" s="1"/>
  <c r="V262" i="12"/>
  <c r="V273" i="12" s="1"/>
  <c r="V102" i="12" s="1"/>
  <c r="N13" i="15"/>
  <c r="Q132" i="8"/>
  <c r="U144" i="12"/>
  <c r="T145" i="12"/>
  <c r="U164" i="12"/>
  <c r="U215" i="12"/>
  <c r="S8" i="12"/>
  <c r="S37" i="6" s="1"/>
  <c r="V79" i="12"/>
  <c r="W247" i="12" s="1"/>
  <c r="S73" i="12"/>
  <c r="S74" i="12"/>
  <c r="V279" i="12"/>
  <c r="V146" i="12" s="1"/>
  <c r="W112" i="12"/>
  <c r="X263" i="12" s="1"/>
  <c r="Y3" i="9"/>
  <c r="X2" i="9"/>
  <c r="AX293" i="9"/>
  <c r="AX369" i="9" s="1"/>
  <c r="AY319" i="9"/>
  <c r="V3" i="8"/>
  <c r="U2" i="8"/>
  <c r="Z3" i="6"/>
  <c r="Y2" i="6"/>
  <c r="Y2" i="20" s="1"/>
  <c r="Q13" i="8" l="1"/>
  <c r="Q27" i="18" s="1"/>
  <c r="Q11" i="20"/>
  <c r="Q15" i="20" s="1"/>
  <c r="Y30" i="6"/>
  <c r="Y10" i="20"/>
  <c r="V62" i="15"/>
  <c r="Y15" i="18"/>
  <c r="N60" i="15"/>
  <c r="Q14" i="18"/>
  <c r="AB181" i="13"/>
  <c r="X251" i="12"/>
  <c r="X83" i="12" s="1"/>
  <c r="X236" i="12"/>
  <c r="X49" i="12" s="1"/>
  <c r="X264" i="12"/>
  <c r="X113" i="12" s="1"/>
  <c r="W48" i="13"/>
  <c r="W21" i="13" s="1"/>
  <c r="U276" i="6"/>
  <c r="X118" i="12"/>
  <c r="Y269" i="12" s="1"/>
  <c r="Y241" i="6"/>
  <c r="Y128" i="12"/>
  <c r="X238" i="12"/>
  <c r="X51" i="12" s="1"/>
  <c r="Y238" i="12" s="1"/>
  <c r="AA207" i="13"/>
  <c r="X284" i="12"/>
  <c r="Y163" i="13"/>
  <c r="Y165" i="13"/>
  <c r="X27" i="13"/>
  <c r="S49" i="15" s="1"/>
  <c r="AB183" i="13"/>
  <c r="Y26" i="12"/>
  <c r="Y223" i="6"/>
  <c r="Y224" i="6" s="1"/>
  <c r="X149" i="12"/>
  <c r="Y282" i="12" s="1"/>
  <c r="AA209" i="13"/>
  <c r="Y229" i="6"/>
  <c r="Y94" i="12"/>
  <c r="X150" i="12"/>
  <c r="Y283" i="12" s="1"/>
  <c r="X85" i="12"/>
  <c r="Y253" i="12" s="1"/>
  <c r="Z10" i="8"/>
  <c r="Z31" i="6"/>
  <c r="Z18" i="6"/>
  <c r="T330" i="6"/>
  <c r="T349" i="6"/>
  <c r="X237" i="12"/>
  <c r="X50" i="12" s="1"/>
  <c r="U303" i="6"/>
  <c r="U304" i="6" s="1"/>
  <c r="U406" i="6"/>
  <c r="U407" i="6" s="1"/>
  <c r="U409" i="6" s="1"/>
  <c r="W117" i="12"/>
  <c r="X268" i="12" s="1"/>
  <c r="V111" i="12"/>
  <c r="W262" i="12" s="1"/>
  <c r="W111" i="12" s="1"/>
  <c r="X234" i="12"/>
  <c r="X285" i="12"/>
  <c r="X152" i="12" s="1"/>
  <c r="X250" i="12"/>
  <c r="W248" i="12"/>
  <c r="S167" i="8"/>
  <c r="S98" i="8"/>
  <c r="Y233" i="12"/>
  <c r="Z158" i="8"/>
  <c r="W15" i="15" s="1"/>
  <c r="Z161" i="12"/>
  <c r="Z126" i="12"/>
  <c r="Z59" i="12"/>
  <c r="Z92" i="12"/>
  <c r="Z24" i="12"/>
  <c r="X267" i="12"/>
  <c r="X116" i="12" s="1"/>
  <c r="W114" i="12"/>
  <c r="X280" i="12"/>
  <c r="X8" i="13"/>
  <c r="Y235" i="6"/>
  <c r="Y61" i="12"/>
  <c r="Y254" i="12" s="1"/>
  <c r="Y86" i="12" s="1"/>
  <c r="X249" i="12"/>
  <c r="X81" i="12" s="1"/>
  <c r="X252" i="12"/>
  <c r="X168" i="13"/>
  <c r="X28" i="13" s="1"/>
  <c r="V307" i="6" s="1"/>
  <c r="V72" i="6" s="1"/>
  <c r="W148" i="12"/>
  <c r="X281" i="12" s="1"/>
  <c r="X235" i="12"/>
  <c r="Y115" i="13"/>
  <c r="Z110" i="13"/>
  <c r="Z112" i="13"/>
  <c r="X115" i="12"/>
  <c r="Y266" i="12" s="1"/>
  <c r="U58" i="12"/>
  <c r="T6" i="12"/>
  <c r="V23" i="12"/>
  <c r="U29" i="12"/>
  <c r="W279" i="12"/>
  <c r="R7" i="12"/>
  <c r="R222" i="6"/>
  <c r="Q46" i="6"/>
  <c r="Q18" i="8"/>
  <c r="S40" i="12"/>
  <c r="S39" i="12"/>
  <c r="Q70" i="8"/>
  <c r="Q262" i="6"/>
  <c r="Q393" i="6"/>
  <c r="U91" i="12"/>
  <c r="X45" i="12"/>
  <c r="Y232" i="12" s="1"/>
  <c r="U216" i="12"/>
  <c r="U246" i="6" s="1"/>
  <c r="U249" i="6" s="1"/>
  <c r="V160" i="12"/>
  <c r="R12" i="8"/>
  <c r="R47" i="6"/>
  <c r="R18" i="19" s="1"/>
  <c r="R19" i="19" s="1"/>
  <c r="R34" i="6"/>
  <c r="T37" i="12"/>
  <c r="T8" i="12" s="1"/>
  <c r="T37" i="6" s="1"/>
  <c r="T225" i="6"/>
  <c r="V277" i="12"/>
  <c r="T68" i="12"/>
  <c r="S75" i="12"/>
  <c r="S234" i="6" s="1"/>
  <c r="S238" i="6" s="1"/>
  <c r="W79" i="12"/>
  <c r="V231" i="12"/>
  <c r="U242" i="12"/>
  <c r="U35" i="12" s="1"/>
  <c r="X112" i="12"/>
  <c r="Y263" i="12" s="1"/>
  <c r="U278" i="12"/>
  <c r="U145" i="12" s="1"/>
  <c r="T135" i="12"/>
  <c r="S142" i="12"/>
  <c r="S240" i="6" s="1"/>
  <c r="S244" i="6" s="1"/>
  <c r="W246" i="12"/>
  <c r="T101" i="12"/>
  <c r="S108" i="12"/>
  <c r="S228" i="6" s="1"/>
  <c r="S232" i="6" s="1"/>
  <c r="S40" i="6"/>
  <c r="S15" i="19" s="1"/>
  <c r="S131" i="19" s="1"/>
  <c r="S33" i="6"/>
  <c r="U125" i="12"/>
  <c r="V231" i="6"/>
  <c r="V104" i="12"/>
  <c r="O13" i="15"/>
  <c r="R132" i="8"/>
  <c r="V71" i="12"/>
  <c r="V237" i="6"/>
  <c r="AY293" i="9"/>
  <c r="AY369" i="9" s="1"/>
  <c r="AZ319" i="9"/>
  <c r="Z3" i="9"/>
  <c r="Y2" i="9"/>
  <c r="W3" i="8"/>
  <c r="V2" i="8"/>
  <c r="AA3" i="6"/>
  <c r="Z2" i="6"/>
  <c r="Z2" i="20" s="1"/>
  <c r="R13" i="8" l="1"/>
  <c r="R27" i="18" s="1"/>
  <c r="R11" i="20"/>
  <c r="R15" i="20" s="1"/>
  <c r="Z30" i="6"/>
  <c r="Z10" i="20"/>
  <c r="W62" i="15"/>
  <c r="Z15" i="18"/>
  <c r="S71" i="8"/>
  <c r="S71" i="19"/>
  <c r="O60" i="15"/>
  <c r="R14" i="18"/>
  <c r="S72" i="8"/>
  <c r="S72" i="19"/>
  <c r="S73" i="8"/>
  <c r="S73" i="19"/>
  <c r="U74" i="8"/>
  <c r="U74" i="19"/>
  <c r="U174" i="6"/>
  <c r="U175" i="6" s="1"/>
  <c r="U61" i="6" s="1"/>
  <c r="U156" i="6"/>
  <c r="Y166" i="13"/>
  <c r="Y25" i="13"/>
  <c r="W301" i="6" s="1"/>
  <c r="Y286" i="12"/>
  <c r="X147" i="12"/>
  <c r="Y168" i="13"/>
  <c r="Y28" i="13" s="1"/>
  <c r="W307" i="6" s="1"/>
  <c r="W72" i="6" s="1"/>
  <c r="Y24" i="13"/>
  <c r="Y264" i="12"/>
  <c r="Y113" i="12" s="1"/>
  <c r="Y46" i="12"/>
  <c r="Z233" i="12" s="1"/>
  <c r="Z46" i="12" s="1"/>
  <c r="Y285" i="12"/>
  <c r="Y152" i="12" s="1"/>
  <c r="Z285" i="12" s="1"/>
  <c r="Z152" i="12" s="1"/>
  <c r="U305" i="6"/>
  <c r="V299" i="6" s="1"/>
  <c r="U329" i="6"/>
  <c r="X151" i="12"/>
  <c r="Y237" i="12"/>
  <c r="Y50" i="12" s="1"/>
  <c r="Z237" i="12" s="1"/>
  <c r="Z50" i="12" s="1"/>
  <c r="Y85" i="12"/>
  <c r="Y149" i="12"/>
  <c r="AB204" i="13"/>
  <c r="AB206" i="13"/>
  <c r="X84" i="12"/>
  <c r="Z223" i="6"/>
  <c r="Z224" i="6" s="1"/>
  <c r="Z26" i="12"/>
  <c r="Z240" i="12" s="1"/>
  <c r="Z53" i="12" s="1"/>
  <c r="X265" i="12"/>
  <c r="X114" i="12" s="1"/>
  <c r="X47" i="12"/>
  <c r="Y234" i="12" s="1"/>
  <c r="Y236" i="12"/>
  <c r="Y49" i="12" s="1"/>
  <c r="Z236" i="12" s="1"/>
  <c r="Z49" i="12" s="1"/>
  <c r="AA49" i="12" s="1"/>
  <c r="AB49" i="12" s="1"/>
  <c r="AC49" i="12" s="1"/>
  <c r="AD49" i="12" s="1"/>
  <c r="AE49" i="12" s="1"/>
  <c r="AF49" i="12" s="1"/>
  <c r="AG49" i="12" s="1"/>
  <c r="AH49" i="12" s="1"/>
  <c r="Y249" i="12"/>
  <c r="Y81" i="12" s="1"/>
  <c r="Z249" i="12" s="1"/>
  <c r="Z81" i="12" s="1"/>
  <c r="Z229" i="6"/>
  <c r="Z94" i="12"/>
  <c r="Z271" i="12" s="1"/>
  <c r="Z120" i="12" s="1"/>
  <c r="X48" i="12"/>
  <c r="Y235" i="12" s="1"/>
  <c r="T92" i="8"/>
  <c r="T350" i="6"/>
  <c r="Y150" i="12"/>
  <c r="Z283" i="12" s="1"/>
  <c r="Z150" i="12" s="1"/>
  <c r="Y239" i="12"/>
  <c r="Y52" i="12" s="1"/>
  <c r="Y51" i="12"/>
  <c r="Z238" i="12" s="1"/>
  <c r="Y118" i="12"/>
  <c r="Y115" i="12"/>
  <c r="Z266" i="12" s="1"/>
  <c r="Z115" i="12" s="1"/>
  <c r="Z113" i="13"/>
  <c r="Y267" i="12"/>
  <c r="Z235" i="6"/>
  <c r="Z61" i="12"/>
  <c r="W80" i="12"/>
  <c r="X117" i="12"/>
  <c r="U277" i="6"/>
  <c r="U71" i="6" s="1"/>
  <c r="U271" i="6"/>
  <c r="Y251" i="12"/>
  <c r="Y83" i="12" s="1"/>
  <c r="X148" i="12"/>
  <c r="Z241" i="6"/>
  <c r="Z128" i="12"/>
  <c r="X82" i="12"/>
  <c r="Y250" i="12" s="1"/>
  <c r="U408" i="6"/>
  <c r="Y270" i="12"/>
  <c r="Y119" i="12" s="1"/>
  <c r="V302" i="6"/>
  <c r="V400" i="6" s="1"/>
  <c r="V405" i="6" s="1"/>
  <c r="X11" i="13"/>
  <c r="X47" i="13" s="1"/>
  <c r="Q77" i="8"/>
  <c r="Q45" i="18" s="1"/>
  <c r="Q30" i="18"/>
  <c r="V144" i="12"/>
  <c r="T34" i="12"/>
  <c r="S41" i="12"/>
  <c r="Y45" i="12"/>
  <c r="Z232" i="12" s="1"/>
  <c r="Z45" i="12" s="1"/>
  <c r="T73" i="12"/>
  <c r="T74" i="12"/>
  <c r="Y112" i="12"/>
  <c r="Z263" i="12" s="1"/>
  <c r="W257" i="12"/>
  <c r="W69" i="12" s="1"/>
  <c r="Q19" i="8"/>
  <c r="Q28" i="18" s="1"/>
  <c r="Q11" i="18"/>
  <c r="V28" i="12"/>
  <c r="S15" i="8"/>
  <c r="S13" i="20" s="1"/>
  <c r="S38" i="6"/>
  <c r="S41" i="6" s="1"/>
  <c r="S35" i="6"/>
  <c r="S12" i="19" s="1"/>
  <c r="S13" i="19" s="1"/>
  <c r="U37" i="12"/>
  <c r="U225" i="6"/>
  <c r="V44" i="12"/>
  <c r="W231" i="12" s="1"/>
  <c r="V242" i="12"/>
  <c r="V35" i="12" s="1"/>
  <c r="T140" i="12"/>
  <c r="T141" i="12"/>
  <c r="W273" i="12"/>
  <c r="W102" i="12" s="1"/>
  <c r="X262" i="12"/>
  <c r="R46" i="6"/>
  <c r="R18" i="8"/>
  <c r="U96" i="12"/>
  <c r="R226" i="6"/>
  <c r="R70" i="19" s="1"/>
  <c r="R77" i="19" s="1"/>
  <c r="R261" i="6"/>
  <c r="T106" i="12"/>
  <c r="T107" i="12"/>
  <c r="U130" i="12"/>
  <c r="W78" i="12"/>
  <c r="X246" i="12" s="1"/>
  <c r="X247" i="12"/>
  <c r="X79" i="12" s="1"/>
  <c r="T40" i="6"/>
  <c r="T15" i="19" s="1"/>
  <c r="T131" i="19" s="1"/>
  <c r="T33" i="6"/>
  <c r="V278" i="12"/>
  <c r="V145" i="12" s="1"/>
  <c r="U289" i="12"/>
  <c r="U136" i="12" s="1"/>
  <c r="V215" i="12"/>
  <c r="V164" i="12"/>
  <c r="W146" i="12"/>
  <c r="U63" i="12"/>
  <c r="AA3" i="9"/>
  <c r="Z2" i="9"/>
  <c r="AZ293" i="9"/>
  <c r="AZ369" i="9" s="1"/>
  <c r="BA319" i="9"/>
  <c r="W2" i="8"/>
  <c r="X3" i="8"/>
  <c r="AA2" i="6"/>
  <c r="AA2" i="20" s="1"/>
  <c r="AB3" i="6"/>
  <c r="X273" i="12" l="1"/>
  <c r="X102" i="12" s="1"/>
  <c r="Y265" i="12"/>
  <c r="Y114" i="12" s="1"/>
  <c r="U330" i="6"/>
  <c r="U349" i="6"/>
  <c r="Y8" i="13"/>
  <c r="Z239" i="12"/>
  <c r="Z52" i="12" s="1"/>
  <c r="V303" i="6"/>
  <c r="V304" i="6" s="1"/>
  <c r="V406" i="6"/>
  <c r="V407" i="6" s="1"/>
  <c r="Z163" i="13"/>
  <c r="Z165" i="13"/>
  <c r="Y27" i="13"/>
  <c r="T49" i="15" s="1"/>
  <c r="Z251" i="12"/>
  <c r="Z83" i="12" s="1"/>
  <c r="Y47" i="12"/>
  <c r="Z234" i="12" s="1"/>
  <c r="Z47" i="12" s="1"/>
  <c r="X48" i="13"/>
  <c r="X21" i="13" s="1"/>
  <c r="V276" i="6"/>
  <c r="Z270" i="12"/>
  <c r="Z119" i="12" s="1"/>
  <c r="Z115" i="13"/>
  <c r="AA110" i="13"/>
  <c r="AA112" i="13"/>
  <c r="Z282" i="12"/>
  <c r="Z149" i="12" s="1"/>
  <c r="Y280" i="12"/>
  <c r="Y281" i="12"/>
  <c r="Y148" i="12" s="1"/>
  <c r="T167" i="8"/>
  <c r="T98" i="8"/>
  <c r="Y252" i="12"/>
  <c r="Y84" i="12" s="1"/>
  <c r="Z252" i="12" s="1"/>
  <c r="Z84" i="12" s="1"/>
  <c r="Y116" i="12"/>
  <c r="Z267" i="12" s="1"/>
  <c r="Z116" i="12" s="1"/>
  <c r="Y82" i="12"/>
  <c r="Z250" i="12" s="1"/>
  <c r="Y268" i="12"/>
  <c r="Y117" i="12" s="1"/>
  <c r="Y48" i="12"/>
  <c r="Z235" i="12" s="1"/>
  <c r="Z48" i="12" s="1"/>
  <c r="Z269" i="12"/>
  <c r="Z118" i="12" s="1"/>
  <c r="Y284" i="12"/>
  <c r="Y151" i="12" s="1"/>
  <c r="Z255" i="12"/>
  <c r="Z87" i="12" s="1"/>
  <c r="Z254" i="12"/>
  <c r="Z86" i="12" s="1"/>
  <c r="Z287" i="12"/>
  <c r="Z154" i="12" s="1"/>
  <c r="Z51" i="12"/>
  <c r="X248" i="12"/>
  <c r="X257" i="12" s="1"/>
  <c r="X69" i="12" s="1"/>
  <c r="AB207" i="13"/>
  <c r="AB209" i="13" s="1"/>
  <c r="Z253" i="12"/>
  <c r="Z85" i="12" s="1"/>
  <c r="Z264" i="12"/>
  <c r="Z113" i="12" s="1"/>
  <c r="Y153" i="12"/>
  <c r="Z286" i="12" s="1"/>
  <c r="Z153" i="12" s="1"/>
  <c r="V289" i="12"/>
  <c r="V136" i="12" s="1"/>
  <c r="V243" i="6" s="1"/>
  <c r="T15" i="8"/>
  <c r="T13" i="20" s="1"/>
  <c r="T35" i="6"/>
  <c r="T12" i="19" s="1"/>
  <c r="T13" i="19" s="1"/>
  <c r="T38" i="6"/>
  <c r="T41" i="6" s="1"/>
  <c r="S7" i="12"/>
  <c r="S222" i="6"/>
  <c r="W231" i="6"/>
  <c r="W104" i="12"/>
  <c r="X78" i="12"/>
  <c r="T39" i="12"/>
  <c r="T40" i="12"/>
  <c r="S12" i="8"/>
  <c r="S34" i="6"/>
  <c r="S47" i="6"/>
  <c r="S18" i="19" s="1"/>
  <c r="S19" i="19" s="1"/>
  <c r="W71" i="12"/>
  <c r="W237" i="6"/>
  <c r="R70" i="8"/>
  <c r="R262" i="6"/>
  <c r="R393" i="6"/>
  <c r="Z112" i="12"/>
  <c r="X111" i="12"/>
  <c r="S132" i="8"/>
  <c r="P13" i="15"/>
  <c r="W277" i="12"/>
  <c r="W144" i="12" s="1"/>
  <c r="U101" i="12"/>
  <c r="T108" i="12"/>
  <c r="T228" i="6" s="1"/>
  <c r="T232" i="6" s="1"/>
  <c r="V216" i="12"/>
  <c r="V246" i="6" s="1"/>
  <c r="V249" i="6" s="1"/>
  <c r="W160" i="12"/>
  <c r="U243" i="6"/>
  <c r="U138" i="12"/>
  <c r="U8" i="12" s="1"/>
  <c r="U37" i="6" s="1"/>
  <c r="V91" i="12"/>
  <c r="V37" i="12"/>
  <c r="V225" i="6"/>
  <c r="U68" i="12"/>
  <c r="T75" i="12"/>
  <c r="T234" i="6" s="1"/>
  <c r="T238" i="6" s="1"/>
  <c r="X279" i="12"/>
  <c r="X146" i="12" s="1"/>
  <c r="X231" i="6"/>
  <c r="X104" i="12"/>
  <c r="Y247" i="12"/>
  <c r="Y79" i="12" s="1"/>
  <c r="Z247" i="12" s="1"/>
  <c r="Z79" i="12" s="1"/>
  <c r="U135" i="12"/>
  <c r="T142" i="12"/>
  <c r="T240" i="6" s="1"/>
  <c r="T244" i="6" s="1"/>
  <c r="W278" i="12"/>
  <c r="W145" i="12" s="1"/>
  <c r="V125" i="12"/>
  <c r="R11" i="18"/>
  <c r="R19" i="8"/>
  <c r="R28" i="18" s="1"/>
  <c r="W242" i="12"/>
  <c r="W35" i="12" s="1"/>
  <c r="W23" i="12"/>
  <c r="V29" i="12"/>
  <c r="V58" i="12"/>
  <c r="U6" i="12"/>
  <c r="W44" i="12"/>
  <c r="X231" i="12" s="1"/>
  <c r="BA293" i="9"/>
  <c r="BA369" i="9" s="1"/>
  <c r="BB319" i="9"/>
  <c r="AB3" i="9"/>
  <c r="AA2" i="9"/>
  <c r="X2" i="8"/>
  <c r="Y3" i="8"/>
  <c r="AB2" i="6"/>
  <c r="AC3" i="6"/>
  <c r="S13" i="8" l="1"/>
  <c r="S27" i="18" s="1"/>
  <c r="S11" i="20"/>
  <c r="S15" i="20" s="1"/>
  <c r="T72" i="8"/>
  <c r="T72" i="19"/>
  <c r="V74" i="8"/>
  <c r="V74" i="19"/>
  <c r="T71" i="8"/>
  <c r="T71" i="19"/>
  <c r="P60" i="15"/>
  <c r="S14" i="18"/>
  <c r="T73" i="8"/>
  <c r="T73" i="19"/>
  <c r="V174" i="6"/>
  <c r="V175" i="6" s="1"/>
  <c r="V61" i="6" s="1"/>
  <c r="V156" i="6"/>
  <c r="V409" i="6"/>
  <c r="Z284" i="12"/>
  <c r="Z151" i="12" s="1"/>
  <c r="Y147" i="12"/>
  <c r="Z280" i="12" s="1"/>
  <c r="Z147" i="12" s="1"/>
  <c r="X80" i="12"/>
  <c r="Y248" i="12" s="1"/>
  <c r="V408" i="6"/>
  <c r="AA113" i="13"/>
  <c r="U92" i="8"/>
  <c r="U350" i="6"/>
  <c r="V138" i="12"/>
  <c r="V8" i="12" s="1"/>
  <c r="V37" i="6" s="1"/>
  <c r="V40" i="6" s="1"/>
  <c r="V15" i="19" s="1"/>
  <c r="V131" i="19" s="1"/>
  <c r="Z268" i="12"/>
  <c r="Z117" i="12" s="1"/>
  <c r="Z281" i="12"/>
  <c r="Z148" i="12" s="1"/>
  <c r="W302" i="6"/>
  <c r="W400" i="6" s="1"/>
  <c r="W405" i="6" s="1"/>
  <c r="Y11" i="13"/>
  <c r="Y47" i="13" s="1"/>
  <c r="V329" i="6"/>
  <c r="V305" i="6"/>
  <c r="W299" i="6" s="1"/>
  <c r="Z82" i="12"/>
  <c r="Z166" i="13"/>
  <c r="Z25" i="13"/>
  <c r="X301" i="6" s="1"/>
  <c r="V277" i="6"/>
  <c r="V71" i="6" s="1"/>
  <c r="V271" i="6"/>
  <c r="Z24" i="13"/>
  <c r="Z265" i="12"/>
  <c r="Z114" i="12" s="1"/>
  <c r="X242" i="12"/>
  <c r="X35" i="12" s="1"/>
  <c r="S46" i="6"/>
  <c r="S18" i="8"/>
  <c r="V96" i="12"/>
  <c r="U106" i="12"/>
  <c r="U107" i="12"/>
  <c r="S226" i="6"/>
  <c r="S70" i="19" s="1"/>
  <c r="S77" i="19" s="1"/>
  <c r="S261" i="6"/>
  <c r="U33" i="6"/>
  <c r="U40" i="6"/>
  <c r="U15" i="19" s="1"/>
  <c r="U131" i="19" s="1"/>
  <c r="V63" i="12"/>
  <c r="X278" i="12"/>
  <c r="X145" i="12" s="1"/>
  <c r="Y279" i="12"/>
  <c r="Y146" i="12" s="1"/>
  <c r="Z279" i="12" s="1"/>
  <c r="Z146" i="12" s="1"/>
  <c r="R77" i="8"/>
  <c r="R45" i="18" s="1"/>
  <c r="R30" i="18"/>
  <c r="U34" i="12"/>
  <c r="T41" i="12"/>
  <c r="W164" i="12"/>
  <c r="W215" i="12"/>
  <c r="Y246" i="12"/>
  <c r="Y78" i="12" s="1"/>
  <c r="T12" i="8"/>
  <c r="T47" i="6"/>
  <c r="T18" i="19" s="1"/>
  <c r="T19" i="19" s="1"/>
  <c r="T34" i="6"/>
  <c r="V130" i="12"/>
  <c r="W289" i="12"/>
  <c r="W136" i="12" s="1"/>
  <c r="X277" i="12"/>
  <c r="W28" i="12"/>
  <c r="X44" i="12"/>
  <c r="Y231" i="12" s="1"/>
  <c r="W225" i="6"/>
  <c r="W37" i="12"/>
  <c r="U140" i="12"/>
  <c r="U141" i="12"/>
  <c r="U73" i="12"/>
  <c r="U74" i="12"/>
  <c r="Y262" i="12"/>
  <c r="Y111" i="12" s="1"/>
  <c r="X237" i="6"/>
  <c r="X71" i="12"/>
  <c r="T132" i="8"/>
  <c r="Q13" i="15"/>
  <c r="AB2" i="9"/>
  <c r="AC3" i="9"/>
  <c r="BC319" i="9"/>
  <c r="BB293" i="9"/>
  <c r="BB369" i="9" s="1"/>
  <c r="Z3" i="8"/>
  <c r="Y2" i="8"/>
  <c r="AD3" i="6"/>
  <c r="AC2" i="6"/>
  <c r="T13" i="8" l="1"/>
  <c r="T27" i="18" s="1"/>
  <c r="T11" i="20"/>
  <c r="T15" i="20" s="1"/>
  <c r="Q60" i="15"/>
  <c r="T14" i="18"/>
  <c r="V33" i="6"/>
  <c r="AA115" i="13"/>
  <c r="AB110" i="13"/>
  <c r="AB112" i="13"/>
  <c r="AA163" i="13"/>
  <c r="AA165" i="13"/>
  <c r="Z27" i="13"/>
  <c r="Y80" i="12"/>
  <c r="Z248" i="12" s="1"/>
  <c r="Z80" i="12" s="1"/>
  <c r="Z8" i="13"/>
  <c r="Z168" i="13"/>
  <c r="Z28" i="13" s="1"/>
  <c r="X307" i="6" s="1"/>
  <c r="X72" i="6" s="1"/>
  <c r="V330" i="6"/>
  <c r="V349" i="6"/>
  <c r="Y48" i="13"/>
  <c r="Y21" i="13" s="1"/>
  <c r="W276" i="6"/>
  <c r="U167" i="8"/>
  <c r="U98" i="8"/>
  <c r="W406" i="6"/>
  <c r="W407" i="6" s="1"/>
  <c r="W408" i="6" s="1"/>
  <c r="W303" i="6"/>
  <c r="W304" i="6" s="1"/>
  <c r="Y44" i="12"/>
  <c r="Y242" i="12"/>
  <c r="Y35" i="12" s="1"/>
  <c r="Y278" i="12"/>
  <c r="Y145" i="12" s="1"/>
  <c r="U39" i="12"/>
  <c r="U40" i="12"/>
  <c r="W91" i="12"/>
  <c r="T46" i="6"/>
  <c r="T18" i="8"/>
  <c r="V15" i="8"/>
  <c r="V13" i="20" s="1"/>
  <c r="V38" i="6"/>
  <c r="V41" i="6" s="1"/>
  <c r="V35" i="6"/>
  <c r="V12" i="19" s="1"/>
  <c r="V13" i="19" s="1"/>
  <c r="Y273" i="12"/>
  <c r="Y102" i="12" s="1"/>
  <c r="Z262" i="12"/>
  <c r="Z273" i="12" s="1"/>
  <c r="Z102" i="12" s="1"/>
  <c r="X23" i="12"/>
  <c r="W29" i="12"/>
  <c r="Y257" i="12"/>
  <c r="Y69" i="12" s="1"/>
  <c r="Z246" i="12"/>
  <c r="S70" i="8"/>
  <c r="S262" i="6"/>
  <c r="S393" i="6"/>
  <c r="X37" i="12"/>
  <c r="X225" i="6"/>
  <c r="X289" i="12"/>
  <c r="X136" i="12" s="1"/>
  <c r="W243" i="6"/>
  <c r="W138" i="12"/>
  <c r="W8" i="12" s="1"/>
  <c r="W37" i="6" s="1"/>
  <c r="V135" i="12"/>
  <c r="U142" i="12"/>
  <c r="U240" i="6" s="1"/>
  <c r="U244" i="6" s="1"/>
  <c r="W216" i="12"/>
  <c r="W246" i="6" s="1"/>
  <c r="W249" i="6" s="1"/>
  <c r="X160" i="12"/>
  <c r="W58" i="12"/>
  <c r="V6" i="12"/>
  <c r="V101" i="12"/>
  <c r="U108" i="12"/>
  <c r="U228" i="6" s="1"/>
  <c r="U232" i="6" s="1"/>
  <c r="X144" i="12"/>
  <c r="Y277" i="12" s="1"/>
  <c r="S19" i="8"/>
  <c r="S28" i="18" s="1"/>
  <c r="S11" i="18"/>
  <c r="V68" i="12"/>
  <c r="U75" i="12"/>
  <c r="U234" i="6" s="1"/>
  <c r="U238" i="6" s="1"/>
  <c r="W125" i="12"/>
  <c r="T7" i="12"/>
  <c r="T222" i="6"/>
  <c r="U15" i="8"/>
  <c r="U13" i="20" s="1"/>
  <c r="U38" i="6"/>
  <c r="U41" i="6" s="1"/>
  <c r="U35" i="6"/>
  <c r="U12" i="19" s="1"/>
  <c r="U13" i="19" s="1"/>
  <c r="AC2" i="9"/>
  <c r="AD3" i="9"/>
  <c r="BC293" i="9"/>
  <c r="BC369" i="9" s="1"/>
  <c r="BD319" i="9"/>
  <c r="BD293" i="9" s="1"/>
  <c r="BD369" i="9" s="1"/>
  <c r="AA3" i="8"/>
  <c r="Z2" i="8"/>
  <c r="AE3" i="6"/>
  <c r="AD2" i="6"/>
  <c r="W74" i="8" l="1"/>
  <c r="W74" i="19"/>
  <c r="U71" i="8"/>
  <c r="U71" i="19"/>
  <c r="U72" i="8"/>
  <c r="U72" i="19"/>
  <c r="U73" i="8"/>
  <c r="U73" i="19"/>
  <c r="W156" i="6"/>
  <c r="W174" i="6"/>
  <c r="W175" i="6" s="1"/>
  <c r="W61" i="6" s="1"/>
  <c r="Z257" i="12"/>
  <c r="Z69" i="12" s="1"/>
  <c r="W277" i="6"/>
  <c r="W71" i="6" s="1"/>
  <c r="W271" i="6"/>
  <c r="X302" i="6"/>
  <c r="X400" i="6" s="1"/>
  <c r="X405" i="6" s="1"/>
  <c r="Z11" i="13"/>
  <c r="Z47" i="13" s="1"/>
  <c r="AA166" i="13"/>
  <c r="AA168" i="13" s="1"/>
  <c r="AA28" i="13" s="1"/>
  <c r="Y307" i="6" s="1"/>
  <c r="Y72" i="6" s="1"/>
  <c r="AA25" i="13"/>
  <c r="Y301" i="6" s="1"/>
  <c r="W409" i="6"/>
  <c r="AA24" i="13"/>
  <c r="V92" i="8"/>
  <c r="V350" i="6"/>
  <c r="W329" i="6"/>
  <c r="W305" i="6"/>
  <c r="X299" i="6" s="1"/>
  <c r="U49" i="15"/>
  <c r="AB113" i="13"/>
  <c r="Z111" i="12"/>
  <c r="AA111" i="12" s="1"/>
  <c r="V106" i="12"/>
  <c r="V107" i="12"/>
  <c r="W40" i="6"/>
  <c r="W15" i="19" s="1"/>
  <c r="W131" i="19" s="1"/>
  <c r="W33" i="6"/>
  <c r="S30" i="18"/>
  <c r="S77" i="8"/>
  <c r="S45" i="18" s="1"/>
  <c r="Y231" i="6"/>
  <c r="Y104" i="12"/>
  <c r="W96" i="12"/>
  <c r="Y237" i="6"/>
  <c r="Y71" i="12"/>
  <c r="V12" i="8"/>
  <c r="V47" i="6"/>
  <c r="V18" i="19" s="1"/>
  <c r="V19" i="19" s="1"/>
  <c r="V34" i="6"/>
  <c r="V34" i="12"/>
  <c r="U41" i="12"/>
  <c r="U12" i="8"/>
  <c r="U34" i="6"/>
  <c r="U47" i="6"/>
  <c r="U18" i="19" s="1"/>
  <c r="U19" i="19" s="1"/>
  <c r="V73" i="12"/>
  <c r="V74" i="12"/>
  <c r="W63" i="12"/>
  <c r="Y289" i="12"/>
  <c r="Y136" i="12" s="1"/>
  <c r="X164" i="12"/>
  <c r="X215" i="12"/>
  <c r="S13" i="15"/>
  <c r="V132" i="8"/>
  <c r="Z278" i="12"/>
  <c r="Z145" i="12" s="1"/>
  <c r="Z71" i="12"/>
  <c r="Z237" i="6"/>
  <c r="T11" i="18"/>
  <c r="T19" i="8"/>
  <c r="T28" i="18" s="1"/>
  <c r="Z78" i="12"/>
  <c r="R13" i="15"/>
  <c r="U132" i="8"/>
  <c r="X28" i="12"/>
  <c r="Y37" i="12"/>
  <c r="Y225" i="6"/>
  <c r="W130" i="12"/>
  <c r="X243" i="6"/>
  <c r="X138" i="12"/>
  <c r="X8" i="12" s="1"/>
  <c r="X37" i="6" s="1"/>
  <c r="T226" i="6"/>
  <c r="T70" i="19" s="1"/>
  <c r="T77" i="19" s="1"/>
  <c r="T261" i="6"/>
  <c r="Y144" i="12"/>
  <c r="Z277" i="12" s="1"/>
  <c r="V140" i="12"/>
  <c r="V141" i="12"/>
  <c r="Z104" i="12"/>
  <c r="Z231" i="6"/>
  <c r="Z231" i="12"/>
  <c r="Z242" i="12" s="1"/>
  <c r="Z35" i="12" s="1"/>
  <c r="AD2" i="9"/>
  <c r="AE3" i="9"/>
  <c r="AB3" i="8"/>
  <c r="AA2" i="8"/>
  <c r="AF3" i="6"/>
  <c r="AE2" i="6"/>
  <c r="V13" i="8" l="1"/>
  <c r="V27" i="18" s="1"/>
  <c r="V11" i="20"/>
  <c r="V15" i="20" s="1"/>
  <c r="U13" i="8"/>
  <c r="U27" i="18" s="1"/>
  <c r="U11" i="20"/>
  <c r="U15" i="20" s="1"/>
  <c r="S60" i="15"/>
  <c r="V14" i="18"/>
  <c r="R60" i="15"/>
  <c r="U14" i="18"/>
  <c r="AB115" i="13"/>
  <c r="W330" i="6"/>
  <c r="W349" i="6"/>
  <c r="AB163" i="13"/>
  <c r="AB165" i="13"/>
  <c r="AA27" i="13"/>
  <c r="Z48" i="13"/>
  <c r="Z21" i="13" s="1"/>
  <c r="X276" i="6"/>
  <c r="X303" i="6"/>
  <c r="X304" i="6" s="1"/>
  <c r="X406" i="6"/>
  <c r="V167" i="8"/>
  <c r="V98" i="8"/>
  <c r="AA8" i="13"/>
  <c r="Z44" i="12"/>
  <c r="T70" i="8"/>
  <c r="T262" i="6"/>
  <c r="T393" i="6"/>
  <c r="Y23" i="12"/>
  <c r="X29" i="12"/>
  <c r="X58" i="12"/>
  <c r="W6" i="12"/>
  <c r="Z37" i="12"/>
  <c r="Z225" i="6"/>
  <c r="V46" i="6"/>
  <c r="V18" i="8"/>
  <c r="V39" i="12"/>
  <c r="V40" i="12"/>
  <c r="W68" i="12"/>
  <c r="V75" i="12"/>
  <c r="V234" i="6" s="1"/>
  <c r="V238" i="6" s="1"/>
  <c r="U46" i="6"/>
  <c r="U18" i="8"/>
  <c r="W15" i="8"/>
  <c r="W13" i="20" s="1"/>
  <c r="W35" i="6"/>
  <c r="W12" i="19" s="1"/>
  <c r="W13" i="19" s="1"/>
  <c r="W38" i="6"/>
  <c r="W41" i="6" s="1"/>
  <c r="Z289" i="12"/>
  <c r="Z136" i="12" s="1"/>
  <c r="X33" i="6"/>
  <c r="X40" i="6"/>
  <c r="X15" i="19" s="1"/>
  <c r="X131" i="19" s="1"/>
  <c r="X125" i="12"/>
  <c r="Y160" i="12"/>
  <c r="X216" i="12"/>
  <c r="X246" i="6" s="1"/>
  <c r="X249" i="6" s="1"/>
  <c r="W135" i="12"/>
  <c r="V142" i="12"/>
  <c r="V240" i="6" s="1"/>
  <c r="V244" i="6" s="1"/>
  <c r="Z144" i="12"/>
  <c r="Y138" i="12"/>
  <c r="Y8" i="12" s="1"/>
  <c r="Y37" i="6" s="1"/>
  <c r="Y243" i="6"/>
  <c r="U7" i="12"/>
  <c r="U222" i="6"/>
  <c r="X91" i="12"/>
  <c r="W101" i="12"/>
  <c r="V108" i="12"/>
  <c r="V228" i="6" s="1"/>
  <c r="V232" i="6" s="1"/>
  <c r="AF3" i="9"/>
  <c r="AE2" i="9"/>
  <c r="AC3" i="8"/>
  <c r="AB2" i="8"/>
  <c r="AF2" i="6"/>
  <c r="AG3" i="6"/>
  <c r="X74" i="8" l="1"/>
  <c r="X74" i="19"/>
  <c r="V73" i="8"/>
  <c r="V73" i="19"/>
  <c r="V71" i="8"/>
  <c r="V71" i="19"/>
  <c r="V72" i="8"/>
  <c r="V72" i="19"/>
  <c r="X174" i="6"/>
  <c r="X175" i="6" s="1"/>
  <c r="X61" i="6" s="1"/>
  <c r="X156" i="6"/>
  <c r="Y302" i="6"/>
  <c r="Y400" i="6" s="1"/>
  <c r="Y405" i="6" s="1"/>
  <c r="AA11" i="13"/>
  <c r="AA47" i="13" s="1"/>
  <c r="AB166" i="13"/>
  <c r="AB27" i="13" s="1"/>
  <c r="AB25" i="13"/>
  <c r="Z301" i="6" s="1"/>
  <c r="AB168" i="13"/>
  <c r="AB28" i="13" s="1"/>
  <c r="Z307" i="6" s="1"/>
  <c r="Z72" i="6" s="1"/>
  <c r="AB24" i="13"/>
  <c r="X407" i="6"/>
  <c r="X408" i="6" s="1"/>
  <c r="W92" i="8"/>
  <c r="W350" i="6"/>
  <c r="V49" i="15"/>
  <c r="X329" i="6"/>
  <c r="X305" i="6"/>
  <c r="Y299" i="6" s="1"/>
  <c r="X277" i="6"/>
  <c r="X71" i="6" s="1"/>
  <c r="X271" i="6"/>
  <c r="W34" i="12"/>
  <c r="V41" i="12"/>
  <c r="X96" i="12"/>
  <c r="W12" i="8"/>
  <c r="W34" i="6"/>
  <c r="W47" i="6"/>
  <c r="W18" i="19" s="1"/>
  <c r="W19" i="19" s="1"/>
  <c r="V11" i="18"/>
  <c r="V19" i="8"/>
  <c r="V28" i="18" s="1"/>
  <c r="U226" i="6"/>
  <c r="U70" i="19" s="1"/>
  <c r="U77" i="19" s="1"/>
  <c r="U261" i="6"/>
  <c r="Y164" i="12"/>
  <c r="Y215" i="12"/>
  <c r="W132" i="8"/>
  <c r="T13" i="15"/>
  <c r="Y28" i="12"/>
  <c r="U19" i="8"/>
  <c r="U28" i="18" s="1"/>
  <c r="U11" i="18"/>
  <c r="W140" i="12"/>
  <c r="W141" i="12"/>
  <c r="X130" i="12"/>
  <c r="Y33" i="6"/>
  <c r="Y40" i="6"/>
  <c r="Y15" i="19" s="1"/>
  <c r="Y131" i="19" s="1"/>
  <c r="X15" i="8"/>
  <c r="X13" i="20" s="1"/>
  <c r="X35" i="6"/>
  <c r="X12" i="19" s="1"/>
  <c r="X13" i="19" s="1"/>
  <c r="X38" i="6"/>
  <c r="X41" i="6" s="1"/>
  <c r="T30" i="18"/>
  <c r="T77" i="8"/>
  <c r="T45" i="18" s="1"/>
  <c r="W73" i="12"/>
  <c r="W74" i="12"/>
  <c r="W106" i="12"/>
  <c r="W107" i="12"/>
  <c r="Z138" i="12"/>
  <c r="Z8" i="12" s="1"/>
  <c r="Z37" i="6" s="1"/>
  <c r="Z243" i="6"/>
  <c r="X63" i="12"/>
  <c r="AG3" i="9"/>
  <c r="AF2" i="9"/>
  <c r="AD3" i="8"/>
  <c r="AC2" i="8"/>
  <c r="AG2" i="6"/>
  <c r="AH3" i="6"/>
  <c r="W13" i="8" l="1"/>
  <c r="W27" i="18" s="1"/>
  <c r="W11" i="20"/>
  <c r="W15" i="20" s="1"/>
  <c r="T60" i="15"/>
  <c r="W14" i="18"/>
  <c r="X409" i="6"/>
  <c r="AB8" i="13"/>
  <c r="W49" i="15"/>
  <c r="X330" i="6"/>
  <c r="X349" i="6"/>
  <c r="AB11" i="13"/>
  <c r="Z302" i="6"/>
  <c r="Z400" i="6" s="1"/>
  <c r="Z405" i="6" s="1"/>
  <c r="AA48" i="13"/>
  <c r="AA21" i="13" s="1"/>
  <c r="Y276" i="6"/>
  <c r="W167" i="8"/>
  <c r="W98" i="8"/>
  <c r="Y406" i="6"/>
  <c r="Y303" i="6"/>
  <c r="Y304" i="6" s="1"/>
  <c r="Y407" i="6"/>
  <c r="Y409" i="6" s="1"/>
  <c r="Y29" i="12"/>
  <c r="Z23" i="12"/>
  <c r="W46" i="6"/>
  <c r="W18" i="8"/>
  <c r="Y125" i="12"/>
  <c r="X12" i="8"/>
  <c r="X34" i="6"/>
  <c r="X47" i="6"/>
  <c r="X18" i="19" s="1"/>
  <c r="X19" i="19" s="1"/>
  <c r="X135" i="12"/>
  <c r="W142" i="12"/>
  <c r="W240" i="6" s="1"/>
  <c r="W244" i="6" s="1"/>
  <c r="Z160" i="12"/>
  <c r="Y216" i="12"/>
  <c r="Y246" i="6" s="1"/>
  <c r="Y249" i="6" s="1"/>
  <c r="U13" i="15"/>
  <c r="X132" i="8"/>
  <c r="Y91" i="12"/>
  <c r="Z33" i="6"/>
  <c r="Z40" i="6"/>
  <c r="Z15" i="19" s="1"/>
  <c r="Z131" i="19" s="1"/>
  <c r="Y15" i="8"/>
  <c r="Y13" i="20" s="1"/>
  <c r="Y38" i="6"/>
  <c r="Y41" i="6" s="1"/>
  <c r="Y35" i="6"/>
  <c r="Y12" i="19" s="1"/>
  <c r="Y13" i="19" s="1"/>
  <c r="U70" i="8"/>
  <c r="U262" i="6"/>
  <c r="U393" i="6"/>
  <c r="V222" i="6"/>
  <c r="V7" i="12"/>
  <c r="X68" i="12"/>
  <c r="W75" i="12"/>
  <c r="W234" i="6" s="1"/>
  <c r="W238" i="6" s="1"/>
  <c r="Y58" i="12"/>
  <c r="X6" i="12"/>
  <c r="X101" i="12"/>
  <c r="W108" i="12"/>
  <c r="W228" i="6" s="1"/>
  <c r="W232" i="6" s="1"/>
  <c r="W39" i="12"/>
  <c r="W40" i="12"/>
  <c r="AH3" i="9"/>
  <c r="AG2" i="9"/>
  <c r="AE3" i="8"/>
  <c r="AD2" i="8"/>
  <c r="AI3" i="6"/>
  <c r="AH2" i="6"/>
  <c r="X13" i="8" l="1"/>
  <c r="X27" i="18" s="1"/>
  <c r="X11" i="20"/>
  <c r="X15" i="20" s="1"/>
  <c r="AB47" i="13"/>
  <c r="AB48" i="13" s="1"/>
  <c r="AB21" i="13" s="1"/>
  <c r="W72" i="8"/>
  <c r="W72" i="19"/>
  <c r="U60" i="15"/>
  <c r="X14" i="18"/>
  <c r="Y74" i="8"/>
  <c r="Y74" i="19"/>
  <c r="W73" i="8"/>
  <c r="W73" i="19"/>
  <c r="W71" i="8"/>
  <c r="W71" i="19"/>
  <c r="Y156" i="6"/>
  <c r="Y174" i="6"/>
  <c r="Y175" i="6" s="1"/>
  <c r="Y61" i="6" s="1"/>
  <c r="Y408" i="6"/>
  <c r="Z303" i="6"/>
  <c r="Z304" i="6" s="1"/>
  <c r="Z406" i="6"/>
  <c r="Z407" i="6" s="1"/>
  <c r="Z409" i="6" s="1"/>
  <c r="Y329" i="6"/>
  <c r="Y305" i="6"/>
  <c r="Z299" i="6" s="1"/>
  <c r="X92" i="8"/>
  <c r="X350" i="6"/>
  <c r="Y277" i="6"/>
  <c r="Y71" i="6" s="1"/>
  <c r="Y271" i="6"/>
  <c r="Y130" i="12"/>
  <c r="Y63" i="12"/>
  <c r="V13" i="15"/>
  <c r="Y132" i="8"/>
  <c r="W11" i="18"/>
  <c r="W19" i="8"/>
  <c r="W28" i="18" s="1"/>
  <c r="Z215" i="12"/>
  <c r="Z164" i="12"/>
  <c r="Z216" i="12" s="1"/>
  <c r="Z246" i="6" s="1"/>
  <c r="Z249" i="6" s="1"/>
  <c r="X73" i="12"/>
  <c r="X74" i="12"/>
  <c r="Z15" i="8"/>
  <c r="Z13" i="20" s="1"/>
  <c r="Z35" i="6"/>
  <c r="Z12" i="19" s="1"/>
  <c r="Z13" i="19" s="1"/>
  <c r="Z38" i="6"/>
  <c r="Z41" i="6" s="1"/>
  <c r="X140" i="12"/>
  <c r="X141" i="12"/>
  <c r="X46" i="6"/>
  <c r="X18" i="8"/>
  <c r="V226" i="6"/>
  <c r="V70" i="19" s="1"/>
  <c r="V77" i="19" s="1"/>
  <c r="V261" i="6"/>
  <c r="X106" i="12"/>
  <c r="X107" i="12"/>
  <c r="Y96" i="12"/>
  <c r="Z28" i="12"/>
  <c r="Z29" i="12" s="1"/>
  <c r="Y12" i="8"/>
  <c r="Y47" i="6"/>
  <c r="Y18" i="19" s="1"/>
  <c r="Y19" i="19" s="1"/>
  <c r="Y34" i="6"/>
  <c r="X34" i="12"/>
  <c r="W41" i="12"/>
  <c r="U30" i="18"/>
  <c r="U77" i="8"/>
  <c r="U45" i="18" s="1"/>
  <c r="AI3" i="9"/>
  <c r="AH2" i="9"/>
  <c r="AE2" i="8"/>
  <c r="AF3" i="8"/>
  <c r="AJ3" i="6"/>
  <c r="AI2" i="6"/>
  <c r="Y13" i="8" l="1"/>
  <c r="Y27" i="18" s="1"/>
  <c r="Y11" i="20"/>
  <c r="Y15" i="20" s="1"/>
  <c r="Z276" i="6"/>
  <c r="Z174" i="6" s="1"/>
  <c r="Z175" i="6" s="1"/>
  <c r="Z61" i="6" s="1"/>
  <c r="V60" i="15"/>
  <c r="Y14" i="18"/>
  <c r="Z74" i="8"/>
  <c r="Z74" i="19"/>
  <c r="Z408" i="6"/>
  <c r="Y330" i="6"/>
  <c r="Y349" i="6"/>
  <c r="Z329" i="6"/>
  <c r="Z305" i="6"/>
  <c r="X98" i="8"/>
  <c r="X167" i="8"/>
  <c r="Z12" i="8"/>
  <c r="Z47" i="6"/>
  <c r="Z18" i="19" s="1"/>
  <c r="Z19" i="19" s="1"/>
  <c r="Z34" i="6"/>
  <c r="Y46" i="6"/>
  <c r="Y18" i="8"/>
  <c r="V70" i="8"/>
  <c r="V262" i="6"/>
  <c r="V393" i="6"/>
  <c r="W7" i="12"/>
  <c r="W222" i="6"/>
  <c r="Y135" i="12"/>
  <c r="X142" i="12"/>
  <c r="X240" i="6" s="1"/>
  <c r="X244" i="6" s="1"/>
  <c r="X39" i="12"/>
  <c r="X40" i="12"/>
  <c r="Y101" i="12"/>
  <c r="X108" i="12"/>
  <c r="X228" i="6" s="1"/>
  <c r="X232" i="6" s="1"/>
  <c r="W13" i="15"/>
  <c r="Z132" i="8"/>
  <c r="X19" i="8"/>
  <c r="X28" i="18" s="1"/>
  <c r="X11" i="18"/>
  <c r="Y68" i="12"/>
  <c r="X75" i="12"/>
  <c r="X234" i="6" s="1"/>
  <c r="X238" i="6" s="1"/>
  <c r="Z58" i="12"/>
  <c r="Y6" i="12"/>
  <c r="Z91" i="12"/>
  <c r="Z125" i="12"/>
  <c r="AJ3" i="9"/>
  <c r="AI2" i="9"/>
  <c r="AF2" i="8"/>
  <c r="AG3" i="8"/>
  <c r="AK3" i="6"/>
  <c r="AJ2" i="6"/>
  <c r="Z156" i="6" l="1"/>
  <c r="Z13" i="8"/>
  <c r="Z27" i="18" s="1"/>
  <c r="Z11" i="20"/>
  <c r="Z15" i="20" s="1"/>
  <c r="Z271" i="6"/>
  <c r="Z277" i="6"/>
  <c r="Z71" i="6" s="1"/>
  <c r="W60" i="15"/>
  <c r="Z14" i="18"/>
  <c r="X71" i="8"/>
  <c r="X71" i="19"/>
  <c r="X73" i="8"/>
  <c r="X73" i="19"/>
  <c r="X72" i="8"/>
  <c r="X72" i="19"/>
  <c r="Z330" i="6"/>
  <c r="Z349" i="6"/>
  <c r="Y92" i="8"/>
  <c r="Y350" i="6"/>
  <c r="Z63" i="12"/>
  <c r="Y34" i="12"/>
  <c r="X41" i="12"/>
  <c r="Y106" i="12"/>
  <c r="Y107" i="12"/>
  <c r="Y19" i="8"/>
  <c r="Y28" i="18" s="1"/>
  <c r="Y11" i="18"/>
  <c r="W226" i="6"/>
  <c r="W70" i="19" s="1"/>
  <c r="W77" i="19" s="1"/>
  <c r="W261" i="6"/>
  <c r="Z46" i="6"/>
  <c r="Z18" i="8"/>
  <c r="V30" i="18"/>
  <c r="V77" i="8"/>
  <c r="V45" i="18" s="1"/>
  <c r="Y73" i="12"/>
  <c r="Y74" i="12"/>
  <c r="Z130" i="12"/>
  <c r="Y140" i="12"/>
  <c r="Y141" i="12"/>
  <c r="Z96" i="12"/>
  <c r="AJ2" i="9"/>
  <c r="AK3" i="9"/>
  <c r="AH3" i="8"/>
  <c r="AG2" i="8"/>
  <c r="AL3" i="6"/>
  <c r="AK2" i="6"/>
  <c r="Y167" i="8" l="1"/>
  <c r="Y98" i="8"/>
  <c r="Z92" i="8"/>
  <c r="Z350" i="6"/>
  <c r="X7" i="12"/>
  <c r="X222" i="6"/>
  <c r="Z101" i="12"/>
  <c r="Y108" i="12"/>
  <c r="Y228" i="6" s="1"/>
  <c r="Y232" i="6" s="1"/>
  <c r="Z135" i="12"/>
  <c r="Y142" i="12"/>
  <c r="Y240" i="6" s="1"/>
  <c r="Y244" i="6" s="1"/>
  <c r="Y39" i="12"/>
  <c r="Y40" i="12"/>
  <c r="Z68" i="12"/>
  <c r="Y75" i="12"/>
  <c r="Y234" i="6" s="1"/>
  <c r="Y238" i="6" s="1"/>
  <c r="Z11" i="18"/>
  <c r="Z19" i="8"/>
  <c r="Z28" i="18" s="1"/>
  <c r="W70" i="8"/>
  <c r="W262" i="6"/>
  <c r="W393" i="6"/>
  <c r="Z6" i="12"/>
  <c r="AK2" i="9"/>
  <c r="AL3" i="9"/>
  <c r="AH2" i="8"/>
  <c r="AI3" i="8"/>
  <c r="AM3" i="6"/>
  <c r="AL2" i="6"/>
  <c r="Y71" i="8" l="1"/>
  <c r="Y71" i="19"/>
  <c r="Y72" i="8"/>
  <c r="Y72" i="19"/>
  <c r="Y73" i="8"/>
  <c r="Y73" i="19"/>
  <c r="Z167" i="8"/>
  <c r="Z98" i="8"/>
  <c r="W30" i="18"/>
  <c r="W77" i="8"/>
  <c r="W45" i="18" s="1"/>
  <c r="Z106" i="12"/>
  <c r="Z108" i="12" s="1"/>
  <c r="Z228" i="6" s="1"/>
  <c r="Z232" i="6" s="1"/>
  <c r="Z107" i="12"/>
  <c r="Z140" i="12"/>
  <c r="Z142" i="12" s="1"/>
  <c r="Z240" i="6" s="1"/>
  <c r="Z244" i="6" s="1"/>
  <c r="Z141" i="12"/>
  <c r="X226" i="6"/>
  <c r="X70" i="19" s="1"/>
  <c r="X77" i="19" s="1"/>
  <c r="X261" i="6"/>
  <c r="Z34" i="12"/>
  <c r="Y41" i="12"/>
  <c r="Z73" i="12"/>
  <c r="Z75" i="12" s="1"/>
  <c r="Z234" i="6" s="1"/>
  <c r="Z238" i="6" s="1"/>
  <c r="Z74" i="12"/>
  <c r="AL2" i="9"/>
  <c r="AM3" i="9"/>
  <c r="AJ3" i="8"/>
  <c r="AI2" i="8"/>
  <c r="AN3" i="6"/>
  <c r="AM2" i="6"/>
  <c r="Z71" i="8" l="1"/>
  <c r="Z71" i="19"/>
  <c r="Z72" i="8"/>
  <c r="Z72" i="19"/>
  <c r="Z73" i="8"/>
  <c r="Z73" i="19"/>
  <c r="X70" i="8"/>
  <c r="X262" i="6"/>
  <c r="X393" i="6"/>
  <c r="Y7" i="12"/>
  <c r="Y222" i="6"/>
  <c r="Z39" i="12"/>
  <c r="Z41" i="12" s="1"/>
  <c r="Z40" i="12"/>
  <c r="AN3" i="9"/>
  <c r="AM2" i="9"/>
  <c r="AK3" i="8"/>
  <c r="AJ2" i="8"/>
  <c r="AO3" i="6"/>
  <c r="AN2" i="6"/>
  <c r="Z7" i="12" l="1"/>
  <c r="Z222" i="6"/>
  <c r="Y226" i="6"/>
  <c r="Y70" i="19" s="1"/>
  <c r="Y77" i="19" s="1"/>
  <c r="Y261" i="6"/>
  <c r="X30" i="18"/>
  <c r="X77" i="8"/>
  <c r="X45" i="18" s="1"/>
  <c r="AO3" i="9"/>
  <c r="AN2" i="9"/>
  <c r="AL3" i="8"/>
  <c r="AK2" i="8"/>
  <c r="AO2" i="6"/>
  <c r="AP3" i="6"/>
  <c r="Y70" i="8" l="1"/>
  <c r="Y262" i="6"/>
  <c r="Y393" i="6"/>
  <c r="Z226" i="6"/>
  <c r="Z70" i="19" s="1"/>
  <c r="Z77" i="19" s="1"/>
  <c r="Z261" i="6"/>
  <c r="AP3" i="9"/>
  <c r="AO2" i="9"/>
  <c r="AM3" i="8"/>
  <c r="AL2" i="8"/>
  <c r="AQ3" i="6"/>
  <c r="AP2" i="6"/>
  <c r="Z70" i="8" l="1"/>
  <c r="Z262" i="6"/>
  <c r="Z393" i="6"/>
  <c r="Y30" i="18"/>
  <c r="Y77" i="8"/>
  <c r="Y45" i="18" s="1"/>
  <c r="AQ3" i="9"/>
  <c r="AP2" i="9"/>
  <c r="AM2" i="8"/>
  <c r="AN3" i="8"/>
  <c r="AQ2" i="6"/>
  <c r="AR3" i="6"/>
  <c r="Z30" i="18" l="1"/>
  <c r="Z77" i="8"/>
  <c r="Z45" i="18" s="1"/>
  <c r="AR3" i="9"/>
  <c r="AQ2" i="9"/>
  <c r="AN2" i="8"/>
  <c r="AO3" i="8"/>
  <c r="AS3" i="6"/>
  <c r="AR2" i="6"/>
  <c r="AR2" i="9" l="1"/>
  <c r="AS3" i="9"/>
  <c r="AP3" i="8"/>
  <c r="AO2" i="8"/>
  <c r="AS2" i="6"/>
  <c r="AT3" i="6"/>
  <c r="AS2" i="9" l="1"/>
  <c r="AT3" i="9"/>
  <c r="AP2" i="8"/>
  <c r="AQ3" i="8"/>
  <c r="AU3" i="6"/>
  <c r="AT2" i="6"/>
  <c r="AT2" i="9" l="1"/>
  <c r="AU3" i="9"/>
  <c r="AR3" i="8"/>
  <c r="AQ2" i="8"/>
  <c r="AV3" i="6"/>
  <c r="AU2" i="6"/>
  <c r="AV3" i="9" l="1"/>
  <c r="AU2" i="9"/>
  <c r="AS3" i="8"/>
  <c r="AR2" i="8"/>
  <c r="AW3" i="6"/>
  <c r="AV2" i="6"/>
  <c r="AW3" i="9" l="1"/>
  <c r="AV2" i="9"/>
  <c r="AT3" i="8"/>
  <c r="AS2" i="8"/>
  <c r="AX3" i="6"/>
  <c r="AW2" i="6"/>
  <c r="AX3" i="9" l="1"/>
  <c r="AW2" i="9"/>
  <c r="AU3" i="8"/>
  <c r="AT2" i="8"/>
  <c r="AY3" i="6"/>
  <c r="AX2" i="6"/>
  <c r="AY3" i="9" l="1"/>
  <c r="AX2" i="9"/>
  <c r="AU2" i="8"/>
  <c r="AV3" i="8"/>
  <c r="AY2" i="6"/>
  <c r="AZ3" i="6"/>
  <c r="AZ3" i="9" l="1"/>
  <c r="AY2" i="9"/>
  <c r="AV2" i="8"/>
  <c r="AW3" i="8"/>
  <c r="BA3" i="6"/>
  <c r="BA2" i="6" s="1"/>
  <c r="AZ2" i="6"/>
  <c r="AZ2" i="9" l="1"/>
  <c r="BA3" i="9"/>
  <c r="AX3" i="8"/>
  <c r="AW2" i="8"/>
  <c r="BA2" i="9" l="1"/>
  <c r="BB3" i="9"/>
  <c r="AY3" i="8"/>
  <c r="AX2" i="8"/>
  <c r="BB2" i="9" l="1"/>
  <c r="BC3" i="9"/>
  <c r="AZ3" i="8"/>
  <c r="AY2" i="8"/>
  <c r="BD3" i="9" l="1"/>
  <c r="BD2" i="9" s="1"/>
  <c r="BC2" i="9"/>
  <c r="BA3" i="8"/>
  <c r="BA2" i="8" s="1"/>
  <c r="AZ2" i="8"/>
  <c r="S57" i="10"/>
  <c r="S51" i="10" l="1"/>
  <c r="T57" i="10"/>
  <c r="R51" i="10"/>
  <c r="R33" i="10" l="1"/>
  <c r="R35" i="10" s="1"/>
  <c r="R53" i="10"/>
  <c r="R59" i="10" s="1"/>
  <c r="T51" i="10"/>
  <c r="U57" i="10"/>
  <c r="S33" i="10"/>
  <c r="S35" i="10" s="1"/>
  <c r="S53" i="10"/>
  <c r="S59" i="10" s="1"/>
  <c r="V57" i="10" l="1"/>
  <c r="U51" i="10"/>
  <c r="T53" i="10"/>
  <c r="T59" i="10" s="1"/>
  <c r="T33" i="10"/>
  <c r="T35" i="10" s="1"/>
  <c r="U53" i="10" l="1"/>
  <c r="U59" i="10" s="1"/>
  <c r="U33" i="10"/>
  <c r="U35" i="10" s="1"/>
  <c r="V51" i="10"/>
  <c r="W57" i="10"/>
  <c r="W51" i="10" l="1"/>
  <c r="X57" i="10"/>
  <c r="V53" i="10"/>
  <c r="V59" i="10" s="1"/>
  <c r="V33" i="10"/>
  <c r="V35" i="10" s="1"/>
  <c r="X51" i="10" l="1"/>
  <c r="Y57" i="10"/>
  <c r="W33" i="10"/>
  <c r="W35" i="10" s="1"/>
  <c r="W53" i="10"/>
  <c r="W59" i="10" s="1"/>
  <c r="Z57" i="10" l="1"/>
  <c r="Y51" i="10"/>
  <c r="X33" i="10"/>
  <c r="X35" i="10" s="1"/>
  <c r="X53" i="10"/>
  <c r="X59" i="10" s="1"/>
  <c r="Y33" i="10" l="1"/>
  <c r="Y35" i="10" s="1"/>
  <c r="Y53" i="10"/>
  <c r="Y59" i="10" s="1"/>
  <c r="AA57" i="10"/>
  <c r="Z51" i="10"/>
  <c r="Z33" i="10" l="1"/>
  <c r="Z35" i="10" s="1"/>
  <c r="Z53" i="10"/>
  <c r="Z59" i="10" s="1"/>
  <c r="AB57" i="10"/>
  <c r="AB51" i="10" s="1"/>
  <c r="AA51" i="10"/>
  <c r="AA53" i="10" l="1"/>
  <c r="AA59" i="10" s="1"/>
  <c r="AA33" i="10"/>
  <c r="AA35" i="10" s="1"/>
  <c r="AB53" i="10"/>
  <c r="AB59" i="10" s="1"/>
  <c r="AB33" i="10"/>
  <c r="AB35" i="10" s="1"/>
  <c r="Q35" i="10"/>
  <c r="Q53" i="10"/>
  <c r="Q59" i="10" s="1"/>
  <c r="J40" i="11"/>
  <c r="N7" i="17"/>
  <c r="O7" i="17"/>
  <c r="W7" i="17"/>
  <c r="N8" i="17"/>
  <c r="O8" i="17"/>
  <c r="W8" i="17"/>
  <c r="N9" i="17"/>
  <c r="O9" i="17"/>
  <c r="N11" i="17"/>
  <c r="N13" i="17"/>
  <c r="O13" i="17"/>
  <c r="N15" i="17"/>
  <c r="O15" i="17"/>
  <c r="D16" i="17"/>
  <c r="D17" i="17"/>
  <c r="N17" i="17"/>
  <c r="O17" i="17"/>
  <c r="D18" i="17"/>
  <c r="M21" i="17"/>
  <c r="O21" i="17"/>
  <c r="M22" i="17"/>
  <c r="O22" i="17"/>
  <c r="D24" i="17"/>
  <c r="D25" i="17"/>
  <c r="O25" i="17"/>
  <c r="O30" i="17"/>
  <c r="O31" i="17"/>
  <c r="O33" i="17"/>
  <c r="Q19" i="20"/>
  <c r="R19" i="20"/>
  <c r="S19" i="20"/>
  <c r="T19" i="20"/>
  <c r="U19" i="20"/>
  <c r="V19" i="20"/>
  <c r="W19" i="20"/>
  <c r="X19" i="20"/>
  <c r="Y19" i="20"/>
  <c r="Z19" i="20"/>
  <c r="Q20" i="20"/>
  <c r="R20" i="20"/>
  <c r="S20" i="20"/>
  <c r="T20" i="20"/>
  <c r="U20" i="20"/>
  <c r="V20" i="20"/>
  <c r="W20" i="20"/>
  <c r="X20" i="20"/>
  <c r="Y20" i="20"/>
  <c r="Z20" i="20"/>
  <c r="Q21" i="20"/>
  <c r="R21" i="20"/>
  <c r="S21" i="20"/>
  <c r="T21" i="20"/>
  <c r="U21" i="20"/>
  <c r="V21" i="20"/>
  <c r="W21" i="20"/>
  <c r="X21" i="20"/>
  <c r="Y21" i="20"/>
  <c r="Z21" i="20"/>
  <c r="Q23" i="20"/>
  <c r="R23" i="20"/>
  <c r="S23" i="20"/>
  <c r="T23" i="20"/>
  <c r="U23" i="20"/>
  <c r="V23" i="20"/>
  <c r="W23" i="20"/>
  <c r="X23" i="20"/>
  <c r="Y23" i="20"/>
  <c r="Z23" i="20"/>
  <c r="Q25" i="20"/>
  <c r="R25" i="20"/>
  <c r="S25" i="20"/>
  <c r="T25" i="20"/>
  <c r="U25" i="20"/>
  <c r="V25" i="20"/>
  <c r="W25" i="20"/>
  <c r="X25" i="20"/>
  <c r="Y25" i="20"/>
  <c r="Z25" i="20"/>
  <c r="Q26" i="20"/>
  <c r="R26" i="20"/>
  <c r="S26" i="20"/>
  <c r="T26" i="20"/>
  <c r="U26" i="20"/>
  <c r="V26" i="20"/>
  <c r="W26" i="20"/>
  <c r="X26" i="20"/>
  <c r="Y26" i="20"/>
  <c r="Z26" i="20"/>
  <c r="Q30" i="20"/>
  <c r="R30" i="20"/>
  <c r="S30" i="20"/>
  <c r="T30" i="20"/>
  <c r="U30" i="20"/>
  <c r="V30" i="20"/>
  <c r="W30" i="20"/>
  <c r="X30" i="20"/>
  <c r="Y30" i="20"/>
  <c r="Z30" i="20"/>
  <c r="Q33" i="20"/>
  <c r="R33" i="20"/>
  <c r="S33" i="20"/>
  <c r="T33" i="20"/>
  <c r="U33" i="20"/>
  <c r="V33" i="20"/>
  <c r="W33" i="20"/>
  <c r="X33" i="20"/>
  <c r="Y33" i="20"/>
  <c r="Z33" i="20"/>
  <c r="Q40" i="20"/>
  <c r="R40" i="20"/>
  <c r="S40" i="20"/>
  <c r="T40" i="20"/>
  <c r="U40" i="20"/>
  <c r="V40" i="20"/>
  <c r="W40" i="20"/>
  <c r="X40" i="20"/>
  <c r="Y40" i="20"/>
  <c r="Z40" i="20"/>
  <c r="Q41" i="20"/>
  <c r="R41" i="20"/>
  <c r="S41" i="20"/>
  <c r="T41" i="20"/>
  <c r="U41" i="20"/>
  <c r="V41" i="20"/>
  <c r="W41" i="20"/>
  <c r="X41" i="20"/>
  <c r="Y41" i="20"/>
  <c r="Z41" i="20"/>
  <c r="Q42" i="20"/>
  <c r="R42" i="20"/>
  <c r="S42" i="20"/>
  <c r="T42" i="20"/>
  <c r="U42" i="20"/>
  <c r="V42" i="20"/>
  <c r="W42" i="20"/>
  <c r="X42" i="20"/>
  <c r="Y42" i="20"/>
  <c r="Z42" i="20"/>
  <c r="Q43" i="20"/>
  <c r="R43" i="20"/>
  <c r="S43" i="20"/>
  <c r="T43" i="20"/>
  <c r="U43" i="20"/>
  <c r="V43" i="20"/>
  <c r="W43" i="20"/>
  <c r="X43" i="20"/>
  <c r="Y43" i="20"/>
  <c r="Z43" i="20"/>
  <c r="Q44" i="20"/>
  <c r="R44" i="20"/>
  <c r="S44" i="20"/>
  <c r="T44" i="20"/>
  <c r="U44" i="20"/>
  <c r="V44" i="20"/>
  <c r="W44" i="20"/>
  <c r="X44" i="20"/>
  <c r="Y44" i="20"/>
  <c r="Z44" i="20"/>
  <c r="Q45" i="20"/>
  <c r="R45" i="20"/>
  <c r="S45" i="20"/>
  <c r="T45" i="20"/>
  <c r="U45" i="20"/>
  <c r="V45" i="20"/>
  <c r="W45" i="20"/>
  <c r="X45" i="20"/>
  <c r="Y45" i="20"/>
  <c r="Z45" i="20"/>
  <c r="Q46" i="20"/>
  <c r="R46" i="20"/>
  <c r="S46" i="20"/>
  <c r="T46" i="20"/>
  <c r="U46" i="20"/>
  <c r="V46" i="20"/>
  <c r="W46" i="20"/>
  <c r="X46" i="20"/>
  <c r="Y46" i="20"/>
  <c r="Z46" i="20"/>
  <c r="Q48" i="20"/>
  <c r="R48" i="20"/>
  <c r="S48" i="20"/>
  <c r="T48" i="20"/>
  <c r="U48" i="20"/>
  <c r="V48" i="20"/>
  <c r="W48" i="20"/>
  <c r="X48" i="20"/>
  <c r="Y48" i="20"/>
  <c r="Z48" i="20"/>
  <c r="Q49" i="20"/>
  <c r="R49" i="20"/>
  <c r="S49" i="20"/>
  <c r="T49" i="20"/>
  <c r="U49" i="20"/>
  <c r="V49" i="20"/>
  <c r="W49" i="20"/>
  <c r="X49" i="20"/>
  <c r="Y49" i="20"/>
  <c r="Z49" i="20"/>
  <c r="Q50" i="20"/>
  <c r="R50" i="20"/>
  <c r="S50" i="20"/>
  <c r="T50" i="20"/>
  <c r="U50" i="20"/>
  <c r="V50" i="20"/>
  <c r="W50" i="20"/>
  <c r="X50" i="20"/>
  <c r="Y50" i="20"/>
  <c r="Z50" i="20"/>
  <c r="Q51" i="20"/>
  <c r="R51" i="20"/>
  <c r="S51" i="20"/>
  <c r="T51" i="20"/>
  <c r="U51" i="20"/>
  <c r="V51" i="20"/>
  <c r="W51" i="20"/>
  <c r="X51" i="20"/>
  <c r="Y51" i="20"/>
  <c r="Z51" i="20"/>
  <c r="Q52" i="20"/>
  <c r="R52" i="20"/>
  <c r="S52" i="20"/>
  <c r="T52" i="20"/>
  <c r="U52" i="20"/>
  <c r="V52" i="20"/>
  <c r="W52" i="20"/>
  <c r="X52" i="20"/>
  <c r="Y52" i="20"/>
  <c r="Z52" i="20"/>
  <c r="Q55" i="20"/>
  <c r="R55" i="20"/>
  <c r="S55" i="20"/>
  <c r="T55" i="20"/>
  <c r="U55" i="20"/>
  <c r="V55" i="20"/>
  <c r="W55" i="20"/>
  <c r="X55" i="20"/>
  <c r="Y55" i="20"/>
  <c r="Z55" i="20"/>
  <c r="Q56" i="20"/>
  <c r="R56" i="20"/>
  <c r="S56" i="20"/>
  <c r="T56" i="20"/>
  <c r="U56" i="20"/>
  <c r="V56" i="20"/>
  <c r="W56" i="20"/>
  <c r="X56" i="20"/>
  <c r="Y56" i="20"/>
  <c r="Z56" i="20"/>
  <c r="Q57" i="20"/>
  <c r="R57" i="20"/>
  <c r="S57" i="20"/>
  <c r="T57" i="20"/>
  <c r="U57" i="20"/>
  <c r="V57" i="20"/>
  <c r="W57" i="20"/>
  <c r="X57" i="20"/>
  <c r="Y57" i="20"/>
  <c r="Z57" i="20"/>
  <c r="Q58" i="20"/>
  <c r="R58" i="20"/>
  <c r="S58" i="20"/>
  <c r="T58" i="20"/>
  <c r="U58" i="20"/>
  <c r="V58" i="20"/>
  <c r="W58" i="20"/>
  <c r="X58" i="20"/>
  <c r="Y58" i="20"/>
  <c r="Z58" i="20"/>
  <c r="Q59" i="20"/>
  <c r="R59" i="20"/>
  <c r="S59" i="20"/>
  <c r="T59" i="20"/>
  <c r="U59" i="20"/>
  <c r="V59" i="20"/>
  <c r="W59" i="20"/>
  <c r="X59" i="20"/>
  <c r="Y59" i="20"/>
  <c r="Z59" i="20"/>
  <c r="Q61" i="20"/>
  <c r="R61" i="20"/>
  <c r="S61" i="20"/>
  <c r="T61" i="20"/>
  <c r="U61" i="20"/>
  <c r="V61" i="20"/>
  <c r="W61" i="20"/>
  <c r="X61" i="20"/>
  <c r="Y61" i="20"/>
  <c r="Z61" i="20"/>
  <c r="Q62" i="20"/>
  <c r="R62" i="20"/>
  <c r="S62" i="20"/>
  <c r="T62" i="20"/>
  <c r="U62" i="20"/>
  <c r="V62" i="20"/>
  <c r="W62" i="20"/>
  <c r="X62" i="20"/>
  <c r="Y62" i="20"/>
  <c r="Z62" i="20"/>
  <c r="Q63" i="20"/>
  <c r="R63" i="20"/>
  <c r="S63" i="20"/>
  <c r="T63" i="20"/>
  <c r="U63" i="20"/>
  <c r="V63" i="20"/>
  <c r="W63" i="20"/>
  <c r="X63" i="20"/>
  <c r="Y63" i="20"/>
  <c r="Z63" i="20"/>
  <c r="Q65" i="20"/>
  <c r="R65" i="20"/>
  <c r="S65" i="20"/>
  <c r="T65" i="20"/>
  <c r="U65" i="20"/>
  <c r="V65" i="20"/>
  <c r="W65" i="20"/>
  <c r="X65" i="20"/>
  <c r="Y65" i="20"/>
  <c r="Z65" i="20"/>
  <c r="Q66" i="20"/>
  <c r="R66" i="20"/>
  <c r="S66" i="20"/>
  <c r="T66" i="20"/>
  <c r="U66" i="20"/>
  <c r="V66" i="20"/>
  <c r="W66" i="20"/>
  <c r="X66" i="20"/>
  <c r="Y66" i="20"/>
  <c r="Z66" i="20"/>
  <c r="Q67" i="20"/>
  <c r="R67" i="20"/>
  <c r="S67" i="20"/>
  <c r="T67" i="20"/>
  <c r="U67" i="20"/>
  <c r="V67" i="20"/>
  <c r="W67" i="20"/>
  <c r="X67" i="20"/>
  <c r="Y67" i="20"/>
  <c r="Z67" i="20"/>
  <c r="Q70" i="20"/>
  <c r="R70" i="20"/>
  <c r="S70" i="20"/>
  <c r="T70" i="20"/>
  <c r="U70" i="20"/>
  <c r="V70" i="20"/>
  <c r="W70" i="20"/>
  <c r="X70" i="20"/>
  <c r="Y70" i="20"/>
  <c r="Z70" i="20"/>
  <c r="Q73" i="20"/>
  <c r="R73" i="20"/>
  <c r="S73" i="20"/>
  <c r="T73" i="20"/>
  <c r="U73" i="20"/>
  <c r="V73" i="20"/>
  <c r="W73" i="20"/>
  <c r="X73" i="20"/>
  <c r="Y73" i="20"/>
  <c r="Z73" i="20"/>
  <c r="Q74" i="20"/>
  <c r="R74" i="20"/>
  <c r="S74" i="20"/>
  <c r="T74" i="20"/>
  <c r="U74" i="20"/>
  <c r="V74" i="20"/>
  <c r="W74" i="20"/>
  <c r="X74" i="20"/>
  <c r="Y74" i="20"/>
  <c r="Z74" i="20"/>
  <c r="Q75" i="20"/>
  <c r="R75" i="20"/>
  <c r="S75" i="20"/>
  <c r="T75" i="20"/>
  <c r="U75" i="20"/>
  <c r="V75" i="20"/>
  <c r="W75" i="20"/>
  <c r="X75" i="20"/>
  <c r="Y75" i="20"/>
  <c r="Z75" i="20"/>
  <c r="Q76" i="20"/>
  <c r="R76" i="20"/>
  <c r="S76" i="20"/>
  <c r="T76" i="20"/>
  <c r="U76" i="20"/>
  <c r="V76" i="20"/>
  <c r="W76" i="20"/>
  <c r="X76" i="20"/>
  <c r="Y76" i="20"/>
  <c r="Z76" i="20"/>
  <c r="Q77" i="20"/>
  <c r="R77" i="20"/>
  <c r="S77" i="20"/>
  <c r="T77" i="20"/>
  <c r="U77" i="20"/>
  <c r="V77" i="20"/>
  <c r="W77" i="20"/>
  <c r="X77" i="20"/>
  <c r="Y77" i="20"/>
  <c r="Z77" i="20"/>
  <c r="Q78" i="20"/>
  <c r="R78" i="20"/>
  <c r="S78" i="20"/>
  <c r="T78" i="20"/>
  <c r="U78" i="20"/>
  <c r="V78" i="20"/>
  <c r="W78" i="20"/>
  <c r="X78" i="20"/>
  <c r="Y78" i="20"/>
  <c r="Z78" i="20"/>
  <c r="N10" i="15"/>
  <c r="O10" i="15"/>
  <c r="P10" i="15"/>
  <c r="Q10" i="15"/>
  <c r="R10" i="15"/>
  <c r="S10" i="15"/>
  <c r="T10" i="15"/>
  <c r="U10" i="15"/>
  <c r="V10" i="15"/>
  <c r="W10" i="15"/>
  <c r="N11" i="15"/>
  <c r="O11" i="15"/>
  <c r="P11" i="15"/>
  <c r="Q11" i="15"/>
  <c r="R11" i="15"/>
  <c r="S11" i="15"/>
  <c r="T11" i="15"/>
  <c r="U11" i="15"/>
  <c r="V11" i="15"/>
  <c r="W11" i="15"/>
  <c r="BD12" i="15"/>
  <c r="N17" i="15"/>
  <c r="O17" i="15"/>
  <c r="P17" i="15"/>
  <c r="Q17" i="15"/>
  <c r="R17" i="15"/>
  <c r="S17" i="15"/>
  <c r="T17" i="15"/>
  <c r="U17" i="15"/>
  <c r="V17" i="15"/>
  <c r="W17" i="15"/>
  <c r="N18" i="15"/>
  <c r="O18" i="15"/>
  <c r="P18" i="15"/>
  <c r="Q18" i="15"/>
  <c r="R18" i="15"/>
  <c r="S18" i="15"/>
  <c r="T18" i="15"/>
  <c r="U18" i="15"/>
  <c r="V18" i="15"/>
  <c r="W18" i="15"/>
  <c r="N19" i="15"/>
  <c r="N20" i="15"/>
  <c r="O20" i="15"/>
  <c r="P20" i="15"/>
  <c r="Q20" i="15"/>
  <c r="R20" i="15"/>
  <c r="S20" i="15"/>
  <c r="T20" i="15"/>
  <c r="U20" i="15"/>
  <c r="V20" i="15"/>
  <c r="W20" i="15"/>
  <c r="D24" i="15"/>
  <c r="N27" i="15"/>
  <c r="O27" i="15"/>
  <c r="P27" i="15"/>
  <c r="Q27" i="15"/>
  <c r="R27" i="15"/>
  <c r="S27" i="15"/>
  <c r="T27" i="15"/>
  <c r="U27" i="15"/>
  <c r="V27" i="15"/>
  <c r="W27" i="15"/>
  <c r="N28" i="15"/>
  <c r="O28" i="15"/>
  <c r="P28" i="15"/>
  <c r="Q28" i="15"/>
  <c r="R28" i="15"/>
  <c r="S28" i="15"/>
  <c r="T28" i="15"/>
  <c r="U28" i="15"/>
  <c r="V28" i="15"/>
  <c r="W28" i="15"/>
  <c r="D29" i="15"/>
  <c r="D30" i="15"/>
  <c r="D31" i="15"/>
  <c r="D35" i="15"/>
  <c r="D37" i="15"/>
  <c r="N45" i="15"/>
  <c r="O45" i="15"/>
  <c r="P45" i="15"/>
  <c r="Q45" i="15"/>
  <c r="R45" i="15"/>
  <c r="S45" i="15"/>
  <c r="T45" i="15"/>
  <c r="U45" i="15"/>
  <c r="V45" i="15"/>
  <c r="W45" i="15"/>
  <c r="N47" i="15"/>
  <c r="O47" i="15"/>
  <c r="P47" i="15"/>
  <c r="Q47" i="15"/>
  <c r="R47" i="15"/>
  <c r="S47" i="15"/>
  <c r="T47" i="15"/>
  <c r="U47" i="15"/>
  <c r="V47" i="15"/>
  <c r="W47" i="15"/>
  <c r="N48" i="15"/>
  <c r="O48" i="15"/>
  <c r="P48" i="15"/>
  <c r="Q48" i="15"/>
  <c r="R48" i="15"/>
  <c r="S48" i="15"/>
  <c r="T48" i="15"/>
  <c r="U48" i="15"/>
  <c r="V48" i="15"/>
  <c r="W48" i="15"/>
  <c r="N50" i="15"/>
  <c r="O50" i="15"/>
  <c r="P50" i="15"/>
  <c r="Q50" i="15"/>
  <c r="R50" i="15"/>
  <c r="S50" i="15"/>
  <c r="T50" i="15"/>
  <c r="U50" i="15"/>
  <c r="V50" i="15"/>
  <c r="W50" i="15"/>
  <c r="N51" i="15"/>
  <c r="O51" i="15"/>
  <c r="P51" i="15"/>
  <c r="Q51" i="15"/>
  <c r="R51" i="15"/>
  <c r="S51" i="15"/>
  <c r="T51" i="15"/>
  <c r="U51" i="15"/>
  <c r="V51" i="15"/>
  <c r="W51" i="15"/>
  <c r="N57" i="15"/>
  <c r="O57" i="15"/>
  <c r="P57" i="15"/>
  <c r="Q57" i="15"/>
  <c r="R57" i="15"/>
  <c r="S57" i="15"/>
  <c r="T57" i="15"/>
  <c r="U57" i="15"/>
  <c r="V57" i="15"/>
  <c r="W57" i="15"/>
  <c r="N58" i="15"/>
  <c r="O58" i="15"/>
  <c r="P58" i="15"/>
  <c r="Q58" i="15"/>
  <c r="R58" i="15"/>
  <c r="S58" i="15"/>
  <c r="T58" i="15"/>
  <c r="U58" i="15"/>
  <c r="V58" i="15"/>
  <c r="W58" i="15"/>
  <c r="BD58" i="15"/>
  <c r="N64" i="15"/>
  <c r="O64" i="15"/>
  <c r="P64" i="15"/>
  <c r="Q64" i="15"/>
  <c r="R64" i="15"/>
  <c r="S64" i="15"/>
  <c r="T64" i="15"/>
  <c r="U64" i="15"/>
  <c r="V64" i="15"/>
  <c r="W64" i="15"/>
  <c r="N65" i="15"/>
  <c r="O65" i="15"/>
  <c r="P65" i="15"/>
  <c r="Q65" i="15"/>
  <c r="R65" i="15"/>
  <c r="S65" i="15"/>
  <c r="T65" i="15"/>
  <c r="U65" i="15"/>
  <c r="V65" i="15"/>
  <c r="W65" i="15"/>
  <c r="N66" i="15"/>
  <c r="N67" i="15"/>
  <c r="O67" i="15"/>
  <c r="P67" i="15"/>
  <c r="Q67" i="15"/>
  <c r="R67" i="15"/>
  <c r="S67" i="15"/>
  <c r="T67" i="15"/>
  <c r="U67" i="15"/>
  <c r="V67" i="15"/>
  <c r="W67" i="15"/>
  <c r="D70" i="15"/>
  <c r="N73" i="15"/>
  <c r="O73" i="15"/>
  <c r="P73" i="15"/>
  <c r="Q73" i="15"/>
  <c r="R73" i="15"/>
  <c r="S73" i="15"/>
  <c r="T73" i="15"/>
  <c r="U73" i="15"/>
  <c r="V73" i="15"/>
  <c r="W73" i="15"/>
  <c r="N74" i="15"/>
  <c r="O74" i="15"/>
  <c r="P74" i="15"/>
  <c r="Q74" i="15"/>
  <c r="R74" i="15"/>
  <c r="S74" i="15"/>
  <c r="T74" i="15"/>
  <c r="U74" i="15"/>
  <c r="V74" i="15"/>
  <c r="W74" i="15"/>
  <c r="D75" i="15"/>
  <c r="D76" i="15"/>
  <c r="D77" i="15"/>
  <c r="D82" i="15"/>
  <c r="D84" i="15"/>
  <c r="Q58" i="6"/>
  <c r="R58" i="6"/>
  <c r="S58" i="6"/>
  <c r="T58" i="6"/>
  <c r="U58" i="6"/>
  <c r="V58" i="6"/>
  <c r="W58" i="6"/>
  <c r="X58" i="6"/>
  <c r="Y58" i="6"/>
  <c r="Z58" i="6"/>
  <c r="Q59" i="6"/>
  <c r="R59" i="6"/>
  <c r="S59" i="6"/>
  <c r="T59" i="6"/>
  <c r="U59" i="6"/>
  <c r="V59" i="6"/>
  <c r="W59" i="6"/>
  <c r="X59" i="6"/>
  <c r="Y59" i="6"/>
  <c r="Z59" i="6"/>
  <c r="Q60" i="6"/>
  <c r="R60" i="6"/>
  <c r="S60" i="6"/>
  <c r="T60" i="6"/>
  <c r="U60" i="6"/>
  <c r="V60" i="6"/>
  <c r="W60" i="6"/>
  <c r="X60" i="6"/>
  <c r="Y60" i="6"/>
  <c r="Z60" i="6"/>
  <c r="Q66" i="6"/>
  <c r="R66" i="6"/>
  <c r="S66" i="6"/>
  <c r="T66" i="6"/>
  <c r="U66" i="6"/>
  <c r="V66" i="6"/>
  <c r="W66" i="6"/>
  <c r="X66" i="6"/>
  <c r="Y66" i="6"/>
  <c r="Z66" i="6"/>
  <c r="Q68" i="6"/>
  <c r="R68" i="6"/>
  <c r="S68" i="6"/>
  <c r="T68" i="6"/>
  <c r="U68" i="6"/>
  <c r="V68" i="6"/>
  <c r="W68" i="6"/>
  <c r="X68" i="6"/>
  <c r="Y68" i="6"/>
  <c r="Z68" i="6"/>
  <c r="Q69" i="6"/>
  <c r="R69" i="6"/>
  <c r="S69" i="6"/>
  <c r="T69" i="6"/>
  <c r="U69" i="6"/>
  <c r="V69" i="6"/>
  <c r="W69" i="6"/>
  <c r="X69" i="6"/>
  <c r="Y69" i="6"/>
  <c r="Z69" i="6"/>
  <c r="Q70" i="6"/>
  <c r="R70" i="6"/>
  <c r="S70" i="6"/>
  <c r="T70" i="6"/>
  <c r="U70" i="6"/>
  <c r="V70" i="6"/>
  <c r="W70" i="6"/>
  <c r="X70" i="6"/>
  <c r="Y70" i="6"/>
  <c r="Z70" i="6"/>
  <c r="Q77" i="6"/>
  <c r="R77" i="6"/>
  <c r="S77" i="6"/>
  <c r="T77" i="6"/>
  <c r="U77" i="6"/>
  <c r="V77" i="6"/>
  <c r="W77" i="6"/>
  <c r="X77" i="6"/>
  <c r="Y77" i="6"/>
  <c r="Z77" i="6"/>
  <c r="Q84" i="6"/>
  <c r="R84" i="6"/>
  <c r="S84" i="6"/>
  <c r="T84" i="6"/>
  <c r="U84" i="6"/>
  <c r="V84" i="6"/>
  <c r="W84" i="6"/>
  <c r="X84" i="6"/>
  <c r="Y84" i="6"/>
  <c r="Z84" i="6"/>
  <c r="Q85" i="6"/>
  <c r="R85" i="6"/>
  <c r="S85" i="6"/>
  <c r="T85" i="6"/>
  <c r="U85" i="6"/>
  <c r="V85" i="6"/>
  <c r="W85" i="6"/>
  <c r="X85" i="6"/>
  <c r="Y85" i="6"/>
  <c r="Z85" i="6"/>
  <c r="Q86" i="6"/>
  <c r="R86" i="6"/>
  <c r="S86" i="6"/>
  <c r="T86" i="6"/>
  <c r="U86" i="6"/>
  <c r="V86" i="6"/>
  <c r="W86" i="6"/>
  <c r="X86" i="6"/>
  <c r="Y86" i="6"/>
  <c r="Z86" i="6"/>
  <c r="Q88" i="6"/>
  <c r="R88" i="6"/>
  <c r="S88" i="6"/>
  <c r="T88" i="6"/>
  <c r="U88" i="6"/>
  <c r="V88" i="6"/>
  <c r="W88" i="6"/>
  <c r="X88" i="6"/>
  <c r="Y88" i="6"/>
  <c r="Z88" i="6"/>
  <c r="Q90" i="6"/>
  <c r="R90" i="6"/>
  <c r="S90" i="6"/>
  <c r="T90" i="6"/>
  <c r="U90" i="6"/>
  <c r="V90" i="6"/>
  <c r="W90" i="6"/>
  <c r="X90" i="6"/>
  <c r="Y90" i="6"/>
  <c r="Z90" i="6"/>
  <c r="Q92" i="6"/>
  <c r="R92" i="6"/>
  <c r="S92" i="6"/>
  <c r="T92" i="6"/>
  <c r="U92" i="6"/>
  <c r="V92" i="6"/>
  <c r="W92" i="6"/>
  <c r="X92" i="6"/>
  <c r="Y92" i="6"/>
  <c r="Z92" i="6"/>
  <c r="Q93" i="6"/>
  <c r="R93" i="6"/>
  <c r="S93" i="6"/>
  <c r="T93" i="6"/>
  <c r="U93" i="6"/>
  <c r="V93" i="6"/>
  <c r="W93" i="6"/>
  <c r="X93" i="6"/>
  <c r="Y93" i="6"/>
  <c r="Z93" i="6"/>
  <c r="Q94" i="6"/>
  <c r="R94" i="6"/>
  <c r="S94" i="6"/>
  <c r="T94" i="6"/>
  <c r="U94" i="6"/>
  <c r="V94" i="6"/>
  <c r="W94" i="6"/>
  <c r="X94" i="6"/>
  <c r="Y94" i="6"/>
  <c r="Z94" i="6"/>
  <c r="Q98" i="6"/>
  <c r="R98" i="6"/>
  <c r="S98" i="6"/>
  <c r="T98" i="6"/>
  <c r="U98" i="6"/>
  <c r="V98" i="6"/>
  <c r="W98" i="6"/>
  <c r="X98" i="6"/>
  <c r="Y98" i="6"/>
  <c r="Z98" i="6"/>
  <c r="Q100" i="6"/>
  <c r="R100" i="6"/>
  <c r="S100" i="6"/>
  <c r="T100" i="6"/>
  <c r="U100" i="6"/>
  <c r="V100" i="6"/>
  <c r="W100" i="6"/>
  <c r="X100" i="6"/>
  <c r="Y100" i="6"/>
  <c r="Z100" i="6"/>
  <c r="Q102" i="6"/>
  <c r="R102" i="6"/>
  <c r="S102" i="6"/>
  <c r="T102" i="6"/>
  <c r="U102" i="6"/>
  <c r="V102" i="6"/>
  <c r="W102" i="6"/>
  <c r="X102" i="6"/>
  <c r="Y102" i="6"/>
  <c r="Z102" i="6"/>
  <c r="Q106" i="6"/>
  <c r="R106" i="6"/>
  <c r="S106" i="6"/>
  <c r="T106" i="6"/>
  <c r="U106" i="6"/>
  <c r="V106" i="6"/>
  <c r="W106" i="6"/>
  <c r="X106" i="6"/>
  <c r="Y106" i="6"/>
  <c r="Z106" i="6"/>
  <c r="Q107" i="6"/>
  <c r="R107" i="6"/>
  <c r="S107" i="6"/>
  <c r="T107" i="6"/>
  <c r="U107" i="6"/>
  <c r="V107" i="6"/>
  <c r="W107" i="6"/>
  <c r="X107" i="6"/>
  <c r="Y107" i="6"/>
  <c r="Z107" i="6"/>
  <c r="Q109" i="6"/>
  <c r="R109" i="6"/>
  <c r="S109" i="6"/>
  <c r="T109" i="6"/>
  <c r="U109" i="6"/>
  <c r="V109" i="6"/>
  <c r="W109" i="6"/>
  <c r="X109" i="6"/>
  <c r="Y109" i="6"/>
  <c r="Z109" i="6"/>
  <c r="Q110" i="6"/>
  <c r="R110" i="6"/>
  <c r="S110" i="6"/>
  <c r="T110" i="6"/>
  <c r="U110" i="6"/>
  <c r="V110" i="6"/>
  <c r="W110" i="6"/>
  <c r="X110" i="6"/>
  <c r="Y110" i="6"/>
  <c r="Z110" i="6"/>
  <c r="Q112" i="6"/>
  <c r="R112" i="6"/>
  <c r="S112" i="6"/>
  <c r="T112" i="6"/>
  <c r="U112" i="6"/>
  <c r="V112" i="6"/>
  <c r="W112" i="6"/>
  <c r="X112" i="6"/>
  <c r="Y112" i="6"/>
  <c r="Z112" i="6"/>
  <c r="Q113" i="6"/>
  <c r="R113" i="6"/>
  <c r="S113" i="6"/>
  <c r="T113" i="6"/>
  <c r="U113" i="6"/>
  <c r="V113" i="6"/>
  <c r="W113" i="6"/>
  <c r="X113" i="6"/>
  <c r="Y113" i="6"/>
  <c r="Z113" i="6"/>
  <c r="Q116" i="6"/>
  <c r="R116" i="6"/>
  <c r="S116" i="6"/>
  <c r="T116" i="6"/>
  <c r="U116" i="6"/>
  <c r="V116" i="6"/>
  <c r="W116" i="6"/>
  <c r="X116" i="6"/>
  <c r="Y116" i="6"/>
  <c r="Z116" i="6"/>
  <c r="Q118" i="6"/>
  <c r="R118" i="6"/>
  <c r="S118" i="6"/>
  <c r="T118" i="6"/>
  <c r="U118" i="6"/>
  <c r="V118" i="6"/>
  <c r="W118" i="6"/>
  <c r="X118" i="6"/>
  <c r="Y118" i="6"/>
  <c r="Z118" i="6"/>
  <c r="Q127" i="6"/>
  <c r="R127" i="6"/>
  <c r="S127" i="6"/>
  <c r="T127" i="6"/>
  <c r="U127" i="6"/>
  <c r="V127" i="6"/>
  <c r="W127" i="6"/>
  <c r="X127" i="6"/>
  <c r="Y127" i="6"/>
  <c r="Z127" i="6"/>
  <c r="Q128" i="6"/>
  <c r="R128" i="6"/>
  <c r="S128" i="6"/>
  <c r="T128" i="6"/>
  <c r="U128" i="6"/>
  <c r="V128" i="6"/>
  <c r="W128" i="6"/>
  <c r="X128" i="6"/>
  <c r="Y128" i="6"/>
  <c r="Z128" i="6"/>
  <c r="Q131" i="6"/>
  <c r="R131" i="6"/>
  <c r="S131" i="6"/>
  <c r="T131" i="6"/>
  <c r="U131" i="6"/>
  <c r="V131" i="6"/>
  <c r="W131" i="6"/>
  <c r="X131" i="6"/>
  <c r="Y131" i="6"/>
  <c r="Z131" i="6"/>
  <c r="Q135" i="6"/>
  <c r="R135" i="6"/>
  <c r="S135" i="6"/>
  <c r="T135" i="6"/>
  <c r="U135" i="6"/>
  <c r="V135" i="6"/>
  <c r="W135" i="6"/>
  <c r="X135" i="6"/>
  <c r="Y135" i="6"/>
  <c r="Z135" i="6"/>
  <c r="Q136" i="6"/>
  <c r="R136" i="6"/>
  <c r="S136" i="6"/>
  <c r="T136" i="6"/>
  <c r="U136" i="6"/>
  <c r="V136" i="6"/>
  <c r="W136" i="6"/>
  <c r="X136" i="6"/>
  <c r="Y136" i="6"/>
  <c r="Z136" i="6"/>
  <c r="Q142" i="6"/>
  <c r="R142" i="6"/>
  <c r="S142" i="6"/>
  <c r="T142" i="6"/>
  <c r="U142" i="6"/>
  <c r="V142" i="6"/>
  <c r="W142" i="6"/>
  <c r="X142" i="6"/>
  <c r="Y142" i="6"/>
  <c r="Z142" i="6"/>
  <c r="Q143" i="6"/>
  <c r="R143" i="6"/>
  <c r="S143" i="6"/>
  <c r="T143" i="6"/>
  <c r="U143" i="6"/>
  <c r="V143" i="6"/>
  <c r="W143" i="6"/>
  <c r="X143" i="6"/>
  <c r="Y143" i="6"/>
  <c r="Z143" i="6"/>
  <c r="Q145" i="6"/>
  <c r="R145" i="6"/>
  <c r="S145" i="6"/>
  <c r="T145" i="6"/>
  <c r="U145" i="6"/>
  <c r="V145" i="6"/>
  <c r="W145" i="6"/>
  <c r="X145" i="6"/>
  <c r="Y145" i="6"/>
  <c r="Z145" i="6"/>
  <c r="Q146" i="6"/>
  <c r="R146" i="6"/>
  <c r="S146" i="6"/>
  <c r="T146" i="6"/>
  <c r="U146" i="6"/>
  <c r="V146" i="6"/>
  <c r="W146" i="6"/>
  <c r="X146" i="6"/>
  <c r="Y146" i="6"/>
  <c r="Z146" i="6"/>
  <c r="Q155" i="6"/>
  <c r="R155" i="6"/>
  <c r="S155" i="6"/>
  <c r="T155" i="6"/>
  <c r="U155" i="6"/>
  <c r="V155" i="6"/>
  <c r="W155" i="6"/>
  <c r="X155" i="6"/>
  <c r="Y155" i="6"/>
  <c r="Z155" i="6"/>
  <c r="Q157" i="6"/>
  <c r="R157" i="6"/>
  <c r="S157" i="6"/>
  <c r="T157" i="6"/>
  <c r="U157" i="6"/>
  <c r="V157" i="6"/>
  <c r="W157" i="6"/>
  <c r="X157" i="6"/>
  <c r="Y157" i="6"/>
  <c r="Z157" i="6"/>
  <c r="Q158" i="6"/>
  <c r="R158" i="6"/>
  <c r="S158" i="6"/>
  <c r="T158" i="6"/>
  <c r="U158" i="6"/>
  <c r="V158" i="6"/>
  <c r="W158" i="6"/>
  <c r="X158" i="6"/>
  <c r="Y158" i="6"/>
  <c r="Z158" i="6"/>
  <c r="Q178" i="6"/>
  <c r="R178" i="6"/>
  <c r="S178" i="6"/>
  <c r="T178" i="6"/>
  <c r="U178" i="6"/>
  <c r="V178" i="6"/>
  <c r="W178" i="6"/>
  <c r="X178" i="6"/>
  <c r="Y178" i="6"/>
  <c r="Z178" i="6"/>
  <c r="Q180" i="6"/>
  <c r="R180" i="6"/>
  <c r="S180" i="6"/>
  <c r="T180" i="6"/>
  <c r="U180" i="6"/>
  <c r="V180" i="6"/>
  <c r="W180" i="6"/>
  <c r="X180" i="6"/>
  <c r="Y180" i="6"/>
  <c r="Z180" i="6"/>
  <c r="Q213" i="6"/>
  <c r="R213" i="6"/>
  <c r="S213" i="6"/>
  <c r="T213" i="6"/>
  <c r="U213" i="6"/>
  <c r="V213" i="6"/>
  <c r="W213" i="6"/>
  <c r="X213" i="6"/>
  <c r="Y213" i="6"/>
  <c r="Z213" i="6"/>
  <c r="Q214" i="6"/>
  <c r="R214" i="6"/>
  <c r="S214" i="6"/>
  <c r="T214" i="6"/>
  <c r="U214" i="6"/>
  <c r="V214" i="6"/>
  <c r="W214" i="6"/>
  <c r="X214" i="6"/>
  <c r="Y214" i="6"/>
  <c r="Z214" i="6"/>
  <c r="Q264" i="6"/>
  <c r="R264" i="6"/>
  <c r="S264" i="6"/>
  <c r="T264" i="6"/>
  <c r="U264" i="6"/>
  <c r="V264" i="6"/>
  <c r="W264" i="6"/>
  <c r="X264" i="6"/>
  <c r="Y264" i="6"/>
  <c r="Z264" i="6"/>
  <c r="Q265" i="6"/>
  <c r="R265" i="6"/>
  <c r="S265" i="6"/>
  <c r="T265" i="6"/>
  <c r="U265" i="6"/>
  <c r="V265" i="6"/>
  <c r="W265" i="6"/>
  <c r="X265" i="6"/>
  <c r="Y265" i="6"/>
  <c r="Z265" i="6"/>
  <c r="Q267" i="6"/>
  <c r="R267" i="6"/>
  <c r="S267" i="6"/>
  <c r="T267" i="6"/>
  <c r="U267" i="6"/>
  <c r="V267" i="6"/>
  <c r="W267" i="6"/>
  <c r="X267" i="6"/>
  <c r="Y267" i="6"/>
  <c r="Z267" i="6"/>
  <c r="Q270" i="6"/>
  <c r="R270" i="6"/>
  <c r="S270" i="6"/>
  <c r="T270" i="6"/>
  <c r="U270" i="6"/>
  <c r="V270" i="6"/>
  <c r="W270" i="6"/>
  <c r="X270" i="6"/>
  <c r="Y270" i="6"/>
  <c r="Z270" i="6"/>
  <c r="Q272" i="6"/>
  <c r="R272" i="6"/>
  <c r="S272" i="6"/>
  <c r="T272" i="6"/>
  <c r="U272" i="6"/>
  <c r="V272" i="6"/>
  <c r="W272" i="6"/>
  <c r="X272" i="6"/>
  <c r="Y272" i="6"/>
  <c r="Z272" i="6"/>
  <c r="Q273" i="6"/>
  <c r="R273" i="6"/>
  <c r="S273" i="6"/>
  <c r="T273" i="6"/>
  <c r="U273" i="6"/>
  <c r="V273" i="6"/>
  <c r="W273" i="6"/>
  <c r="X273" i="6"/>
  <c r="Y273" i="6"/>
  <c r="Z273" i="6"/>
  <c r="Q295" i="6"/>
  <c r="R295" i="6"/>
  <c r="S295" i="6"/>
  <c r="T295" i="6"/>
  <c r="U295" i="6"/>
  <c r="V295" i="6"/>
  <c r="W295" i="6"/>
  <c r="X295" i="6"/>
  <c r="Y295" i="6"/>
  <c r="Z295" i="6"/>
  <c r="Q296" i="6"/>
  <c r="R296" i="6"/>
  <c r="S296" i="6"/>
  <c r="T296" i="6"/>
  <c r="U296" i="6"/>
  <c r="V296" i="6"/>
  <c r="W296" i="6"/>
  <c r="X296" i="6"/>
  <c r="Y296" i="6"/>
  <c r="Z296" i="6"/>
  <c r="Q352" i="6"/>
  <c r="R352" i="6"/>
  <c r="S352" i="6"/>
  <c r="T352" i="6"/>
  <c r="U352" i="6"/>
  <c r="V352" i="6"/>
  <c r="W352" i="6"/>
  <c r="X352" i="6"/>
  <c r="Y352" i="6"/>
  <c r="Z352" i="6"/>
  <c r="Q353" i="6"/>
  <c r="R353" i="6"/>
  <c r="S353" i="6"/>
  <c r="T353" i="6"/>
  <c r="U353" i="6"/>
  <c r="V353" i="6"/>
  <c r="W353" i="6"/>
  <c r="X353" i="6"/>
  <c r="Y353" i="6"/>
  <c r="Z353" i="6"/>
  <c r="Q357" i="6"/>
  <c r="R357" i="6"/>
  <c r="S357" i="6"/>
  <c r="T357" i="6"/>
  <c r="U357" i="6"/>
  <c r="V357" i="6"/>
  <c r="W357" i="6"/>
  <c r="X357" i="6"/>
  <c r="Y357" i="6"/>
  <c r="Z357" i="6"/>
  <c r="Q358" i="6"/>
  <c r="R358" i="6"/>
  <c r="S358" i="6"/>
  <c r="T358" i="6"/>
  <c r="U358" i="6"/>
  <c r="V358" i="6"/>
  <c r="W358" i="6"/>
  <c r="X358" i="6"/>
  <c r="Y358" i="6"/>
  <c r="Z358" i="6"/>
  <c r="Q359" i="6"/>
  <c r="R359" i="6"/>
  <c r="S359" i="6"/>
  <c r="T359" i="6"/>
  <c r="U359" i="6"/>
  <c r="V359" i="6"/>
  <c r="W359" i="6"/>
  <c r="X359" i="6"/>
  <c r="Y359" i="6"/>
  <c r="Z359" i="6"/>
  <c r="Q376" i="6"/>
  <c r="R376" i="6"/>
  <c r="S376" i="6"/>
  <c r="T376" i="6"/>
  <c r="U376" i="6"/>
  <c r="V376" i="6"/>
  <c r="W376" i="6"/>
  <c r="X376" i="6"/>
  <c r="Y376" i="6"/>
  <c r="Z376" i="6"/>
  <c r="Q377" i="6"/>
  <c r="R377" i="6"/>
  <c r="S377" i="6"/>
  <c r="T377" i="6"/>
  <c r="U377" i="6"/>
  <c r="V377" i="6"/>
  <c r="W377" i="6"/>
  <c r="X377" i="6"/>
  <c r="Y377" i="6"/>
  <c r="Z377" i="6"/>
  <c r="Q378" i="6"/>
  <c r="R378" i="6"/>
  <c r="S378" i="6"/>
  <c r="T378" i="6"/>
  <c r="U378" i="6"/>
  <c r="V378" i="6"/>
  <c r="W378" i="6"/>
  <c r="X378" i="6"/>
  <c r="Y378" i="6"/>
  <c r="Z378" i="6"/>
  <c r="Q380" i="6"/>
  <c r="R380" i="6"/>
  <c r="S380" i="6"/>
  <c r="T380" i="6"/>
  <c r="U380" i="6"/>
  <c r="V380" i="6"/>
  <c r="W380" i="6"/>
  <c r="X380" i="6"/>
  <c r="Y380" i="6"/>
  <c r="Z380" i="6"/>
  <c r="Q382" i="6"/>
  <c r="R382" i="6"/>
  <c r="S382" i="6"/>
  <c r="T382" i="6"/>
  <c r="U382" i="6"/>
  <c r="V382" i="6"/>
  <c r="W382" i="6"/>
  <c r="X382" i="6"/>
  <c r="Y382" i="6"/>
  <c r="Z382" i="6"/>
  <c r="Q384" i="6"/>
  <c r="R384" i="6"/>
  <c r="S384" i="6"/>
  <c r="T384" i="6"/>
  <c r="U384" i="6"/>
  <c r="V384" i="6"/>
  <c r="W384" i="6"/>
  <c r="X384" i="6"/>
  <c r="Y384" i="6"/>
  <c r="Z384" i="6"/>
  <c r="Q385" i="6"/>
  <c r="R385" i="6"/>
  <c r="S385" i="6"/>
  <c r="T385" i="6"/>
  <c r="U385" i="6"/>
  <c r="V385" i="6"/>
  <c r="W385" i="6"/>
  <c r="X385" i="6"/>
  <c r="Y385" i="6"/>
  <c r="Z385" i="6"/>
  <c r="Q387" i="6"/>
  <c r="R387" i="6"/>
  <c r="S387" i="6"/>
  <c r="T387" i="6"/>
  <c r="U387" i="6"/>
  <c r="V387" i="6"/>
  <c r="W387" i="6"/>
  <c r="X387" i="6"/>
  <c r="Y387" i="6"/>
  <c r="Z387" i="6"/>
  <c r="Q388" i="6"/>
  <c r="R388" i="6"/>
  <c r="S388" i="6"/>
  <c r="T388" i="6"/>
  <c r="U388" i="6"/>
  <c r="V388" i="6"/>
  <c r="W388" i="6"/>
  <c r="X388" i="6"/>
  <c r="Y388" i="6"/>
  <c r="Z388" i="6"/>
  <c r="Q390" i="6"/>
  <c r="R390" i="6"/>
  <c r="S390" i="6"/>
  <c r="T390" i="6"/>
  <c r="U390" i="6"/>
  <c r="V390" i="6"/>
  <c r="W390" i="6"/>
  <c r="X390" i="6"/>
  <c r="Y390" i="6"/>
  <c r="Z390" i="6"/>
  <c r="Q394" i="6"/>
  <c r="R394" i="6"/>
  <c r="S394" i="6"/>
  <c r="T394" i="6"/>
  <c r="U394" i="6"/>
  <c r="V394" i="6"/>
  <c r="W394" i="6"/>
  <c r="X394" i="6"/>
  <c r="Y394" i="6"/>
  <c r="Z394" i="6"/>
  <c r="Q396" i="6"/>
  <c r="R396" i="6"/>
  <c r="S396" i="6"/>
  <c r="T396" i="6"/>
  <c r="U396" i="6"/>
  <c r="V396" i="6"/>
  <c r="W396" i="6"/>
  <c r="X396" i="6"/>
  <c r="Y396" i="6"/>
  <c r="Z396" i="6"/>
  <c r="Q411" i="6"/>
  <c r="R411" i="6"/>
  <c r="S411" i="6"/>
  <c r="T411" i="6"/>
  <c r="U411" i="6"/>
  <c r="V411" i="6"/>
  <c r="W411" i="6"/>
  <c r="X411" i="6"/>
  <c r="Y411" i="6"/>
  <c r="Z411" i="6"/>
  <c r="Q21" i="19"/>
  <c r="R21" i="19"/>
  <c r="S21" i="19"/>
  <c r="T21" i="19"/>
  <c r="U21" i="19"/>
  <c r="V21" i="19"/>
  <c r="W21" i="19"/>
  <c r="X21" i="19"/>
  <c r="Y21" i="19"/>
  <c r="Z21" i="19"/>
  <c r="Q22" i="19"/>
  <c r="R22" i="19"/>
  <c r="S22" i="19"/>
  <c r="T22" i="19"/>
  <c r="U22" i="19"/>
  <c r="V22" i="19"/>
  <c r="W22" i="19"/>
  <c r="X22" i="19"/>
  <c r="Y22" i="19"/>
  <c r="Z22" i="19"/>
  <c r="Q23" i="19"/>
  <c r="R23" i="19"/>
  <c r="S23" i="19"/>
  <c r="T23" i="19"/>
  <c r="U23" i="19"/>
  <c r="V23" i="19"/>
  <c r="W23" i="19"/>
  <c r="X23" i="19"/>
  <c r="Y23" i="19"/>
  <c r="Z23" i="19"/>
  <c r="Q28" i="19"/>
  <c r="R28" i="19"/>
  <c r="S28" i="19"/>
  <c r="T28" i="19"/>
  <c r="U28" i="19"/>
  <c r="V28" i="19"/>
  <c r="W28" i="19"/>
  <c r="X28" i="19"/>
  <c r="Y28" i="19"/>
  <c r="Z28" i="19"/>
  <c r="Q29" i="19"/>
  <c r="R29" i="19"/>
  <c r="S29" i="19"/>
  <c r="T29" i="19"/>
  <c r="U29" i="19"/>
  <c r="V29" i="19"/>
  <c r="W29" i="19"/>
  <c r="X29" i="19"/>
  <c r="Y29" i="19"/>
  <c r="Z29" i="19"/>
  <c r="Q31" i="19"/>
  <c r="R31" i="19"/>
  <c r="S31" i="19"/>
  <c r="T31" i="19"/>
  <c r="U31" i="19"/>
  <c r="V31" i="19"/>
  <c r="W31" i="19"/>
  <c r="X31" i="19"/>
  <c r="Y31" i="19"/>
  <c r="Z31" i="19"/>
  <c r="Q32" i="19"/>
  <c r="R32" i="19"/>
  <c r="S32" i="19"/>
  <c r="T32" i="19"/>
  <c r="U32" i="19"/>
  <c r="V32" i="19"/>
  <c r="W32" i="19"/>
  <c r="X32" i="19"/>
  <c r="Y32" i="19"/>
  <c r="Z32" i="19"/>
  <c r="Q33" i="19"/>
  <c r="R33" i="19"/>
  <c r="S33" i="19"/>
  <c r="T33" i="19"/>
  <c r="U33" i="19"/>
  <c r="V33" i="19"/>
  <c r="W33" i="19"/>
  <c r="X33" i="19"/>
  <c r="Y33" i="19"/>
  <c r="Z33" i="19"/>
  <c r="Q34" i="19"/>
  <c r="R34" i="19"/>
  <c r="S34" i="19"/>
  <c r="T34" i="19"/>
  <c r="U34" i="19"/>
  <c r="V34" i="19"/>
  <c r="W34" i="19"/>
  <c r="X34" i="19"/>
  <c r="Y34" i="19"/>
  <c r="Z34" i="19"/>
  <c r="Q35" i="19"/>
  <c r="R35" i="19"/>
  <c r="S35" i="19"/>
  <c r="T35" i="19"/>
  <c r="U35" i="19"/>
  <c r="V35" i="19"/>
  <c r="W35" i="19"/>
  <c r="X35" i="19"/>
  <c r="Y35" i="19"/>
  <c r="Z35" i="19"/>
  <c r="Q37" i="19"/>
  <c r="R37" i="19"/>
  <c r="S37" i="19"/>
  <c r="T37" i="19"/>
  <c r="U37" i="19"/>
  <c r="V37" i="19"/>
  <c r="W37" i="19"/>
  <c r="X37" i="19"/>
  <c r="Y37" i="19"/>
  <c r="Z37" i="19"/>
  <c r="Q40" i="19"/>
  <c r="R40" i="19"/>
  <c r="S40" i="19"/>
  <c r="T40" i="19"/>
  <c r="U40" i="19"/>
  <c r="V40" i="19"/>
  <c r="W40" i="19"/>
  <c r="X40" i="19"/>
  <c r="Y40" i="19"/>
  <c r="Z40" i="19"/>
  <c r="Q43" i="19"/>
  <c r="R43" i="19"/>
  <c r="S43" i="19"/>
  <c r="T43" i="19"/>
  <c r="U43" i="19"/>
  <c r="V43" i="19"/>
  <c r="W43" i="19"/>
  <c r="X43" i="19"/>
  <c r="Y43" i="19"/>
  <c r="Z43" i="19"/>
  <c r="Q44" i="19"/>
  <c r="R44" i="19"/>
  <c r="S44" i="19"/>
  <c r="T44" i="19"/>
  <c r="U44" i="19"/>
  <c r="V44" i="19"/>
  <c r="W44" i="19"/>
  <c r="X44" i="19"/>
  <c r="Y44" i="19"/>
  <c r="Z44" i="19"/>
  <c r="Q59" i="19"/>
  <c r="R59" i="19"/>
  <c r="S59" i="19"/>
  <c r="T59" i="19"/>
  <c r="U59" i="19"/>
  <c r="V59" i="19"/>
  <c r="W59" i="19"/>
  <c r="X59" i="19"/>
  <c r="Y59" i="19"/>
  <c r="Z59" i="19"/>
  <c r="Q60" i="19"/>
  <c r="R60" i="19"/>
  <c r="S60" i="19"/>
  <c r="T60" i="19"/>
  <c r="U60" i="19"/>
  <c r="V60" i="19"/>
  <c r="W60" i="19"/>
  <c r="X60" i="19"/>
  <c r="Y60" i="19"/>
  <c r="Z60" i="19"/>
  <c r="Q66" i="19"/>
  <c r="R66" i="19"/>
  <c r="S66" i="19"/>
  <c r="T66" i="19"/>
  <c r="U66" i="19"/>
  <c r="V66" i="19"/>
  <c r="W66" i="19"/>
  <c r="X66" i="19"/>
  <c r="Y66" i="19"/>
  <c r="Z66" i="19"/>
  <c r="Q67" i="19"/>
  <c r="R67" i="19"/>
  <c r="S67" i="19"/>
  <c r="T67" i="19"/>
  <c r="U67" i="19"/>
  <c r="V67" i="19"/>
  <c r="W67" i="19"/>
  <c r="X67" i="19"/>
  <c r="Y67" i="19"/>
  <c r="Z67" i="19"/>
  <c r="Q78" i="19"/>
  <c r="R78" i="19"/>
  <c r="S78" i="19"/>
  <c r="T78" i="19"/>
  <c r="U78" i="19"/>
  <c r="V78" i="19"/>
  <c r="W78" i="19"/>
  <c r="X78" i="19"/>
  <c r="Y78" i="19"/>
  <c r="Z78" i="19"/>
  <c r="Q79" i="19"/>
  <c r="R79" i="19"/>
  <c r="S79" i="19"/>
  <c r="T79" i="19"/>
  <c r="U79" i="19"/>
  <c r="V79" i="19"/>
  <c r="W79" i="19"/>
  <c r="X79" i="19"/>
  <c r="Y79" i="19"/>
  <c r="Z79" i="19"/>
  <c r="Q82" i="19"/>
  <c r="R82" i="19"/>
  <c r="S82" i="19"/>
  <c r="T82" i="19"/>
  <c r="U82" i="19"/>
  <c r="V82" i="19"/>
  <c r="W82" i="19"/>
  <c r="X82" i="19"/>
  <c r="Y82" i="19"/>
  <c r="Z82" i="19"/>
  <c r="Q83" i="19"/>
  <c r="R83" i="19"/>
  <c r="S83" i="19"/>
  <c r="T83" i="19"/>
  <c r="U83" i="19"/>
  <c r="V83" i="19"/>
  <c r="W83" i="19"/>
  <c r="X83" i="19"/>
  <c r="Y83" i="19"/>
  <c r="Z83" i="19"/>
  <c r="Q88" i="19"/>
  <c r="R88" i="19"/>
  <c r="S88" i="19"/>
  <c r="T88" i="19"/>
  <c r="U88" i="19"/>
  <c r="V88" i="19"/>
  <c r="W88" i="19"/>
  <c r="X88" i="19"/>
  <c r="Y88" i="19"/>
  <c r="Z88" i="19"/>
  <c r="Q89" i="19"/>
  <c r="R89" i="19"/>
  <c r="S89" i="19"/>
  <c r="T89" i="19"/>
  <c r="U89" i="19"/>
  <c r="V89" i="19"/>
  <c r="W89" i="19"/>
  <c r="X89" i="19"/>
  <c r="Y89" i="19"/>
  <c r="Z89" i="19"/>
  <c r="Q99" i="19"/>
  <c r="R99" i="19"/>
  <c r="S99" i="19"/>
  <c r="T99" i="19"/>
  <c r="U99" i="19"/>
  <c r="V99" i="19"/>
  <c r="W99" i="19"/>
  <c r="X99" i="19"/>
  <c r="Y99" i="19"/>
  <c r="Z99" i="19"/>
  <c r="Q100" i="19"/>
  <c r="R100" i="19"/>
  <c r="S100" i="19"/>
  <c r="T100" i="19"/>
  <c r="U100" i="19"/>
  <c r="V100" i="19"/>
  <c r="W100" i="19"/>
  <c r="X100" i="19"/>
  <c r="Y100" i="19"/>
  <c r="Z100" i="19"/>
  <c r="Q103" i="19"/>
  <c r="R103" i="19"/>
  <c r="S103" i="19"/>
  <c r="T103" i="19"/>
  <c r="U103" i="19"/>
  <c r="V103" i="19"/>
  <c r="W103" i="19"/>
  <c r="X103" i="19"/>
  <c r="Y103" i="19"/>
  <c r="Z103" i="19"/>
  <c r="Q109" i="19"/>
  <c r="R109" i="19"/>
  <c r="S109" i="19"/>
  <c r="T109" i="19"/>
  <c r="U109" i="19"/>
  <c r="V109" i="19"/>
  <c r="W109" i="19"/>
  <c r="X109" i="19"/>
  <c r="Y109" i="19"/>
  <c r="Z109" i="19"/>
  <c r="Q110" i="19"/>
  <c r="R110" i="19"/>
  <c r="S110" i="19"/>
  <c r="T110" i="19"/>
  <c r="U110" i="19"/>
  <c r="V110" i="19"/>
  <c r="W110" i="19"/>
  <c r="X110" i="19"/>
  <c r="Y110" i="19"/>
  <c r="Z110" i="19"/>
  <c r="Q111" i="19"/>
  <c r="R111" i="19"/>
  <c r="S111" i="19"/>
  <c r="T111" i="19"/>
  <c r="U111" i="19"/>
  <c r="V111" i="19"/>
  <c r="W111" i="19"/>
  <c r="X111" i="19"/>
  <c r="Y111" i="19"/>
  <c r="Z111" i="19"/>
  <c r="Q112" i="19"/>
  <c r="R112" i="19"/>
  <c r="S112" i="19"/>
  <c r="T112" i="19"/>
  <c r="U112" i="19"/>
  <c r="V112" i="19"/>
  <c r="W112" i="19"/>
  <c r="X112" i="19"/>
  <c r="Y112" i="19"/>
  <c r="Z112" i="19"/>
  <c r="Q113" i="19"/>
  <c r="R113" i="19"/>
  <c r="S113" i="19"/>
  <c r="T113" i="19"/>
  <c r="U113" i="19"/>
  <c r="V113" i="19"/>
  <c r="W113" i="19"/>
  <c r="X113" i="19"/>
  <c r="Y113" i="19"/>
  <c r="Z113" i="19"/>
  <c r="Q128" i="19"/>
  <c r="R128" i="19"/>
  <c r="S128" i="19"/>
  <c r="T128" i="19"/>
  <c r="U128" i="19"/>
  <c r="V128" i="19"/>
  <c r="W128" i="19"/>
  <c r="X128" i="19"/>
  <c r="Y128" i="19"/>
  <c r="Z128" i="19"/>
  <c r="Q134" i="19"/>
  <c r="R134" i="19"/>
  <c r="S134" i="19"/>
  <c r="T134" i="19"/>
  <c r="U134" i="19"/>
  <c r="V134" i="19"/>
  <c r="W134" i="19"/>
  <c r="X134" i="19"/>
  <c r="Y134" i="19"/>
  <c r="Z134" i="19"/>
  <c r="Q136" i="19"/>
  <c r="R136" i="19"/>
  <c r="S136" i="19"/>
  <c r="T136" i="19"/>
  <c r="U136" i="19"/>
  <c r="V136" i="19"/>
  <c r="W136" i="19"/>
  <c r="X136" i="19"/>
  <c r="Y136" i="19"/>
  <c r="Z136" i="19"/>
  <c r="Q137" i="19"/>
  <c r="R137" i="19"/>
  <c r="S137" i="19"/>
  <c r="T137" i="19"/>
  <c r="U137" i="19"/>
  <c r="V137" i="19"/>
  <c r="W137" i="19"/>
  <c r="X137" i="19"/>
  <c r="Y137" i="19"/>
  <c r="Z137" i="19"/>
  <c r="Q138" i="19"/>
  <c r="R138" i="19"/>
  <c r="S138" i="19"/>
  <c r="T138" i="19"/>
  <c r="U138" i="19"/>
  <c r="V138" i="19"/>
  <c r="W138" i="19"/>
  <c r="X138" i="19"/>
  <c r="Y138" i="19"/>
  <c r="Z138" i="19"/>
  <c r="Q140" i="19"/>
  <c r="R140" i="19"/>
  <c r="S140" i="19"/>
  <c r="T140" i="19"/>
  <c r="U140" i="19"/>
  <c r="V140" i="19"/>
  <c r="W140" i="19"/>
  <c r="X140" i="19"/>
  <c r="Y140" i="19"/>
  <c r="Z140" i="19"/>
  <c r="Q146" i="19"/>
  <c r="R146" i="19"/>
  <c r="S146" i="19"/>
  <c r="T146" i="19"/>
  <c r="U146" i="19"/>
  <c r="V146" i="19"/>
  <c r="W146" i="19"/>
  <c r="X146" i="19"/>
  <c r="Y146" i="19"/>
  <c r="Z146" i="19"/>
  <c r="Q147" i="19"/>
  <c r="R147" i="19"/>
  <c r="S147" i="19"/>
  <c r="T147" i="19"/>
  <c r="U147" i="19"/>
  <c r="V147" i="19"/>
  <c r="W147" i="19"/>
  <c r="X147" i="19"/>
  <c r="Y147" i="19"/>
  <c r="Z147" i="19"/>
  <c r="Q151" i="19"/>
  <c r="R151" i="19"/>
  <c r="S151" i="19"/>
  <c r="T151" i="19"/>
  <c r="U151" i="19"/>
  <c r="V151" i="19"/>
  <c r="W151" i="19"/>
  <c r="X151" i="19"/>
  <c r="Y151" i="19"/>
  <c r="Z151" i="19"/>
  <c r="Q153" i="19"/>
  <c r="R153" i="19"/>
  <c r="S153" i="19"/>
  <c r="T153" i="19"/>
  <c r="U153" i="19"/>
  <c r="V153" i="19"/>
  <c r="W153" i="19"/>
  <c r="X153" i="19"/>
  <c r="Y153" i="19"/>
  <c r="Z153" i="19"/>
  <c r="Q154" i="19"/>
  <c r="R154" i="19"/>
  <c r="S154" i="19"/>
  <c r="T154" i="19"/>
  <c r="U154" i="19"/>
  <c r="V154" i="19"/>
  <c r="W154" i="19"/>
  <c r="X154" i="19"/>
  <c r="Y154" i="19"/>
  <c r="Z154" i="19"/>
  <c r="Q159" i="19"/>
  <c r="R159" i="19"/>
  <c r="S159" i="19"/>
  <c r="T159" i="19"/>
  <c r="U159" i="19"/>
  <c r="V159" i="19"/>
  <c r="W159" i="19"/>
  <c r="X159" i="19"/>
  <c r="Y159" i="19"/>
  <c r="Z159" i="19"/>
  <c r="Q162" i="19"/>
  <c r="R162" i="19"/>
  <c r="S162" i="19"/>
  <c r="T162" i="19"/>
  <c r="U162" i="19"/>
  <c r="V162" i="19"/>
  <c r="W162" i="19"/>
  <c r="X162" i="19"/>
  <c r="Y162" i="19"/>
  <c r="Z162" i="19"/>
  <c r="Q165" i="19"/>
  <c r="R165" i="19"/>
  <c r="S165" i="19"/>
  <c r="T165" i="19"/>
  <c r="U165" i="19"/>
  <c r="V165" i="19"/>
  <c r="W165" i="19"/>
  <c r="X165" i="19"/>
  <c r="Y165" i="19"/>
  <c r="Z165" i="19"/>
  <c r="Q166" i="19"/>
  <c r="R166" i="19"/>
  <c r="S166" i="19"/>
  <c r="T166" i="19"/>
  <c r="U166" i="19"/>
  <c r="V166" i="19"/>
  <c r="W166" i="19"/>
  <c r="X166" i="19"/>
  <c r="Y166" i="19"/>
  <c r="Z166" i="19"/>
  <c r="Q175" i="19"/>
  <c r="R175" i="19"/>
  <c r="S175" i="19"/>
  <c r="T175" i="19"/>
  <c r="U175" i="19"/>
  <c r="V175" i="19"/>
  <c r="W175" i="19"/>
  <c r="X175" i="19"/>
  <c r="Y175" i="19"/>
  <c r="Z175" i="19"/>
  <c r="Q178" i="19"/>
  <c r="R178" i="19"/>
  <c r="S178" i="19"/>
  <c r="T178" i="19"/>
  <c r="U178" i="19"/>
  <c r="V178" i="19"/>
  <c r="W178" i="19"/>
  <c r="X178" i="19"/>
  <c r="Y178" i="19"/>
  <c r="Z178" i="19"/>
  <c r="Q180" i="19"/>
  <c r="R180" i="19"/>
  <c r="S180" i="19"/>
  <c r="T180" i="19"/>
  <c r="U180" i="19"/>
  <c r="V180" i="19"/>
  <c r="W180" i="19"/>
  <c r="X180" i="19"/>
  <c r="Y180" i="19"/>
  <c r="Z180" i="19"/>
  <c r="Q183" i="19"/>
  <c r="R183" i="19"/>
  <c r="S183" i="19"/>
  <c r="T183" i="19"/>
  <c r="U183" i="19"/>
  <c r="V183" i="19"/>
  <c r="W183" i="19"/>
  <c r="X183" i="19"/>
  <c r="Y183" i="19"/>
  <c r="Z183" i="19"/>
  <c r="R184" i="19"/>
  <c r="S184" i="19"/>
  <c r="T184" i="19"/>
  <c r="U184" i="19"/>
  <c r="V184" i="19"/>
  <c r="W184" i="19"/>
  <c r="X184" i="19"/>
  <c r="Y184" i="19"/>
  <c r="Z184" i="19"/>
  <c r="Q186" i="19"/>
  <c r="R186" i="19"/>
  <c r="S186" i="19"/>
  <c r="T186" i="19"/>
  <c r="U186" i="19"/>
  <c r="V186" i="19"/>
  <c r="W186" i="19"/>
  <c r="X186" i="19"/>
  <c r="Y186" i="19"/>
  <c r="Z186" i="19"/>
  <c r="Q187" i="19"/>
  <c r="R187" i="19"/>
  <c r="S187" i="19"/>
  <c r="T187" i="19"/>
  <c r="U187" i="19"/>
  <c r="V187" i="19"/>
  <c r="W187" i="19"/>
  <c r="X187" i="19"/>
  <c r="Y187" i="19"/>
  <c r="Z187" i="19"/>
  <c r="Q21" i="8"/>
  <c r="R21" i="8"/>
  <c r="S21" i="8"/>
  <c r="T21" i="8"/>
  <c r="U21" i="8"/>
  <c r="V21" i="8"/>
  <c r="W21" i="8"/>
  <c r="X21" i="8"/>
  <c r="Y21" i="8"/>
  <c r="Z21" i="8"/>
  <c r="Q22" i="8"/>
  <c r="R22" i="8"/>
  <c r="S22" i="8"/>
  <c r="T22" i="8"/>
  <c r="U22" i="8"/>
  <c r="V22" i="8"/>
  <c r="W22" i="8"/>
  <c r="X22" i="8"/>
  <c r="Y22" i="8"/>
  <c r="Z22" i="8"/>
  <c r="Q23" i="8"/>
  <c r="R23" i="8"/>
  <c r="S23" i="8"/>
  <c r="T23" i="8"/>
  <c r="U23" i="8"/>
  <c r="V23" i="8"/>
  <c r="W23" i="8"/>
  <c r="X23" i="8"/>
  <c r="Y23" i="8"/>
  <c r="Z23" i="8"/>
  <c r="Q28" i="8"/>
  <c r="R28" i="8"/>
  <c r="S28" i="8"/>
  <c r="T28" i="8"/>
  <c r="U28" i="8"/>
  <c r="V28" i="8"/>
  <c r="W28" i="8"/>
  <c r="X28" i="8"/>
  <c r="Y28" i="8"/>
  <c r="Z28" i="8"/>
  <c r="Q29" i="8"/>
  <c r="R29" i="8"/>
  <c r="S29" i="8"/>
  <c r="T29" i="8"/>
  <c r="U29" i="8"/>
  <c r="V29" i="8"/>
  <c r="W29" i="8"/>
  <c r="X29" i="8"/>
  <c r="Y29" i="8"/>
  <c r="Z29" i="8"/>
  <c r="Q31" i="8"/>
  <c r="R31" i="8"/>
  <c r="S31" i="8"/>
  <c r="T31" i="8"/>
  <c r="U31" i="8"/>
  <c r="V31" i="8"/>
  <c r="W31" i="8"/>
  <c r="X31" i="8"/>
  <c r="Y31" i="8"/>
  <c r="Z31" i="8"/>
  <c r="Q32" i="8"/>
  <c r="R32" i="8"/>
  <c r="S32" i="8"/>
  <c r="T32" i="8"/>
  <c r="U32" i="8"/>
  <c r="V32" i="8"/>
  <c r="W32" i="8"/>
  <c r="X32" i="8"/>
  <c r="Y32" i="8"/>
  <c r="Z32" i="8"/>
  <c r="Q33" i="8"/>
  <c r="R33" i="8"/>
  <c r="S33" i="8"/>
  <c r="T33" i="8"/>
  <c r="U33" i="8"/>
  <c r="V33" i="8"/>
  <c r="W33" i="8"/>
  <c r="X33" i="8"/>
  <c r="Y33" i="8"/>
  <c r="Z33" i="8"/>
  <c r="Q34" i="8"/>
  <c r="R34" i="8"/>
  <c r="S34" i="8"/>
  <c r="T34" i="8"/>
  <c r="U34" i="8"/>
  <c r="V34" i="8"/>
  <c r="W34" i="8"/>
  <c r="X34" i="8"/>
  <c r="Y34" i="8"/>
  <c r="Z34" i="8"/>
  <c r="Q35" i="8"/>
  <c r="R35" i="8"/>
  <c r="S35" i="8"/>
  <c r="T35" i="8"/>
  <c r="U35" i="8"/>
  <c r="V35" i="8"/>
  <c r="W35" i="8"/>
  <c r="X35" i="8"/>
  <c r="Y35" i="8"/>
  <c r="Z35" i="8"/>
  <c r="Q37" i="8"/>
  <c r="R37" i="8"/>
  <c r="S37" i="8"/>
  <c r="T37" i="8"/>
  <c r="U37" i="8"/>
  <c r="V37" i="8"/>
  <c r="W37" i="8"/>
  <c r="X37" i="8"/>
  <c r="Y37" i="8"/>
  <c r="Z37" i="8"/>
  <c r="Q40" i="8"/>
  <c r="R40" i="8"/>
  <c r="S40" i="8"/>
  <c r="T40" i="8"/>
  <c r="U40" i="8"/>
  <c r="V40" i="8"/>
  <c r="W40" i="8"/>
  <c r="X40" i="8"/>
  <c r="Y40" i="8"/>
  <c r="Z40" i="8"/>
  <c r="Q43" i="8"/>
  <c r="R43" i="8"/>
  <c r="S43" i="8"/>
  <c r="T43" i="8"/>
  <c r="U43" i="8"/>
  <c r="V43" i="8"/>
  <c r="W43" i="8"/>
  <c r="X43" i="8"/>
  <c r="Y43" i="8"/>
  <c r="Z43" i="8"/>
  <c r="Q44" i="8"/>
  <c r="R44" i="8"/>
  <c r="S44" i="8"/>
  <c r="T44" i="8"/>
  <c r="U44" i="8"/>
  <c r="V44" i="8"/>
  <c r="W44" i="8"/>
  <c r="X44" i="8"/>
  <c r="Y44" i="8"/>
  <c r="Z44" i="8"/>
  <c r="Q59" i="8"/>
  <c r="R59" i="8"/>
  <c r="S59" i="8"/>
  <c r="T59" i="8"/>
  <c r="U59" i="8"/>
  <c r="V59" i="8"/>
  <c r="W59" i="8"/>
  <c r="X59" i="8"/>
  <c r="Y59" i="8"/>
  <c r="Z59" i="8"/>
  <c r="Q60" i="8"/>
  <c r="R60" i="8"/>
  <c r="S60" i="8"/>
  <c r="T60" i="8"/>
  <c r="U60" i="8"/>
  <c r="V60" i="8"/>
  <c r="W60" i="8"/>
  <c r="X60" i="8"/>
  <c r="Y60" i="8"/>
  <c r="Z60" i="8"/>
  <c r="Q66" i="8"/>
  <c r="R66" i="8"/>
  <c r="S66" i="8"/>
  <c r="T66" i="8"/>
  <c r="U66" i="8"/>
  <c r="V66" i="8"/>
  <c r="W66" i="8"/>
  <c r="X66" i="8"/>
  <c r="Y66" i="8"/>
  <c r="Z66" i="8"/>
  <c r="Q67" i="8"/>
  <c r="R67" i="8"/>
  <c r="S67" i="8"/>
  <c r="T67" i="8"/>
  <c r="U67" i="8"/>
  <c r="V67" i="8"/>
  <c r="W67" i="8"/>
  <c r="X67" i="8"/>
  <c r="Y67" i="8"/>
  <c r="Z67" i="8"/>
  <c r="Q78" i="8"/>
  <c r="R78" i="8"/>
  <c r="S78" i="8"/>
  <c r="T78" i="8"/>
  <c r="U78" i="8"/>
  <c r="V78" i="8"/>
  <c r="W78" i="8"/>
  <c r="X78" i="8"/>
  <c r="Y78" i="8"/>
  <c r="Z78" i="8"/>
  <c r="Q79" i="8"/>
  <c r="R79" i="8"/>
  <c r="S79" i="8"/>
  <c r="T79" i="8"/>
  <c r="U79" i="8"/>
  <c r="V79" i="8"/>
  <c r="W79" i="8"/>
  <c r="X79" i="8"/>
  <c r="Y79" i="8"/>
  <c r="Z79" i="8"/>
  <c r="Q82" i="8"/>
  <c r="R82" i="8"/>
  <c r="S82" i="8"/>
  <c r="T82" i="8"/>
  <c r="U82" i="8"/>
  <c r="V82" i="8"/>
  <c r="W82" i="8"/>
  <c r="X82" i="8"/>
  <c r="Y82" i="8"/>
  <c r="Z82" i="8"/>
  <c r="Q83" i="8"/>
  <c r="R83" i="8"/>
  <c r="S83" i="8"/>
  <c r="T83" i="8"/>
  <c r="U83" i="8"/>
  <c r="V83" i="8"/>
  <c r="W83" i="8"/>
  <c r="X83" i="8"/>
  <c r="Y83" i="8"/>
  <c r="Z83" i="8"/>
  <c r="Q88" i="8"/>
  <c r="R88" i="8"/>
  <c r="S88" i="8"/>
  <c r="T88" i="8"/>
  <c r="U88" i="8"/>
  <c r="V88" i="8"/>
  <c r="W88" i="8"/>
  <c r="X88" i="8"/>
  <c r="Y88" i="8"/>
  <c r="Z88" i="8"/>
  <c r="Q89" i="8"/>
  <c r="R89" i="8"/>
  <c r="S89" i="8"/>
  <c r="T89" i="8"/>
  <c r="U89" i="8"/>
  <c r="V89" i="8"/>
  <c r="W89" i="8"/>
  <c r="X89" i="8"/>
  <c r="Y89" i="8"/>
  <c r="Z89" i="8"/>
  <c r="Q99" i="8"/>
  <c r="R99" i="8"/>
  <c r="S99" i="8"/>
  <c r="T99" i="8"/>
  <c r="U99" i="8"/>
  <c r="V99" i="8"/>
  <c r="W99" i="8"/>
  <c r="X99" i="8"/>
  <c r="Y99" i="8"/>
  <c r="Z99" i="8"/>
  <c r="Q100" i="8"/>
  <c r="R100" i="8"/>
  <c r="S100" i="8"/>
  <c r="T100" i="8"/>
  <c r="U100" i="8"/>
  <c r="V100" i="8"/>
  <c r="W100" i="8"/>
  <c r="X100" i="8"/>
  <c r="Y100" i="8"/>
  <c r="Z100" i="8"/>
  <c r="Q103" i="8"/>
  <c r="R103" i="8"/>
  <c r="S103" i="8"/>
  <c r="T103" i="8"/>
  <c r="U103" i="8"/>
  <c r="V103" i="8"/>
  <c r="W103" i="8"/>
  <c r="X103" i="8"/>
  <c r="Y103" i="8"/>
  <c r="Z103" i="8"/>
  <c r="Q109" i="8"/>
  <c r="R109" i="8"/>
  <c r="S109" i="8"/>
  <c r="T109" i="8"/>
  <c r="U109" i="8"/>
  <c r="V109" i="8"/>
  <c r="W109" i="8"/>
  <c r="X109" i="8"/>
  <c r="Y109" i="8"/>
  <c r="Z109" i="8"/>
  <c r="Q110" i="8"/>
  <c r="R110" i="8"/>
  <c r="S110" i="8"/>
  <c r="T110" i="8"/>
  <c r="U110" i="8"/>
  <c r="V110" i="8"/>
  <c r="W110" i="8"/>
  <c r="X110" i="8"/>
  <c r="Y110" i="8"/>
  <c r="Z110" i="8"/>
  <c r="Q111" i="8"/>
  <c r="R111" i="8"/>
  <c r="S111" i="8"/>
  <c r="T111" i="8"/>
  <c r="U111" i="8"/>
  <c r="V111" i="8"/>
  <c r="W111" i="8"/>
  <c r="X111" i="8"/>
  <c r="Y111" i="8"/>
  <c r="Z111" i="8"/>
  <c r="Q112" i="8"/>
  <c r="R112" i="8"/>
  <c r="S112" i="8"/>
  <c r="T112" i="8"/>
  <c r="U112" i="8"/>
  <c r="V112" i="8"/>
  <c r="W112" i="8"/>
  <c r="X112" i="8"/>
  <c r="Y112" i="8"/>
  <c r="Z112" i="8"/>
  <c r="Q113" i="8"/>
  <c r="R113" i="8"/>
  <c r="S113" i="8"/>
  <c r="T113" i="8"/>
  <c r="U113" i="8"/>
  <c r="V113" i="8"/>
  <c r="W113" i="8"/>
  <c r="X113" i="8"/>
  <c r="Y113" i="8"/>
  <c r="Z113" i="8"/>
  <c r="Q128" i="8"/>
  <c r="R128" i="8"/>
  <c r="S128" i="8"/>
  <c r="T128" i="8"/>
  <c r="U128" i="8"/>
  <c r="V128" i="8"/>
  <c r="W128" i="8"/>
  <c r="X128" i="8"/>
  <c r="Y128" i="8"/>
  <c r="Z128" i="8"/>
  <c r="Q135" i="8"/>
  <c r="R135" i="8"/>
  <c r="S135" i="8"/>
  <c r="T135" i="8"/>
  <c r="U135" i="8"/>
  <c r="V135" i="8"/>
  <c r="W135" i="8"/>
  <c r="X135" i="8"/>
  <c r="Y135" i="8"/>
  <c r="Z135" i="8"/>
  <c r="Q137" i="8"/>
  <c r="R137" i="8"/>
  <c r="S137" i="8"/>
  <c r="T137" i="8"/>
  <c r="U137" i="8"/>
  <c r="V137" i="8"/>
  <c r="W137" i="8"/>
  <c r="X137" i="8"/>
  <c r="Y137" i="8"/>
  <c r="Z137" i="8"/>
  <c r="Q138" i="8"/>
  <c r="R138" i="8"/>
  <c r="S138" i="8"/>
  <c r="T138" i="8"/>
  <c r="U138" i="8"/>
  <c r="V138" i="8"/>
  <c r="W138" i="8"/>
  <c r="X138" i="8"/>
  <c r="Y138" i="8"/>
  <c r="Z138" i="8"/>
  <c r="Q139" i="8"/>
  <c r="R139" i="8"/>
  <c r="S139" i="8"/>
  <c r="T139" i="8"/>
  <c r="U139" i="8"/>
  <c r="V139" i="8"/>
  <c r="W139" i="8"/>
  <c r="X139" i="8"/>
  <c r="Y139" i="8"/>
  <c r="Z139" i="8"/>
  <c r="Q141" i="8"/>
  <c r="R141" i="8"/>
  <c r="S141" i="8"/>
  <c r="T141" i="8"/>
  <c r="U141" i="8"/>
  <c r="V141" i="8"/>
  <c r="W141" i="8"/>
  <c r="X141" i="8"/>
  <c r="Y141" i="8"/>
  <c r="Z141" i="8"/>
  <c r="Q147" i="8"/>
  <c r="R147" i="8"/>
  <c r="S147" i="8"/>
  <c r="T147" i="8"/>
  <c r="U147" i="8"/>
  <c r="V147" i="8"/>
  <c r="W147" i="8"/>
  <c r="X147" i="8"/>
  <c r="Y147" i="8"/>
  <c r="Z147" i="8"/>
  <c r="Q148" i="8"/>
  <c r="R148" i="8"/>
  <c r="S148" i="8"/>
  <c r="T148" i="8"/>
  <c r="U148" i="8"/>
  <c r="V148" i="8"/>
  <c r="W148" i="8"/>
  <c r="X148" i="8"/>
  <c r="Y148" i="8"/>
  <c r="Z148" i="8"/>
  <c r="Q152" i="8"/>
  <c r="R152" i="8"/>
  <c r="S152" i="8"/>
  <c r="T152" i="8"/>
  <c r="U152" i="8"/>
  <c r="V152" i="8"/>
  <c r="W152" i="8"/>
  <c r="X152" i="8"/>
  <c r="Y152" i="8"/>
  <c r="Z152" i="8"/>
  <c r="Q154" i="8"/>
  <c r="R154" i="8"/>
  <c r="S154" i="8"/>
  <c r="T154" i="8"/>
  <c r="U154" i="8"/>
  <c r="V154" i="8"/>
  <c r="W154" i="8"/>
  <c r="X154" i="8"/>
  <c r="Y154" i="8"/>
  <c r="Z154" i="8"/>
  <c r="Q155" i="8"/>
  <c r="R155" i="8"/>
  <c r="S155" i="8"/>
  <c r="T155" i="8"/>
  <c r="U155" i="8"/>
  <c r="V155" i="8"/>
  <c r="W155" i="8"/>
  <c r="X155" i="8"/>
  <c r="Y155" i="8"/>
  <c r="Z155" i="8"/>
  <c r="Q160" i="8"/>
  <c r="R160" i="8"/>
  <c r="S160" i="8"/>
  <c r="T160" i="8"/>
  <c r="U160" i="8"/>
  <c r="V160" i="8"/>
  <c r="W160" i="8"/>
  <c r="X160" i="8"/>
  <c r="Y160" i="8"/>
  <c r="Z160" i="8"/>
  <c r="Q163" i="8"/>
  <c r="R163" i="8"/>
  <c r="S163" i="8"/>
  <c r="T163" i="8"/>
  <c r="U163" i="8"/>
  <c r="V163" i="8"/>
  <c r="W163" i="8"/>
  <c r="X163" i="8"/>
  <c r="Y163" i="8"/>
  <c r="Z163" i="8"/>
  <c r="Q166" i="8"/>
  <c r="R166" i="8"/>
  <c r="S166" i="8"/>
  <c r="T166" i="8"/>
  <c r="U166" i="8"/>
  <c r="V166" i="8"/>
  <c r="W166" i="8"/>
  <c r="X166" i="8"/>
  <c r="Y166" i="8"/>
  <c r="Z166" i="8"/>
  <c r="Q175" i="8"/>
  <c r="R175" i="8"/>
  <c r="S175" i="8"/>
  <c r="T175" i="8"/>
  <c r="U175" i="8"/>
  <c r="V175" i="8"/>
  <c r="W175" i="8"/>
  <c r="X175" i="8"/>
  <c r="Y175" i="8"/>
  <c r="Z175" i="8"/>
  <c r="Q178" i="8"/>
  <c r="R178" i="8"/>
  <c r="S178" i="8"/>
  <c r="T178" i="8"/>
  <c r="U178" i="8"/>
  <c r="V178" i="8"/>
  <c r="W178" i="8"/>
  <c r="X178" i="8"/>
  <c r="Y178" i="8"/>
  <c r="Z178" i="8"/>
  <c r="Q180" i="8"/>
  <c r="R180" i="8"/>
  <c r="S180" i="8"/>
  <c r="T180" i="8"/>
  <c r="U180" i="8"/>
  <c r="V180" i="8"/>
  <c r="W180" i="8"/>
  <c r="X180" i="8"/>
  <c r="Y180" i="8"/>
  <c r="Z180" i="8"/>
  <c r="Q183" i="8"/>
  <c r="R183" i="8"/>
  <c r="S183" i="8"/>
  <c r="T183" i="8"/>
  <c r="U183" i="8"/>
  <c r="V183" i="8"/>
  <c r="W183" i="8"/>
  <c r="X183" i="8"/>
  <c r="Y183" i="8"/>
  <c r="Z183" i="8"/>
  <c r="R184" i="8"/>
  <c r="S184" i="8"/>
  <c r="T184" i="8"/>
  <c r="U184" i="8"/>
  <c r="V184" i="8"/>
  <c r="W184" i="8"/>
  <c r="X184" i="8"/>
  <c r="Y184" i="8"/>
  <c r="Z184" i="8"/>
  <c r="Q186" i="8"/>
  <c r="R186" i="8"/>
  <c r="S186" i="8"/>
  <c r="T186" i="8"/>
  <c r="U186" i="8"/>
  <c r="V186" i="8"/>
  <c r="W186" i="8"/>
  <c r="X186" i="8"/>
  <c r="Y186" i="8"/>
  <c r="Z186" i="8"/>
  <c r="Q187" i="8"/>
  <c r="R187" i="8"/>
  <c r="S187" i="8"/>
  <c r="T187" i="8"/>
  <c r="U187" i="8"/>
  <c r="V187" i="8"/>
  <c r="W187" i="8"/>
  <c r="X187" i="8"/>
  <c r="Y187" i="8"/>
  <c r="Z187" i="8"/>
  <c r="Q7" i="18"/>
  <c r="R7" i="18"/>
  <c r="S7" i="18"/>
  <c r="T7" i="18"/>
  <c r="U7" i="18"/>
  <c r="V7" i="18"/>
  <c r="W7" i="18"/>
  <c r="X7" i="18"/>
  <c r="Y7" i="18"/>
  <c r="Z7" i="18"/>
  <c r="Q8" i="18"/>
  <c r="R8" i="18"/>
  <c r="S8" i="18"/>
  <c r="T8" i="18"/>
  <c r="U8" i="18"/>
  <c r="V8" i="18"/>
  <c r="W8" i="18"/>
  <c r="X8" i="18"/>
  <c r="Y8" i="18"/>
  <c r="Z8" i="18"/>
  <c r="Q12" i="18"/>
  <c r="R12" i="18"/>
  <c r="S12" i="18"/>
  <c r="T12" i="18"/>
  <c r="U12" i="18"/>
  <c r="V12" i="18"/>
  <c r="W12" i="18"/>
  <c r="X12" i="18"/>
  <c r="Y12" i="18"/>
  <c r="Z12" i="18"/>
  <c r="Q13" i="18"/>
  <c r="R13" i="18"/>
  <c r="S13" i="18"/>
  <c r="T13" i="18"/>
  <c r="U13" i="18"/>
  <c r="V13" i="18"/>
  <c r="W13" i="18"/>
  <c r="X13" i="18"/>
  <c r="Y13" i="18"/>
  <c r="Z13" i="18"/>
  <c r="Q17" i="18"/>
  <c r="R17" i="18"/>
  <c r="S17" i="18"/>
  <c r="T17" i="18"/>
  <c r="U17" i="18"/>
  <c r="V17" i="18"/>
  <c r="W17" i="18"/>
  <c r="X17" i="18"/>
  <c r="Y17" i="18"/>
  <c r="Z17" i="18"/>
  <c r="Q18" i="18"/>
  <c r="R18" i="18"/>
  <c r="S18" i="18"/>
  <c r="T18" i="18"/>
  <c r="U18" i="18"/>
  <c r="V18" i="18"/>
  <c r="W18" i="18"/>
  <c r="X18" i="18"/>
  <c r="Y18" i="18"/>
  <c r="Z18" i="18"/>
  <c r="Q19" i="18"/>
  <c r="R19" i="18"/>
  <c r="S19" i="18"/>
  <c r="T19" i="18"/>
  <c r="U19" i="18"/>
  <c r="V19" i="18"/>
  <c r="W19" i="18"/>
  <c r="X19" i="18"/>
  <c r="Y19" i="18"/>
  <c r="Z19" i="18"/>
  <c r="Q20" i="18"/>
  <c r="R20" i="18"/>
  <c r="S20" i="18"/>
  <c r="T20" i="18"/>
  <c r="U20" i="18"/>
  <c r="V20" i="18"/>
  <c r="W20" i="18"/>
  <c r="X20" i="18"/>
  <c r="Y20" i="18"/>
  <c r="Z20" i="18"/>
  <c r="Q21" i="18"/>
  <c r="R21" i="18"/>
  <c r="S21" i="18"/>
  <c r="T21" i="18"/>
  <c r="U21" i="18"/>
  <c r="V21" i="18"/>
  <c r="W21" i="18"/>
  <c r="X21" i="18"/>
  <c r="Y21" i="18"/>
  <c r="Z21" i="18"/>
  <c r="Q22" i="18"/>
  <c r="R22" i="18"/>
  <c r="S22" i="18"/>
  <c r="T22" i="18"/>
  <c r="U22" i="18"/>
  <c r="V22" i="18"/>
  <c r="W22" i="18"/>
  <c r="X22" i="18"/>
  <c r="Y22" i="18"/>
  <c r="Z22" i="18"/>
  <c r="Q23" i="18"/>
  <c r="R23" i="18"/>
  <c r="S23" i="18"/>
  <c r="T23" i="18"/>
  <c r="U23" i="18"/>
  <c r="V23" i="18"/>
  <c r="W23" i="18"/>
  <c r="X23" i="18"/>
  <c r="Y23" i="18"/>
  <c r="Z23" i="18"/>
  <c r="Q29" i="18"/>
  <c r="R29" i="18"/>
  <c r="S29" i="18"/>
  <c r="T29" i="18"/>
  <c r="U29" i="18"/>
  <c r="V29" i="18"/>
  <c r="W29" i="18"/>
  <c r="X29" i="18"/>
  <c r="Y29" i="18"/>
  <c r="Z29" i="18"/>
  <c r="Q31" i="18"/>
  <c r="R31" i="18"/>
  <c r="S31" i="18"/>
  <c r="T31" i="18"/>
  <c r="U31" i="18"/>
  <c r="V31" i="18"/>
  <c r="W31" i="18"/>
  <c r="X31" i="18"/>
  <c r="Y31" i="18"/>
  <c r="Z31" i="18"/>
  <c r="Q32" i="18"/>
  <c r="R32" i="18"/>
  <c r="S32" i="18"/>
  <c r="T32" i="18"/>
  <c r="U32" i="18"/>
  <c r="V32" i="18"/>
  <c r="W32" i="18"/>
  <c r="X32" i="18"/>
  <c r="Y32" i="18"/>
  <c r="Z32" i="18"/>
  <c r="Q33" i="18"/>
  <c r="R33" i="18"/>
  <c r="S33" i="18"/>
  <c r="T33" i="18"/>
  <c r="U33" i="18"/>
  <c r="V33" i="18"/>
  <c r="W33" i="18"/>
  <c r="X33" i="18"/>
  <c r="Y33" i="18"/>
  <c r="Z33" i="18"/>
  <c r="Q34" i="18"/>
  <c r="R34" i="18"/>
  <c r="S34" i="18"/>
  <c r="T34" i="18"/>
  <c r="U34" i="18"/>
  <c r="V34" i="18"/>
  <c r="W34" i="18"/>
  <c r="X34" i="18"/>
  <c r="Y34" i="18"/>
  <c r="Z34" i="18"/>
  <c r="Q35" i="18"/>
  <c r="R35" i="18"/>
  <c r="S35" i="18"/>
  <c r="T35" i="18"/>
  <c r="U35" i="18"/>
  <c r="V35" i="18"/>
  <c r="W35" i="18"/>
  <c r="X35" i="18"/>
  <c r="Y35" i="18"/>
  <c r="Z35" i="18"/>
  <c r="Q36" i="18"/>
  <c r="R36" i="18"/>
  <c r="S36" i="18"/>
  <c r="T36" i="18"/>
  <c r="U36" i="18"/>
  <c r="V36" i="18"/>
  <c r="W36" i="18"/>
  <c r="X36" i="18"/>
  <c r="Y36" i="18"/>
  <c r="Z36" i="18"/>
  <c r="Q37" i="18"/>
  <c r="R37" i="18"/>
  <c r="S37" i="18"/>
  <c r="T37" i="18"/>
  <c r="U37" i="18"/>
  <c r="V37" i="18"/>
  <c r="W37" i="18"/>
  <c r="X37" i="18"/>
  <c r="Y37" i="18"/>
  <c r="Z37" i="18"/>
  <c r="Q44" i="18"/>
  <c r="R44" i="18"/>
  <c r="S44" i="18"/>
  <c r="T44" i="18"/>
  <c r="U44" i="18"/>
  <c r="V44" i="18"/>
  <c r="W44" i="18"/>
  <c r="X44" i="18"/>
  <c r="Y44" i="18"/>
  <c r="Z44" i="18"/>
  <c r="Q46" i="18"/>
  <c r="R46" i="18"/>
  <c r="S46" i="18"/>
  <c r="T46" i="18"/>
  <c r="U46" i="18"/>
  <c r="V46" i="18"/>
  <c r="W46" i="18"/>
  <c r="X46" i="18"/>
  <c r="Y46" i="18"/>
  <c r="Z46" i="18"/>
  <c r="Q49" i="18"/>
  <c r="R49" i="18"/>
  <c r="S49" i="18"/>
  <c r="T49" i="18"/>
  <c r="U49" i="18"/>
  <c r="V49" i="18"/>
  <c r="W49" i="18"/>
  <c r="X49" i="18"/>
  <c r="Y49" i="18"/>
  <c r="Z49" i="18"/>
  <c r="Q50" i="18"/>
  <c r="R50" i="18"/>
  <c r="S50" i="18"/>
  <c r="T50" i="18"/>
  <c r="U50" i="18"/>
  <c r="V50" i="18"/>
  <c r="W50" i="18"/>
  <c r="X50" i="18"/>
  <c r="Y50" i="18"/>
  <c r="Z50" i="18"/>
  <c r="Q52" i="18"/>
  <c r="R52" i="18"/>
  <c r="S52" i="18"/>
  <c r="T52" i="18"/>
  <c r="U52" i="18"/>
  <c r="V52" i="18"/>
  <c r="W52" i="18"/>
  <c r="X52" i="18"/>
  <c r="Y52" i="18"/>
  <c r="Z52" i="18"/>
  <c r="Q53" i="18"/>
  <c r="R53" i="18"/>
  <c r="S53" i="18"/>
  <c r="T53" i="18"/>
  <c r="U53" i="18"/>
  <c r="V53" i="18"/>
  <c r="W53" i="18"/>
  <c r="X53" i="18"/>
  <c r="Y53" i="18"/>
  <c r="Z53" i="18"/>
  <c r="Q54" i="18"/>
  <c r="R54" i="18"/>
  <c r="S54" i="18"/>
  <c r="T54" i="18"/>
  <c r="U54" i="18"/>
  <c r="V54" i="18"/>
  <c r="W54" i="18"/>
  <c r="X54" i="18"/>
  <c r="Y54" i="18"/>
  <c r="Z54" i="18"/>
  <c r="Q57" i="18"/>
  <c r="R57" i="18"/>
  <c r="S57" i="18"/>
  <c r="T57" i="18"/>
  <c r="U57" i="18"/>
  <c r="V57" i="18"/>
  <c r="W57" i="18"/>
  <c r="X57" i="18"/>
  <c r="Y57" i="18"/>
  <c r="Z57" i="18"/>
  <c r="Q58" i="18"/>
  <c r="R58" i="18"/>
  <c r="S58" i="18"/>
  <c r="T58" i="18"/>
  <c r="U58" i="18"/>
  <c r="V58" i="18"/>
  <c r="W58" i="18"/>
  <c r="X58" i="18"/>
  <c r="Y58" i="18"/>
  <c r="Z58" i="18"/>
  <c r="Q59" i="18"/>
  <c r="R59" i="18"/>
  <c r="S59" i="18"/>
  <c r="T59" i="18"/>
  <c r="U59" i="18"/>
  <c r="V59" i="18"/>
  <c r="W59" i="18"/>
  <c r="X59" i="18"/>
  <c r="Y59" i="18"/>
  <c r="Z59" i="18"/>
  <c r="Q60" i="18"/>
  <c r="R60" i="18"/>
  <c r="S60" i="18"/>
  <c r="T60" i="18"/>
  <c r="U60" i="18"/>
  <c r="V60" i="18"/>
  <c r="W60" i="18"/>
  <c r="X60" i="18"/>
  <c r="Y60" i="18"/>
  <c r="Z60" i="18"/>
  <c r="Q61" i="18"/>
  <c r="R61" i="18"/>
  <c r="S61" i="18"/>
  <c r="T61" i="18"/>
  <c r="U61" i="18"/>
  <c r="V61" i="18"/>
  <c r="W61" i="18"/>
  <c r="X61" i="18"/>
  <c r="Y61" i="18"/>
  <c r="Z61" i="18"/>
  <c r="Q62" i="18"/>
  <c r="R62" i="18"/>
  <c r="S62" i="18"/>
  <c r="T62" i="18"/>
  <c r="U62" i="18"/>
  <c r="V62" i="18"/>
  <c r="W62" i="18"/>
  <c r="X62" i="18"/>
  <c r="Y62" i="18"/>
  <c r="Z62" i="18"/>
  <c r="Q63" i="18"/>
  <c r="R63" i="18"/>
  <c r="S63" i="18"/>
  <c r="T63" i="18"/>
  <c r="U63" i="18"/>
  <c r="V63" i="18"/>
  <c r="W63" i="18"/>
  <c r="X63" i="18"/>
  <c r="Y63" i="18"/>
  <c r="Z63" i="18"/>
  <c r="Q64" i="18"/>
  <c r="R64" i="18"/>
  <c r="S64" i="18"/>
  <c r="T64" i="18"/>
  <c r="U64" i="18"/>
  <c r="V64" i="18"/>
  <c r="W64" i="18"/>
  <c r="X64" i="18"/>
  <c r="Y64" i="18"/>
  <c r="Z64" i="18"/>
  <c r="Q65" i="18"/>
  <c r="R65" i="18"/>
  <c r="S65" i="18"/>
  <c r="T65" i="18"/>
  <c r="U65" i="18"/>
  <c r="V65" i="18"/>
  <c r="W65" i="18"/>
  <c r="X65" i="18"/>
  <c r="Y65" i="18"/>
  <c r="Z65" i="18"/>
  <c r="Q67" i="18"/>
  <c r="R67" i="18"/>
  <c r="S67" i="18"/>
  <c r="T67" i="18"/>
  <c r="U67" i="18"/>
  <c r="V67" i="18"/>
  <c r="W67" i="18"/>
  <c r="X67" i="18"/>
  <c r="Y67" i="18"/>
  <c r="Z67" i="18"/>
  <c r="Q68" i="18"/>
  <c r="R68" i="18"/>
  <c r="S68" i="18"/>
  <c r="T68" i="18"/>
  <c r="U68" i="18"/>
  <c r="V68" i="18"/>
  <c r="W68" i="18"/>
  <c r="X68" i="18"/>
  <c r="Y68" i="18"/>
  <c r="Z68" i="18"/>
  <c r="Q69" i="18"/>
  <c r="R69" i="18"/>
  <c r="S69" i="18"/>
  <c r="T69" i="18"/>
  <c r="U69" i="18"/>
  <c r="V69" i="18"/>
  <c r="W69" i="18"/>
  <c r="X69" i="18"/>
  <c r="Y69" i="18"/>
  <c r="Z69" i="18"/>
  <c r="Q70" i="18"/>
  <c r="R70" i="18"/>
  <c r="S70" i="18"/>
  <c r="T70" i="18"/>
  <c r="U70" i="18"/>
  <c r="V70" i="18"/>
  <c r="W70" i="18"/>
  <c r="X70" i="18"/>
  <c r="Y70" i="18"/>
  <c r="Z70" i="18"/>
  <c r="Q71" i="18"/>
  <c r="R71" i="18"/>
  <c r="S71" i="18"/>
  <c r="T71" i="18"/>
  <c r="U71" i="18"/>
  <c r="V71" i="18"/>
  <c r="W71" i="18"/>
  <c r="X71" i="18"/>
  <c r="Y71" i="18"/>
  <c r="Z71" i="18"/>
  <c r="Q72" i="18"/>
  <c r="R72" i="18"/>
  <c r="S72" i="18"/>
  <c r="T72" i="18"/>
  <c r="U72" i="18"/>
  <c r="V72" i="18"/>
  <c r="W72" i="18"/>
  <c r="X72" i="18"/>
  <c r="Y72" i="18"/>
  <c r="Z72" i="18"/>
  <c r="Q73" i="18"/>
  <c r="R73" i="18"/>
  <c r="S73" i="18"/>
  <c r="T73" i="18"/>
  <c r="U73" i="18"/>
  <c r="V73" i="18"/>
  <c r="W73" i="18"/>
  <c r="X73" i="18"/>
  <c r="Y73" i="18"/>
  <c r="Z73" i="18"/>
  <c r="Q83" i="18"/>
  <c r="R83" i="18"/>
  <c r="S83" i="18"/>
  <c r="T83" i="18"/>
  <c r="U83" i="18"/>
  <c r="V83" i="18"/>
  <c r="W83" i="18"/>
  <c r="X83" i="18"/>
  <c r="Y83" i="18"/>
  <c r="Z83"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8" authorId="0" shapeId="0" xr:uid="{810F67C2-D110-4B1E-84B9-5450A5832EE0}">
      <text>
        <r>
          <rPr>
            <b/>
            <sz val="9"/>
            <color indexed="81"/>
            <rFont val="Tahoma"/>
            <family val="2"/>
          </rPr>
          <t>hien: Không khớp với các khoản mục trong thuyết minh BCTC của DN</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9" authorId="0" shapeId="0" xr:uid="{54FDA1EF-4940-4D14-AA0A-6CF538BCC883}">
      <text>
        <r>
          <rPr>
            <b/>
            <sz val="9"/>
            <color indexed="81"/>
            <rFont val="Tahoma"/>
            <family val="2"/>
          </rPr>
          <t>Author:</t>
        </r>
        <r>
          <rPr>
            <sz val="9"/>
            <color indexed="81"/>
            <rFont val="Tahoma"/>
            <family val="2"/>
          </rPr>
          <t xml:space="preserve">
Xem trong BCTC, phần chú thích tăng giảm nguồn VCSH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8" authorId="0" shapeId="0" xr:uid="{9BE7676F-19A8-4CB1-892A-A9C1EFEA046F}">
      <text>
        <r>
          <rPr>
            <b/>
            <sz val="9"/>
            <color indexed="81"/>
            <rFont val="Tahoma"/>
            <family val="2"/>
          </rPr>
          <t>Author:</t>
        </r>
        <r>
          <rPr>
            <sz val="9"/>
            <color indexed="81"/>
            <rFont val="Tahoma"/>
            <family val="2"/>
          </rPr>
          <t xml:space="preserve">
Giá trúng thầu ngày 19/06/2018 là ₫8,589. Tuy nhiên quá thấp so với giá kê khai nên chọn mức giá 16989.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56" authorId="0" shapeId="0" xr:uid="{20F35C16-693D-4D7A-BC9C-37C2179D6977}">
      <text>
        <r>
          <rPr>
            <b/>
            <sz val="9"/>
            <color indexed="81"/>
            <rFont val="Tahoma"/>
            <family val="2"/>
          </rPr>
          <t>Author:</t>
        </r>
        <r>
          <rPr>
            <sz val="9"/>
            <color indexed="81"/>
            <rFont val="Tahoma"/>
            <family val="2"/>
          </rPr>
          <t xml:space="preserve">
Thời điểm xưởng (8) và (9) đi vào hoạt động 1 phần</t>
        </r>
      </text>
    </comment>
    <comment ref="T56" authorId="0" shapeId="0" xr:uid="{FA5D8B00-B71D-4C35-B226-93415553A399}">
      <text>
        <r>
          <rPr>
            <b/>
            <sz val="9"/>
            <color indexed="81"/>
            <rFont val="Tahoma"/>
            <family val="2"/>
          </rPr>
          <t>Author:</t>
        </r>
        <r>
          <rPr>
            <sz val="9"/>
            <color indexed="81"/>
            <rFont val="Tahoma"/>
            <family val="2"/>
          </rPr>
          <t xml:space="preserve">
Tăng trưởng mạnh năm 2022 vì dự đoán trong năm này  3 xưởng mới của CTy TNHH Công nghệ cao đi vào hoạt động.
</t>
        </r>
      </text>
    </comment>
    <comment ref="V56" authorId="0" shapeId="0" xr:uid="{A8C1B093-B640-486F-BC53-E673430AB136}">
      <text>
        <r>
          <rPr>
            <b/>
            <sz val="9"/>
            <color indexed="81"/>
            <rFont val="Tahoma"/>
            <family val="2"/>
          </rPr>
          <t>Author:</t>
        </r>
        <r>
          <rPr>
            <sz val="9"/>
            <color indexed="81"/>
            <rFont val="Tahoma"/>
            <family val="2"/>
          </rPr>
          <t xml:space="preserve">
Thời điểm Xưởng (8) và (9) là các xưởng sản xuất thuốc điều trị ung thư đc xét duyệt GMP-EU dẫn đến tăng trưởng mạnh giá bán.</t>
        </r>
      </text>
    </comment>
    <comment ref="W56" authorId="0" shapeId="0" xr:uid="{2D54BE15-3020-4E2F-BC6A-3A66FF60A55C}">
      <text>
        <r>
          <rPr>
            <b/>
            <sz val="9"/>
            <color indexed="81"/>
            <rFont val="Tahoma"/>
            <family val="2"/>
          </rPr>
          <t>Author:</t>
        </r>
        <r>
          <rPr>
            <sz val="9"/>
            <color indexed="81"/>
            <rFont val="Tahoma"/>
            <family val="2"/>
          </rPr>
          <t xml:space="preserve">
Thời điểm xưởng (10) đc duyệt GMP-EU</t>
        </r>
      </text>
    </comment>
    <comment ref="Y56" authorId="0" shapeId="0" xr:uid="{598A56E2-EC26-4B3F-91B7-B11BF1A271AD}">
      <text>
        <r>
          <rPr>
            <b/>
            <sz val="9"/>
            <color indexed="81"/>
            <rFont val="Tahoma"/>
            <family val="2"/>
          </rPr>
          <t>Author:</t>
        </r>
        <r>
          <rPr>
            <sz val="9"/>
            <color indexed="81"/>
            <rFont val="Tahoma"/>
            <family val="2"/>
          </rPr>
          <t xml:space="preserve">
Thời điểm xưởng (13) được duyệt GMP-Eu</t>
        </r>
      </text>
    </comment>
    <comment ref="P86" authorId="0" shapeId="0" xr:uid="{E334C73A-3C3B-4D75-95D4-9DC0389F73DD}">
      <text>
        <r>
          <rPr>
            <b/>
            <sz val="9"/>
            <color indexed="81"/>
            <rFont val="Tahoma"/>
            <family val="2"/>
          </rPr>
          <t>Author:</t>
        </r>
        <r>
          <rPr>
            <sz val="9"/>
            <color indexed="81"/>
            <rFont val="Tahoma"/>
            <family val="2"/>
          </rPr>
          <t xml:space="preserve">
Không có dữ liệu. Ước lượng như sau: doanh thu xưởng (4)/tổng doanh thu mảng dược phẩm là 2% nên công suất = 2% tổng công suất</t>
        </r>
      </text>
    </comment>
    <comment ref="P88" authorId="0" shapeId="0" xr:uid="{3B7D09E3-C4E0-43A7-8A6E-929C48108647}">
      <text>
        <r>
          <rPr>
            <b/>
            <sz val="9"/>
            <color indexed="81"/>
            <rFont val="Tahoma"/>
            <family val="2"/>
          </rPr>
          <t>Author:</t>
        </r>
        <r>
          <rPr>
            <sz val="9"/>
            <color indexed="81"/>
            <rFont val="Tahoma"/>
            <family val="2"/>
          </rPr>
          <t xml:space="preserve">
Không có dữ liệu. Ước lượng như sau: doanh thu xưởng (6)/tổng doanh thu mảng dược phẩm là 0.2% nên công suất = 0.2% tổng công suất</t>
        </r>
      </text>
    </comment>
    <comment ref="B107" authorId="0" shapeId="0" xr:uid="{D292F466-568E-4F9D-B15B-3D174CD6F951}">
      <text>
        <r>
          <rPr>
            <b/>
            <sz val="9"/>
            <color indexed="81"/>
            <rFont val="Tahoma"/>
            <family val="2"/>
          </rPr>
          <t>Author:</t>
        </r>
        <r>
          <rPr>
            <sz val="9"/>
            <color indexed="81"/>
            <rFont val="Tahoma"/>
            <family val="2"/>
          </rPr>
          <t xml:space="preserve">
Gỗ ván ghép</t>
        </r>
      </text>
    </comment>
    <comment ref="B111" authorId="0" shapeId="0" xr:uid="{7B976B63-A7F2-47A6-80E9-191998610C7E}">
      <text>
        <r>
          <rPr>
            <b/>
            <sz val="9"/>
            <color indexed="81"/>
            <rFont val="Tahoma"/>
            <family val="2"/>
          </rPr>
          <t>Author:</t>
        </r>
        <r>
          <rPr>
            <sz val="9"/>
            <color indexed="81"/>
            <rFont val="Tahoma"/>
            <family val="2"/>
          </rPr>
          <t xml:space="preserve">
Chuyên cung cấp thị trường Nhật
</t>
        </r>
      </text>
    </comment>
    <comment ref="B117" authorId="0" shapeId="0" xr:uid="{3F0C2BE6-BBAA-41BB-BE87-C15375F82697}">
      <text>
        <r>
          <rPr>
            <b/>
            <sz val="9"/>
            <color indexed="81"/>
            <rFont val="Tahoma"/>
            <family val="2"/>
          </rPr>
          <t>Author:</t>
        </r>
        <r>
          <rPr>
            <sz val="9"/>
            <color indexed="81"/>
            <rFont val="Tahoma"/>
            <family val="2"/>
          </rPr>
          <t xml:space="preserve">
Gỗ ván ghép</t>
        </r>
      </text>
    </comment>
    <comment ref="S126" authorId="0" shapeId="0" xr:uid="{2F61A3A2-BE0C-4063-8613-8DE7914EEB17}">
      <text>
        <r>
          <rPr>
            <b/>
            <sz val="9"/>
            <color indexed="81"/>
            <rFont val="Tahoma"/>
            <family val="2"/>
          </rPr>
          <t>Author:</t>
        </r>
        <r>
          <rPr>
            <sz val="9"/>
            <color indexed="81"/>
            <rFont val="Tahoma"/>
            <family val="2"/>
          </rPr>
          <t xml:space="preserve">
Theo báo cáo cập nhật tin tức của VCSC và PHS thì 2 phân xưởng này vừa hoàn thành quý III 2021 &gt;&gt;&gt; dự đoán hoạt động dc 15% công suất.</t>
        </r>
      </text>
    </comment>
    <comment ref="T128" authorId="0" shapeId="0" xr:uid="{B2C1CD84-0899-4537-BF4D-7BD68DFF623F}">
      <text>
        <r>
          <rPr>
            <b/>
            <sz val="9"/>
            <color indexed="81"/>
            <rFont val="Tahoma"/>
            <family val="2"/>
          </rPr>
          <t>Author:</t>
        </r>
        <r>
          <rPr>
            <sz val="9"/>
            <color indexed="81"/>
            <rFont val="Tahoma"/>
            <family val="2"/>
          </rPr>
          <t xml:space="preserve">
Dự đoán quý III/2022 hoàn thành &gt;&gt;&gt; hoạt động 10% công suất trong năm này. Mất 2 năm để được phê duyệt chuẩn GMP-EU, trong 2 năm này tạm thời đk chuẩn GMP-WHO.
</t>
        </r>
      </text>
    </comment>
    <comment ref="W133" authorId="0" shapeId="0" xr:uid="{165927A3-2364-4884-9063-A614E98096D0}">
      <text>
        <r>
          <rPr>
            <b/>
            <sz val="9"/>
            <color indexed="81"/>
            <rFont val="Tahoma"/>
            <family val="2"/>
          </rPr>
          <t>Author:</t>
        </r>
        <r>
          <rPr>
            <sz val="9"/>
            <color indexed="81"/>
            <rFont val="Tahoma"/>
            <family val="2"/>
          </rPr>
          <t xml:space="preserve">
Mất 2 năm đầu làm thủ tục GMP-EU, tạm thời 2 năm này hoạt động ở chuẩn GMP-WHO</t>
        </r>
      </text>
    </comment>
    <comment ref="T216" authorId="0" shapeId="0" xr:uid="{221AF925-B283-4FC7-A7A0-DF2E105D6AE3}">
      <text>
        <r>
          <rPr>
            <b/>
            <sz val="9"/>
            <color indexed="81"/>
            <rFont val="Tahoma"/>
            <family val="2"/>
          </rPr>
          <t>Author:</t>
        </r>
        <r>
          <rPr>
            <sz val="9"/>
            <color indexed="81"/>
            <rFont val="Tahoma"/>
            <family val="2"/>
          </rPr>
          <t xml:space="preserve">
tăng đột biến vì 3 xưởng (8,9,10) đi vào hoạt động</t>
        </r>
      </text>
    </comment>
    <comment ref="V228" authorId="0" shapeId="0" xr:uid="{E77C723C-CBAB-4C6F-8D97-C8A5246B54A5}">
      <text>
        <r>
          <rPr>
            <b/>
            <sz val="9"/>
            <color indexed="81"/>
            <rFont val="Tahoma"/>
            <family val="2"/>
          </rPr>
          <t>Author:</t>
        </r>
        <r>
          <rPr>
            <sz val="9"/>
            <color indexed="81"/>
            <rFont val="Tahoma"/>
            <family val="2"/>
          </rPr>
          <t xml:space="preserve">
thời điểm đạt chuẩn GMP-EU
</t>
        </r>
      </text>
    </comment>
    <comment ref="V229" authorId="0" shapeId="0" xr:uid="{489774FB-8362-4ECE-9CE9-85A4A36A7ADD}">
      <text>
        <r>
          <rPr>
            <b/>
            <sz val="9"/>
            <color indexed="81"/>
            <rFont val="Tahoma"/>
            <family val="2"/>
          </rPr>
          <t>Author:</t>
        </r>
        <r>
          <rPr>
            <sz val="9"/>
            <color indexed="81"/>
            <rFont val="Tahoma"/>
            <family val="2"/>
          </rPr>
          <t xml:space="preserve">
thời điểm đạt chuẩn GMP-EU</t>
        </r>
      </text>
    </comment>
    <comment ref="W230" authorId="0" shapeId="0" xr:uid="{750D504C-325D-4D70-AB26-5830ECEC78AA}">
      <text>
        <r>
          <rPr>
            <b/>
            <sz val="9"/>
            <color indexed="81"/>
            <rFont val="Tahoma"/>
            <family val="2"/>
          </rPr>
          <t>Author:</t>
        </r>
        <r>
          <rPr>
            <sz val="9"/>
            <color indexed="81"/>
            <rFont val="Tahoma"/>
            <family val="2"/>
          </rPr>
          <t xml:space="preserve">
Thời điểm được duyệt GMP-EU</t>
        </r>
      </text>
    </comment>
    <comment ref="Y235" authorId="0" shapeId="0" xr:uid="{DCCE7F9F-229E-45AD-A9F0-6391C50FB9B5}">
      <text>
        <r>
          <rPr>
            <b/>
            <sz val="9"/>
            <color indexed="81"/>
            <rFont val="Tahoma"/>
            <family val="2"/>
          </rPr>
          <t>Author:</t>
        </r>
        <r>
          <rPr>
            <sz val="9"/>
            <color indexed="81"/>
            <rFont val="Tahoma"/>
            <family val="2"/>
          </rPr>
          <t xml:space="preserve">
Thời điểm được xét duyệt GMP-EU</t>
        </r>
      </text>
    </comment>
    <comment ref="V240" authorId="0" shapeId="0" xr:uid="{B422AC92-30D6-4FE8-AFB0-A357C3DB285A}">
      <text>
        <r>
          <rPr>
            <b/>
            <sz val="9"/>
            <color indexed="81"/>
            <rFont val="Tahoma"/>
            <family val="2"/>
          </rPr>
          <t>Author:</t>
        </r>
        <r>
          <rPr>
            <sz val="9"/>
            <color indexed="81"/>
            <rFont val="Tahoma"/>
            <family val="2"/>
          </rPr>
          <t xml:space="preserve">
Xưởng 8,9 được duyệt GMP EU
</t>
        </r>
      </text>
    </comment>
    <comment ref="S343" authorId="0" shapeId="0" xr:uid="{90AACAAD-4032-4826-8D47-0815C7FD1593}">
      <text>
        <r>
          <rPr>
            <b/>
            <sz val="9"/>
            <color indexed="81"/>
            <rFont val="Tahoma"/>
            <family val="2"/>
          </rPr>
          <t>Author:</t>
        </r>
        <r>
          <rPr>
            <sz val="9"/>
            <color indexed="81"/>
            <rFont val="Tahoma"/>
            <family val="2"/>
          </rPr>
          <t xml:space="preserve">
Giá vốn giảm mạnh năm 2021 có thể là vì năm nay xưởng (8,9) đi vào hoạt động nên doanh nghiệp mua hàng nhiều hơn &gt;&gt;&gt; giá vốn/sp giảm. Trường hợp thứ 2 có thể vì giá vốn được hạch toán theo FIFO đối với lượng lớn nguyên vật liệu được mua trước Covid-19</t>
        </r>
      </text>
    </comment>
    <comment ref="T343" authorId="0" shapeId="0" xr:uid="{52BFE1C3-AFF2-4EA8-BD92-0046D95D56E9}">
      <text>
        <r>
          <rPr>
            <b/>
            <sz val="9"/>
            <color indexed="81"/>
            <rFont val="Tahoma"/>
            <family val="2"/>
          </rPr>
          <t>Author:</t>
        </r>
        <r>
          <rPr>
            <sz val="9"/>
            <color indexed="81"/>
            <rFont val="Tahoma"/>
            <family val="2"/>
          </rPr>
          <t xml:space="preserve">
Năm 2022 công suất và giá bán của doanh nghiệp đều tăng mạnh do 3 xưởng (8,9,10) đi vào hoạt động nên doanh nghiệp sẽ mua nguyên vật liệu nhiều hơn, do đó có lợi thế về quy mô. Tuy nhiên tình hình xuất nhập khẩu vẫn khó khăn vì phần lớn nguyên vật liệu của DBD là mua ở Châu Âu &gt;&gt;&gt; làm tăng chi phí và kết hợp với hệ quả của việc hạch toán GVHB theo Fifo &gt;&gt;&gt; dự phóng tăng 5%</t>
        </r>
      </text>
    </comment>
    <comment ref="V343" authorId="0" shapeId="0" xr:uid="{0658DDD2-FD69-4F1B-9AAE-C06F9865BFE4}">
      <text>
        <r>
          <rPr>
            <b/>
            <sz val="9"/>
            <color indexed="81"/>
            <rFont val="Tahoma"/>
            <family val="2"/>
          </rPr>
          <t>Author:</t>
        </r>
        <r>
          <rPr>
            <sz val="9"/>
            <color indexed="81"/>
            <rFont val="Tahoma"/>
            <family val="2"/>
          </rPr>
          <t xml:space="preserve">
Năm nay dự kiến xưởng (8,9) sản xuất thuốc trị ung thư đc phê duyệt GMP-EU/PICS &gt;&gt;&gt; GVHB/sp sẽ tăng vì chi phí sản xuất thuốc ung thư theo chuẩn GMP-EU sẽ tốn tiền hơn sản xuất theo chuẩn GMP/WHO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P9" authorId="0" shapeId="0" xr:uid="{865BACAF-6B8E-4DBF-A7C0-1A01D4319D05}">
      <text>
        <r>
          <rPr>
            <b/>
            <sz val="9"/>
            <color indexed="81"/>
            <rFont val="Tahoma"/>
            <family val="2"/>
          </rPr>
          <t>Administrator:</t>
        </r>
        <r>
          <rPr>
            <sz val="9"/>
            <color indexed="81"/>
            <rFont val="Tahoma"/>
            <family val="2"/>
          </rPr>
          <t xml:space="preserve">
Đột biến do quý 3/2021 tăng trưởng mạnh svck nhưng khả năng đây chỉ là tăng trưởng đột biến không bền vững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49" authorId="0" shapeId="0" xr:uid="{B2D66584-F6E3-4AC6-8B37-3C29F42732FA}">
      <text>
        <r>
          <rPr>
            <b/>
            <sz val="10"/>
            <color indexed="81"/>
            <rFont val="Tahoma"/>
            <family val="2"/>
          </rPr>
          <t>Author:</t>
        </r>
        <r>
          <rPr>
            <sz val="10"/>
            <color indexed="81"/>
            <rFont val="Tahoma"/>
            <family val="2"/>
          </rPr>
          <t xml:space="preserve">
Non-operating revenues</t>
        </r>
      </text>
    </comment>
    <comment ref="C49" authorId="0" shapeId="0" xr:uid="{7D586662-988D-49E1-B10A-E5A5712A4D10}">
      <text>
        <r>
          <rPr>
            <b/>
            <sz val="10"/>
            <color indexed="81"/>
            <rFont val="Tahoma"/>
            <family val="2"/>
          </rPr>
          <t>Author:</t>
        </r>
        <r>
          <rPr>
            <sz val="10"/>
            <color indexed="81"/>
            <rFont val="Tahoma"/>
            <family val="2"/>
          </rPr>
          <t xml:space="preserve">
Non-operating revenues</t>
        </r>
      </text>
    </comment>
    <comment ref="B116" authorId="0" shapeId="0" xr:uid="{611C1160-589A-451A-A5AD-603D1884511B}">
      <text>
        <r>
          <rPr>
            <b/>
            <sz val="9"/>
            <color indexed="81"/>
            <rFont val="Tahoma"/>
            <family val="2"/>
          </rPr>
          <t>Author:</t>
        </r>
        <r>
          <rPr>
            <sz val="9"/>
            <color indexed="81"/>
            <rFont val="Tahoma"/>
            <family val="2"/>
          </rPr>
          <t xml:space="preserve">
Số liệu lấy từ NQ ĐHCĐ các năm </t>
        </r>
      </text>
    </comment>
    <comment ref="N156" authorId="0" shapeId="0" xr:uid="{7F2FA97F-2043-4E59-9DBB-ACDE0C3710E8}">
      <text>
        <r>
          <rPr>
            <b/>
            <sz val="9"/>
            <color indexed="81"/>
            <rFont val="Tahoma"/>
            <family val="2"/>
          </rPr>
          <t>Author:</t>
        </r>
        <r>
          <rPr>
            <sz val="9"/>
            <color indexed="81"/>
            <rFont val="Tahoma"/>
            <family val="2"/>
          </rPr>
          <t xml:space="preserve">
BCTC 2019 thì khoản tiền gửi ngân hàng kỳ hạn trên 3 tháng là 6.8%/năm</t>
        </r>
      </text>
    </comment>
    <comment ref="P164" authorId="0" shapeId="0" xr:uid="{2A48A5A7-EA20-40A1-AFA9-2F5CD830844A}">
      <text>
        <r>
          <rPr>
            <b/>
            <sz val="9"/>
            <color indexed="81"/>
            <rFont val="Tahoma"/>
            <family val="2"/>
          </rPr>
          <t>Author:</t>
        </r>
        <r>
          <rPr>
            <sz val="9"/>
            <color indexed="81"/>
            <rFont val="Tahoma"/>
            <family val="2"/>
          </rPr>
          <t xml:space="preserve">
Theo bctc quý 4/2021 thì các khoản tiền và tương đương tiền kỳ hạn dưới 3 tháng sẽ dc hưởng lợi suất từ 3%-3.3% / năm.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3" authorId="0" shapeId="0" xr:uid="{FB2ECA56-1FB1-42FA-AC07-E7720BD9AD99}">
      <text>
        <r>
          <rPr>
            <b/>
            <sz val="9"/>
            <color indexed="81"/>
            <rFont val="Tahoma"/>
            <family val="2"/>
          </rPr>
          <t>Author:</t>
        </r>
        <r>
          <rPr>
            <sz val="9"/>
            <color indexed="81"/>
            <rFont val="Tahoma"/>
            <family val="2"/>
          </rPr>
          <t xml:space="preserve">
Năm bắt đầu dự phóng -10
vd dự phóng giai đoạn 2019-2024
--&gt; ô cam = 2019-10=2009
KHÔNG NÊN INSERT HAY XÓA BỚT CÁC Ô</t>
        </r>
      </text>
    </comment>
    <comment ref="D57" authorId="0" shapeId="0" xr:uid="{8D778133-D9FE-432E-B9C7-140DEF501451}">
      <text>
        <r>
          <rPr>
            <b/>
            <sz val="9"/>
            <color indexed="81"/>
            <rFont val="Tahoma"/>
            <family val="2"/>
          </rPr>
          <t>Author:</t>
        </r>
        <r>
          <rPr>
            <sz val="9"/>
            <color indexed="81"/>
            <rFont val="Tahoma"/>
            <family val="2"/>
          </rPr>
          <t xml:space="preserve">
Năm bắt đầu dự phóng -10
vd dự phóng giai đoạn 2019-2024
--&gt; ô cam = 2019-10=2009
KHÔNG NÊN INSERT HAY XÓA BỚT CÁC Ô</t>
        </r>
      </text>
    </comment>
    <comment ref="D126" authorId="0" shapeId="0" xr:uid="{45E2195D-0D9F-496B-9880-1D6F1D366435}">
      <text>
        <r>
          <rPr>
            <b/>
            <sz val="9"/>
            <color indexed="81"/>
            <rFont val="Tahoma"/>
            <family val="2"/>
          </rPr>
          <t>Author:</t>
        </r>
        <r>
          <rPr>
            <sz val="9"/>
            <color indexed="81"/>
            <rFont val="Tahoma"/>
            <family val="2"/>
          </rPr>
          <t xml:space="preserve">
Năm bắt đầu dự phóng -10
vd dự phóng giai đoạn 2019-2024
--&gt; ô cam = 2019-10=2009
KHÔNG NÊN INSERT HAY XÓA BỚT CÁC Ô</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9" authorId="0" shapeId="0" xr:uid="{0527CDF7-2096-4125-BA12-D5F2D69164C0}">
      <text>
        <r>
          <rPr>
            <sz val="9"/>
            <color indexed="81"/>
            <rFont val="Tahoma"/>
            <family val="2"/>
          </rPr>
          <t xml:space="preserve">Trung bình lãi suất tiết kiệm 1 năm của các ngân hàng lớn.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6" authorId="0" shapeId="0" xr:uid="{AF157985-34A5-4F96-8C5A-A9379D30E777}">
      <text>
        <r>
          <rPr>
            <b/>
            <sz val="9"/>
            <color indexed="81"/>
            <rFont val="Tahoma"/>
            <family val="2"/>
          </rPr>
          <t>Author:</t>
        </r>
        <r>
          <rPr>
            <sz val="9"/>
            <color indexed="81"/>
            <rFont val="Tahoma"/>
            <family val="2"/>
          </rPr>
          <t xml:space="preserve">
∆Net Working Capital = ∆Receivables + ∆Inventory - ∆Payables, 
Nói chung theo Damodaran không bao gồm excess cash &amp; short term debt</t>
        </r>
      </text>
    </comment>
    <comment ref="C63" authorId="0" shapeId="0" xr:uid="{C116E44B-667C-4161-A0E5-79C50B51AAC4}">
      <text>
        <r>
          <rPr>
            <b/>
            <sz val="9"/>
            <color indexed="81"/>
            <rFont val="Tahoma"/>
            <family val="2"/>
          </rPr>
          <t>Author:</t>
        </r>
        <r>
          <rPr>
            <sz val="9"/>
            <color indexed="81"/>
            <rFont val="Tahoma"/>
            <family val="2"/>
          </rPr>
          <t xml:space="preserve">
∆Net Working Capital = ∆Receivables + ∆Inventory - ∆Payables, 
Nói chung theo Damodaran không bao gồm excess cash &amp; short term debt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6" authorId="0" shapeId="0" xr:uid="{300E9276-3787-49EC-A601-A849C14457E2}">
      <text>
        <r>
          <rPr>
            <b/>
            <sz val="9"/>
            <color indexed="81"/>
            <rFont val="Tahoma"/>
            <family val="2"/>
          </rPr>
          <t>Author:</t>
        </r>
        <r>
          <rPr>
            <sz val="9"/>
            <color indexed="81"/>
            <rFont val="Tahoma"/>
            <family val="2"/>
          </rPr>
          <t xml:space="preserve">
∆Net Working Capital = ∆Receivables + ∆Inventory - ∆Payables, 
Nói chung theo Damodaran không bao gồm excess cash &amp; short term debt</t>
        </r>
      </text>
    </comment>
    <comment ref="B51" authorId="0" shapeId="0" xr:uid="{3509C86B-323B-47E8-B038-91D7505C1077}">
      <text>
        <r>
          <rPr>
            <b/>
            <sz val="9"/>
            <color indexed="81"/>
            <rFont val="Tahoma"/>
            <family val="2"/>
          </rPr>
          <t>Author:</t>
        </r>
        <r>
          <rPr>
            <sz val="9"/>
            <color indexed="81"/>
            <rFont val="Tahoma"/>
            <family val="2"/>
          </rPr>
          <t xml:space="preserve">
∆Net Working Capital = ∆Receivables + ∆Inventory - ∆Payables, 
Nói chung theo Damodaran không bao gồm excess cash &amp; short term debt</t>
        </r>
      </text>
    </comment>
  </commentList>
</comments>
</file>

<file path=xl/sharedStrings.xml><?xml version="1.0" encoding="utf-8"?>
<sst xmlns="http://schemas.openxmlformats.org/spreadsheetml/2006/main" count="5552" uniqueCount="1958">
  <si>
    <t>Tiêu đề</t>
  </si>
  <si>
    <t>Ngày xuất dữ liệu</t>
  </si>
  <si>
    <t>Mã CK</t>
  </si>
  <si>
    <t>DBD</t>
  </si>
  <si>
    <t>Xem theo</t>
  </si>
  <si>
    <t>Năm</t>
  </si>
  <si>
    <t>2018</t>
  </si>
  <si>
    <t>Loại</t>
  </si>
  <si>
    <t>Hợp nhất</t>
  </si>
  <si>
    <t>Tiền tệ</t>
  </si>
  <si>
    <t>VNĐ</t>
  </si>
  <si>
    <t>2013</t>
  </si>
  <si>
    <t>2014</t>
  </si>
  <si>
    <t>2015</t>
  </si>
  <si>
    <t>2016</t>
  </si>
  <si>
    <t>2017</t>
  </si>
  <si>
    <t>2019</t>
  </si>
  <si>
    <t>2020</t>
  </si>
  <si>
    <t>2021</t>
  </si>
  <si>
    <t>Trạng thái kiểm toán</t>
  </si>
  <si>
    <t>Đã kiểm toán</t>
  </si>
  <si>
    <t>Công ty Kiểm toán</t>
  </si>
  <si>
    <t>Kiểm toán AASC</t>
  </si>
  <si>
    <t>Loại Ý kiến Kiểm toán</t>
  </si>
  <si>
    <t>N/A</t>
  </si>
  <si>
    <t>Chấp nhận toàn phần</t>
  </si>
  <si>
    <t>Doanh số</t>
  </si>
  <si>
    <t>Các khoản giảm trừ</t>
  </si>
  <si>
    <t>Doanh số thuần</t>
  </si>
  <si>
    <t>Doanh thu dược phẩm</t>
  </si>
  <si>
    <t>Doanh thu vật tư y tế</t>
  </si>
  <si>
    <t>Doanh thu khác</t>
  </si>
  <si>
    <t>Giá vốn hàng bán</t>
  </si>
  <si>
    <t>Giá vốn dược phẩm</t>
  </si>
  <si>
    <t>Giá vốn vật tư y tế</t>
  </si>
  <si>
    <t>Giá vốn khác</t>
  </si>
  <si>
    <t>Lãi gộp</t>
  </si>
  <si>
    <t>Thu nhập tài chính</t>
  </si>
  <si>
    <t>Chi phí tài chính</t>
  </si>
  <si>
    <t xml:space="preserve">     Trong đó: Chi phí lãi vay</t>
  </si>
  <si>
    <t>Lãi/(lỗ) từ công ty liên doanh (từ năm 2015)</t>
  </si>
  <si>
    <t>Chi phí bán hàng</t>
  </si>
  <si>
    <t>Chi phí quản lý doanh  nghiệp</t>
  </si>
  <si>
    <t>Lãi/(lỗ) từ hoạt động kinh doanh</t>
  </si>
  <si>
    <t xml:space="preserve">     Thu nhập khác</t>
  </si>
  <si>
    <t xml:space="preserve">     Chi phí khác</t>
  </si>
  <si>
    <t>Thu nhập khác, ròng</t>
  </si>
  <si>
    <t>Lãi/(lỗ) từ công ty liên doanh</t>
  </si>
  <si>
    <t>Lãi/(lỗ) ròng trước thuế</t>
  </si>
  <si>
    <t xml:space="preserve">     Thuế thu nhập doanh nghiệp – hiện thời</t>
  </si>
  <si>
    <t xml:space="preserve">     Thuế thu nhập doanh nghiệp – hoãn lại</t>
  </si>
  <si>
    <t>Chi phí thuế thu nhập doanh nghiệp</t>
  </si>
  <si>
    <t>Lãi/(lỗ) thuần sau thuế</t>
  </si>
  <si>
    <t>Lợi ích của cổ đông thiểu số</t>
  </si>
  <si>
    <t>Lợi nhuận của Cổ đông của Công ty mẹ</t>
  </si>
  <si>
    <t>Lãi cơ bản trên cổ phiếu (VND)</t>
  </si>
  <si>
    <t>Lãi trên cổ phiếu pha loãng (VND)</t>
  </si>
  <si>
    <t>STOXPLUS CORPORATION</t>
  </si>
  <si>
    <t>Trụ sở: Tầng 5, Tòa nhà Anh Minh, 36 Hoàng Cầu, Đống Đa, Hà Nội</t>
  </si>
  <si>
    <t>Chi nhánh TP HCM: Tầng 2 May Plaza - 63D Võ Văn Tần, Phường 6, Quận 3, TP.HCM</t>
  </si>
  <si>
    <t>Email: Stoxplus@StoxPlus.com</t>
  </si>
  <si>
    <t>TRUNG TÂM CHĂM SÓC KHÁCH HÀNG</t>
  </si>
  <si>
    <t>Tại Hà Nội</t>
  </si>
  <si>
    <t>Ms. Đỗ Thị Lan - chuyên viên chăm sóc Khách hàng</t>
  </si>
  <si>
    <t>T: (844) - 3562 6962 - Ext: 103  M: 0989 219 401</t>
  </si>
  <si>
    <t>Email: lan.do@StoxPlus.com</t>
  </si>
  <si>
    <t>Tại HCM</t>
  </si>
  <si>
    <t>Ms. Lý Thị Hiền - Chuyên viên chăm sóc Khách hàng</t>
  </si>
  <si>
    <t>T: (848)- 3933 3586 - ext: 201  M: 0942863986</t>
  </si>
  <si>
    <t>Email: hien.ly@stoxplus.com</t>
  </si>
  <si>
    <t>112-114-117-127-130</t>
  </si>
  <si>
    <t>TÀI SẢN NGẮN HẠN</t>
  </si>
  <si>
    <t>Tiền và tương đương tiền</t>
  </si>
  <si>
    <t xml:space="preserve">     Tiền</t>
  </si>
  <si>
    <t xml:space="preserve">     Các khoản tương đương tiền</t>
  </si>
  <si>
    <t>Giá trị thuần đầu tư ngắn hạn</t>
  </si>
  <si>
    <t xml:space="preserve">     Đầu tư ngắn hạn</t>
  </si>
  <si>
    <t xml:space="preserve">     Dự phòng đầu tư ngắn hạn</t>
  </si>
  <si>
    <t xml:space="preserve">     Đầu tư nắm giữ đến ngày đáo hạn</t>
  </si>
  <si>
    <t>Các khoản phải thu</t>
  </si>
  <si>
    <t xml:space="preserve">     Phải thu khách hàng</t>
  </si>
  <si>
    <t xml:space="preserve">     Trả trước người bán</t>
  </si>
  <si>
    <t xml:space="preserve">     Phải thu nội bộ</t>
  </si>
  <si>
    <t xml:space="preserve">     Phải thu về XDCB</t>
  </si>
  <si>
    <t xml:space="preserve">     Phải thu về cho vay ngắn hạn</t>
  </si>
  <si>
    <t xml:space="preserve">     Phải thu khác</t>
  </si>
  <si>
    <t xml:space="preserve">     Dự phòng nợ khó đòi</t>
  </si>
  <si>
    <t xml:space="preserve">     Tài sản thiếu chờ xử lý</t>
  </si>
  <si>
    <t>Hàng tồn kho, ròng</t>
  </si>
  <si>
    <t xml:space="preserve">     Hàng tồn kho</t>
  </si>
  <si>
    <t xml:space="preserve">     Dự phòng giảm giá HTK</t>
  </si>
  <si>
    <t>Tài sản lưu động khác</t>
  </si>
  <si>
    <t xml:space="preserve">     Trả trước ngắn hạn</t>
  </si>
  <si>
    <t xml:space="preserve">     Thuế VAT phải thu</t>
  </si>
  <si>
    <t xml:space="preserve">     Phải thu thuế khác</t>
  </si>
  <si>
    <t xml:space="preserve">     Giao dịch mua bán lại trái phiếu chính phủ</t>
  </si>
  <si>
    <t xml:space="preserve">     Tài sản lưu động khác</t>
  </si>
  <si>
    <t>TÀI SẢN DÀI HẠN</t>
  </si>
  <si>
    <t>Phải thu dài hạn</t>
  </si>
  <si>
    <t xml:space="preserve">     Phải thu khách hàng dài hạn</t>
  </si>
  <si>
    <t xml:space="preserve">     Trả trước người bán dài hạn</t>
  </si>
  <si>
    <t xml:space="preserve">     Vốn kinh doanh ở các đơn vị trực thuộc</t>
  </si>
  <si>
    <t xml:space="preserve">     Phải thu nội bộ dài hạn</t>
  </si>
  <si>
    <t xml:space="preserve">     Phải thu về cho vay dài hạn</t>
  </si>
  <si>
    <t xml:space="preserve">     Phải thu dài hạn khác</t>
  </si>
  <si>
    <t xml:space="preserve">     Dự phòng phải thu dài hạn</t>
  </si>
  <si>
    <t>Tài sản cố định</t>
  </si>
  <si>
    <t xml:space="preserve">     GTCL TSCĐ hữu hình</t>
  </si>
  <si>
    <t xml:space="preserve">          Nguyên giá TSCĐ hữu hình</t>
  </si>
  <si>
    <t xml:space="preserve">          Khấu hao lũy kế TSCĐ hữu hình</t>
  </si>
  <si>
    <t xml:space="preserve">     GTCL Tài sản thuê tài chính</t>
  </si>
  <si>
    <t xml:space="preserve">          Nguyên giá tài sản thuê tài chính</t>
  </si>
  <si>
    <t xml:space="preserve">          Khấu hao lũy kế tài sản thuê tài chính</t>
  </si>
  <si>
    <t xml:space="preserve">     GTCL tài sản cố định vô hình</t>
  </si>
  <si>
    <t xml:space="preserve">          Nguyên giá TSCĐ vô hình</t>
  </si>
  <si>
    <t xml:space="preserve">          Khấu khao lũy kế TSCĐ vô hình</t>
  </si>
  <si>
    <t xml:space="preserve">     Xây dựng cơ bản dở dang (trước 2015)</t>
  </si>
  <si>
    <t>Giá trị ròng tài sản đầu tư</t>
  </si>
  <si>
    <t xml:space="preserve">     Nguyên giá tài sản đầu tư</t>
  </si>
  <si>
    <t xml:space="preserve">     Khấu hao lũy kế tài sản đầu tư</t>
  </si>
  <si>
    <t>Tài sản dở dang dài hạn</t>
  </si>
  <si>
    <t xml:space="preserve">     Chi phí sản xuất, kinh doanh dở dang dài hạn</t>
  </si>
  <si>
    <t xml:space="preserve">     Xây dựng cơ bản dở dang</t>
  </si>
  <si>
    <t>Đầu tư dài hạn</t>
  </si>
  <si>
    <t xml:space="preserve">     Đầu tư vào các công ty con</t>
  </si>
  <si>
    <t xml:space="preserve">     Đầu tư vào các công ty liên kết</t>
  </si>
  <si>
    <t xml:space="preserve">     Đầu tư dài hạn khác</t>
  </si>
  <si>
    <t xml:space="preserve">     Dự phòng giảm giá đầu tư dài hạn</t>
  </si>
  <si>
    <t>Lợi thế thương mại (trước 2015)</t>
  </si>
  <si>
    <t>Tài sản dài hạn khác</t>
  </si>
  <si>
    <t xml:space="preserve">     Trả trước dài hạn</t>
  </si>
  <si>
    <t xml:space="preserve">     Thuế thu nhập hoãn lại phải thu</t>
  </si>
  <si>
    <t xml:space="preserve">     Thiết bị, vật tư, phụ tùng thay thế dài hạn</t>
  </si>
  <si>
    <t xml:space="preserve">     Các tài sản dài hạn khác</t>
  </si>
  <si>
    <t xml:space="preserve">     Lợi thế thương mại</t>
  </si>
  <si>
    <t>TỔNG CỘNG TÀI SẢN</t>
  </si>
  <si>
    <t>NỢ PHẢI TRẢ</t>
  </si>
  <si>
    <t>Nợ ngắn hạn</t>
  </si>
  <si>
    <t xml:space="preserve">     Phải trả người bán</t>
  </si>
  <si>
    <t xml:space="preserve">     Người mua trả tiền trước</t>
  </si>
  <si>
    <t xml:space="preserve">     Thuế và các khoản phải trả Nhà nước</t>
  </si>
  <si>
    <t xml:space="preserve">     Phải trả người lao động</t>
  </si>
  <si>
    <t xml:space="preserve">     Chi phí phải trả</t>
  </si>
  <si>
    <t xml:space="preserve">     Phải trả nội bộ</t>
  </si>
  <si>
    <t xml:space="preserve">     Phải trả về xây dựng cơ bản</t>
  </si>
  <si>
    <t xml:space="preserve">     Doanh thu chưa thực hiện ngắn hạn</t>
  </si>
  <si>
    <t xml:space="preserve">     Phải trả khác</t>
  </si>
  <si>
    <t xml:space="preserve">     Vay ngắn hạn</t>
  </si>
  <si>
    <t xml:space="preserve">     Dự phòng các khoản phải trả ngắn hạn</t>
  </si>
  <si>
    <t xml:space="preserve">     Quỹ khen thưởng, phúc lợi</t>
  </si>
  <si>
    <t xml:space="preserve">     Quỹ bình ổn giá</t>
  </si>
  <si>
    <t>Nợ dài hạn</t>
  </si>
  <si>
    <t xml:space="preserve">     Phải trả nhà cung cấp dài hạn</t>
  </si>
  <si>
    <t xml:space="preserve">     Người mua trả tiền trước dài hạn</t>
  </si>
  <si>
    <t xml:space="preserve">     Chi phí phải trả dài hạn</t>
  </si>
  <si>
    <t xml:space="preserve">     Phải trả nội bộ về vốn kinh doanh</t>
  </si>
  <si>
    <t xml:space="preserve">     Phải trả nội bộ dài hạn</t>
  </si>
  <si>
    <t xml:space="preserve">     Doanh thu chưa thực hiên</t>
  </si>
  <si>
    <t xml:space="preserve">     Phải trả dài hạn khác</t>
  </si>
  <si>
    <t xml:space="preserve">     Vay dài hạn</t>
  </si>
  <si>
    <t xml:space="preserve">     Trái phiếu chuyển đổi</t>
  </si>
  <si>
    <t xml:space="preserve">     Cổ phiếu ưu đãi</t>
  </si>
  <si>
    <t xml:space="preserve">     Thuế thu nhập hoãn lại phải trả</t>
  </si>
  <si>
    <t xml:space="preserve">     Dự phòng trợ cấp thôi việc</t>
  </si>
  <si>
    <t xml:space="preserve">     Dự phòng các khoản công nợ dài hạn</t>
  </si>
  <si>
    <t xml:space="preserve">     Quỹ phát triển khoa học công nghệ</t>
  </si>
  <si>
    <t>VỐN CHỦ SỞ HỮU</t>
  </si>
  <si>
    <t>Vốn và các quỹ</t>
  </si>
  <si>
    <t xml:space="preserve">     Vốn góp</t>
  </si>
  <si>
    <t xml:space="preserve">          Cổ phiếu phổ thông</t>
  </si>
  <si>
    <t xml:space="preserve">          Cổ phiếu ưu đãi</t>
  </si>
  <si>
    <t xml:space="preserve">     Thặng dư vốn cổ phần</t>
  </si>
  <si>
    <t xml:space="preserve">     Quyền chọn chuyển đổi trái phiếu</t>
  </si>
  <si>
    <t xml:space="preserve">     Vốn khác</t>
  </si>
  <si>
    <t xml:space="preserve">     Cổ phiếu quỹ</t>
  </si>
  <si>
    <t xml:space="preserve">     Chênh lệch đánh giá lại tài sản</t>
  </si>
  <si>
    <t xml:space="preserve">     Chênh lệch tỷ giá</t>
  </si>
  <si>
    <t xml:space="preserve">     Quỹ đầu tư và phát triển</t>
  </si>
  <si>
    <t xml:space="preserve">     Quỹ hỗ trợ sắp xếp doanh nghiệp</t>
  </si>
  <si>
    <t xml:space="preserve">     Quỹ dự phòng tài chính</t>
  </si>
  <si>
    <t xml:space="preserve">     Quỹ khác</t>
  </si>
  <si>
    <t xml:space="preserve">     Lãi chưa phân phối</t>
  </si>
  <si>
    <t xml:space="preserve">          LNST chưa phân phối lũy kế đến cuối kỳ trước</t>
  </si>
  <si>
    <t xml:space="preserve">          LNST chưa phân phối kỳ này</t>
  </si>
  <si>
    <t xml:space="preserve">     Lợi ích cổ đông không kiểm soát</t>
  </si>
  <si>
    <t>Vốn Ngân sách nhà nước và quỹ khác</t>
  </si>
  <si>
    <t xml:space="preserve">     Quỹ khen thưởng, phúc lợi (trước 2010)</t>
  </si>
  <si>
    <t xml:space="preserve">     Vốn ngân sách nhà nước</t>
  </si>
  <si>
    <t xml:space="preserve">     Nguồn kinh phí đã hình thành TSCĐ</t>
  </si>
  <si>
    <t>LỢI ÍCH CỦA CỔ ĐÔNG THIỂU SỐ</t>
  </si>
  <si>
    <t>TỔNG CỘNG NGUỒN VỐN</t>
  </si>
  <si>
    <t xml:space="preserve">Gián tiếp </t>
  </si>
  <si>
    <t>2009</t>
  </si>
  <si>
    <t>2010</t>
  </si>
  <si>
    <t>2011</t>
  </si>
  <si>
    <t>2012</t>
  </si>
  <si>
    <t xml:space="preserve">     Lãi trước thuế</t>
  </si>
  <si>
    <t xml:space="preserve">     Khấu hao TSCĐ</t>
  </si>
  <si>
    <t xml:space="preserve">     Phân bổ lợi thế thương mại</t>
  </si>
  <si>
    <t xml:space="preserve">     Chi phí dự phòng</t>
  </si>
  <si>
    <t xml:space="preserve">     (Lãi)/lỗ chênh lệch tỷ giá chưa thực hiện</t>
  </si>
  <si>
    <t xml:space="preserve">     (Lãi)/lỗ từ thanh lý tài sản cố định</t>
  </si>
  <si>
    <t xml:space="preserve">     (Lãi)/lỗ từ hoạt động đầu tư</t>
  </si>
  <si>
    <t xml:space="preserve">     Chi phí lãi vay</t>
  </si>
  <si>
    <t xml:space="preserve">     Thu lãi và cổ tức</t>
  </si>
  <si>
    <t xml:space="preserve">     Các khoản điều chỉnh khác</t>
  </si>
  <si>
    <t>Lãi/(lỗ) trước những thay đổi vốn lưu động</t>
  </si>
  <si>
    <t xml:space="preserve">     (Tăng)/giảm các khoản phải thu</t>
  </si>
  <si>
    <t xml:space="preserve">     (Tăng)/giảm hàng tồn kho</t>
  </si>
  <si>
    <t xml:space="preserve">     Tăng/(giảm) các khoản phải trả</t>
  </si>
  <si>
    <t xml:space="preserve">     (Tăng)/giảm chi phí trả trước</t>
  </si>
  <si>
    <t xml:space="preserve">     (Tăng)/giảm chứng khoán kinh doanh</t>
  </si>
  <si>
    <t xml:space="preserve">     Chi phí lãi vay đã trả</t>
  </si>
  <si>
    <t xml:space="preserve">     Thuế thu nhập doanh nghiệp đã trả</t>
  </si>
  <si>
    <t xml:space="preserve">     Tiền thu khác từ các hoạt động kinh doanh</t>
  </si>
  <si>
    <t xml:space="preserve">     Tiền chi khác từ các hoạt động kinh doanh</t>
  </si>
  <si>
    <t>Lưu chuyển tiền tệ ròng từ các hoạt động sản xuất kinh doanh</t>
  </si>
  <si>
    <t xml:space="preserve">     Tiền mua tài sản cố định và các tài sản dài hạn khác</t>
  </si>
  <si>
    <t xml:space="preserve">     Tiền thu được từ thanh lý tài sản cố định</t>
  </si>
  <si>
    <t xml:space="preserve">     Tiền cho vay hoặc mua công cụ nợ</t>
  </si>
  <si>
    <t xml:space="preserve">     Tiền thu từ cho vay hoặc thu từ phát hành công cụ nợ</t>
  </si>
  <si>
    <t xml:space="preserve">     Đầu tư vào các doanh nghiệp khác</t>
  </si>
  <si>
    <t xml:space="preserve">     Tiền thu từ việc bán các khoản đầu tư vào các doanh nghiệp khác</t>
  </si>
  <si>
    <t xml:space="preserve">     Cổ tức và tiền lãi nhận được</t>
  </si>
  <si>
    <t>Lưu chuyển tiền tệ ròng từ hoạt động đầu tư</t>
  </si>
  <si>
    <t xml:space="preserve">     Tiền thu từ phát hành cổ phiếu và vốn góp</t>
  </si>
  <si>
    <t xml:space="preserve">     Chi trả cho việc mua lại, trả lại cổ phiếu</t>
  </si>
  <si>
    <t xml:space="preserve">     Tiền thu được các khoản đi vay</t>
  </si>
  <si>
    <t xml:space="preserve">     Tiển trả các khoản đi vay</t>
  </si>
  <si>
    <t xml:space="preserve">     Tiền thanh toán vốn gốc đi thuê tài chính</t>
  </si>
  <si>
    <t xml:space="preserve">     Cổ tức đã trả</t>
  </si>
  <si>
    <t xml:space="preserve">     Tiền lãi đã nhận</t>
  </si>
  <si>
    <t>Lưu chuyển tiền tệ từ hoạt động tài chính</t>
  </si>
  <si>
    <t>Lưu chuyển tiền thuần trong kỳ</t>
  </si>
  <si>
    <t>Tiền và tương đương tiền đầu kỳ</t>
  </si>
  <si>
    <t>Ảnh hưởng của chênh lệch tỷ giá</t>
  </si>
  <si>
    <t>Tiền và tương đương tiền cuối kỳ</t>
  </si>
  <si>
    <t xml:space="preserve">2015 </t>
  </si>
  <si>
    <t>Tiền</t>
  </si>
  <si>
    <t xml:space="preserve">     Tiền mặt</t>
  </si>
  <si>
    <t xml:space="preserve">     Tiền gửi Ngân hàng</t>
  </si>
  <si>
    <t xml:space="preserve">     Tiền đang chuyển</t>
  </si>
  <si>
    <t xml:space="preserve">     Tiền và tương đương tiền</t>
  </si>
  <si>
    <t>Đầu tư tài chính NH</t>
  </si>
  <si>
    <t xml:space="preserve">     Chứng khoán đầu tư ngắn hạn</t>
  </si>
  <si>
    <t xml:space="preserve">          Ngắn hạn</t>
  </si>
  <si>
    <t xml:space="preserve">          Dài hạn</t>
  </si>
  <si>
    <t xml:space="preserve">     Đầu tư NH khác</t>
  </si>
  <si>
    <t xml:space="preserve">     Dự phòng giảm giá ĐTNH</t>
  </si>
  <si>
    <t>Phải thu ngắn hạn khác</t>
  </si>
  <si>
    <t xml:space="preserve">     Phải thu về cổ phần hóa</t>
  </si>
  <si>
    <t xml:space="preserve">     Phải thu về cổ tức và lợi nhuận được chia</t>
  </si>
  <si>
    <t xml:space="preserve">     Phải thu người lao động</t>
  </si>
  <si>
    <t>Hàng tồn kho</t>
  </si>
  <si>
    <t xml:space="preserve">     Hàng mua đang đi đường</t>
  </si>
  <si>
    <t xml:space="preserve">     Nguyên liệu, vật liệu</t>
  </si>
  <si>
    <t xml:space="preserve">     Công cụ, dụng cụ</t>
  </si>
  <si>
    <t xml:space="preserve">     Chi phí SX, KD dở dang</t>
  </si>
  <si>
    <t xml:space="preserve">     Thành phẩm</t>
  </si>
  <si>
    <t xml:space="preserve">     Hàng hóa</t>
  </si>
  <si>
    <t xml:space="preserve">     Hàng gửi đi bán</t>
  </si>
  <si>
    <t xml:space="preserve">     Hàng hoá kho bảo thuế</t>
  </si>
  <si>
    <t xml:space="preserve">     Hàng hoá bất động sản</t>
  </si>
  <si>
    <t>Tài sản ngắn hạn khác</t>
  </si>
  <si>
    <t xml:space="preserve">     Tạm ứng</t>
  </si>
  <si>
    <t xml:space="preserve">     Cầm cố, ký quỹ, ký cược NH</t>
  </si>
  <si>
    <t xml:space="preserve">     Khác</t>
  </si>
  <si>
    <t>Phải thu dài hạn khác</t>
  </si>
  <si>
    <t xml:space="preserve">     Ký quỹ, ký cược dài hạn</t>
  </si>
  <si>
    <t xml:space="preserve">     Các khoản tiền nhận ủy thác</t>
  </si>
  <si>
    <t xml:space="preserve">     Cho vay không có lãi</t>
  </si>
  <si>
    <t>Nguyên giá TSCĐHH</t>
  </si>
  <si>
    <t xml:space="preserve">     Nguyên giá đầu kỳ</t>
  </si>
  <si>
    <t xml:space="preserve">     Tăng trong kỳ</t>
  </si>
  <si>
    <t xml:space="preserve">     Giảm trong kỳ</t>
  </si>
  <si>
    <t>Hao mòn TSCĐHH</t>
  </si>
  <si>
    <t xml:space="preserve">     Đầu kỳ</t>
  </si>
  <si>
    <t>Nguyên giá TSCĐ TTC</t>
  </si>
  <si>
    <t>Hao mòn TSCĐ TTC</t>
  </si>
  <si>
    <t>Nguyên giá TSCĐVH</t>
  </si>
  <si>
    <t>Hao mòn TSCĐVH</t>
  </si>
  <si>
    <t>Đầu tư dài hạn khác</t>
  </si>
  <si>
    <t xml:space="preserve">     Đầu tư cổ phiếu</t>
  </si>
  <si>
    <t xml:space="preserve">     Đầu tư trái phiếu</t>
  </si>
  <si>
    <t xml:space="preserve">     Đầu tư tín phiếu, kỳ phiếu</t>
  </si>
  <si>
    <t xml:space="preserve">     Cho vay dài hạn</t>
  </si>
  <si>
    <t>Vay và nợ ngắn hạn</t>
  </si>
  <si>
    <t xml:space="preserve">     Vay dài hạn đến hạn trả</t>
  </si>
  <si>
    <t>Giá gốc Lợi thế thương mại</t>
  </si>
  <si>
    <t xml:space="preserve">     Số dư đầu kỳ</t>
  </si>
  <si>
    <t>Phân bổ Lũy kế</t>
  </si>
  <si>
    <t xml:space="preserve">     Số dư dầu kỳ</t>
  </si>
  <si>
    <t>Các khoản phải trả về Thuế</t>
  </si>
  <si>
    <t xml:space="preserve">     Thuế GTGT</t>
  </si>
  <si>
    <t xml:space="preserve">     Thuế TTĐB</t>
  </si>
  <si>
    <t xml:space="preserve">     Thuế XNK</t>
  </si>
  <si>
    <t xml:space="preserve">     Thuế TNDN</t>
  </si>
  <si>
    <t xml:space="preserve">     Thuế TNCN</t>
  </si>
  <si>
    <t xml:space="preserve">     Thuế Tài nguyên</t>
  </si>
  <si>
    <t xml:space="preserve">     Thuế nhà đất và tiền thuê đất</t>
  </si>
  <si>
    <t xml:space="preserve">     Các loại thuế khác</t>
  </si>
  <si>
    <t xml:space="preserve">     Các khoản phí, lệ phí khác</t>
  </si>
  <si>
    <t>Chi phí phải trả</t>
  </si>
  <si>
    <t xml:space="preserve">     Trích trước CF lương nghỉ phép</t>
  </si>
  <si>
    <t xml:space="preserve">     Chi phí SCL TSCĐ</t>
  </si>
  <si>
    <t xml:space="preserve">     Chi phí trongthời gian ngừng KD</t>
  </si>
  <si>
    <t>Phải trả phải nộp khác</t>
  </si>
  <si>
    <t xml:space="preserve">     Tài sản thừa chờ XL</t>
  </si>
  <si>
    <t xml:space="preserve">     Kinh phí công đoàn</t>
  </si>
  <si>
    <t xml:space="preserve">     BH XH</t>
  </si>
  <si>
    <t xml:space="preserve">     BHYT</t>
  </si>
  <si>
    <t xml:space="preserve">     Bảo hiểm thất nghiệp</t>
  </si>
  <si>
    <t xml:space="preserve">     Phải trả về CPH</t>
  </si>
  <si>
    <t xml:space="preserve">     Nhận ký quỹ, ký cược NH</t>
  </si>
  <si>
    <t xml:space="preserve">     Doanh thu chưa thực hiện</t>
  </si>
  <si>
    <t>Vay Dài hạn</t>
  </si>
  <si>
    <t xml:space="preserve">     Vay ngân hàng</t>
  </si>
  <si>
    <t xml:space="preserve">     Vay đối tượng khác</t>
  </si>
  <si>
    <t xml:space="preserve">     Trái phiếu phát hành</t>
  </si>
  <si>
    <t xml:space="preserve">     Thuê tài chính</t>
  </si>
  <si>
    <t xml:space="preserve">     Nợ dài hạn khác</t>
  </si>
  <si>
    <t>Vốn chủ sở hữu</t>
  </si>
  <si>
    <t xml:space="preserve">     Vốn góp của nhà nước</t>
  </si>
  <si>
    <t xml:space="preserve">     Vốn đầu tư của đối tượng khác</t>
  </si>
  <si>
    <t>Doanh thu</t>
  </si>
  <si>
    <t xml:space="preserve">     Doanh thu bán hàng</t>
  </si>
  <si>
    <t xml:space="preserve">     Doanh thu cung cấp dịch vụ</t>
  </si>
  <si>
    <t xml:space="preserve">     Doanh thu hợp đồng xây dựng</t>
  </si>
  <si>
    <t>Giảm trừ doanh thu</t>
  </si>
  <si>
    <t xml:space="preserve">     Chiết khấu thương mại</t>
  </si>
  <si>
    <t xml:space="preserve">     Giảm giá hàng bán</t>
  </si>
  <si>
    <t xml:space="preserve">     Hàng bán bị trả lại</t>
  </si>
  <si>
    <t xml:space="preserve">     Thuế GTGT phải nộp</t>
  </si>
  <si>
    <t xml:space="preserve">     Thuế tiêu thụ đặc biệt</t>
  </si>
  <si>
    <t xml:space="preserve">     Thuế xuất khẩu</t>
  </si>
  <si>
    <t>Giá vốn</t>
  </si>
  <si>
    <t xml:space="preserve">     Giá vốn hàng hóa đã bán</t>
  </si>
  <si>
    <t xml:space="preserve">     Giá vốn thành phẩm đã bán</t>
  </si>
  <si>
    <t xml:space="preserve">     Giá vốn của dịch vụ cung cấp</t>
  </si>
  <si>
    <t xml:space="preserve">     Giá trị còn lại, chi phí nhượng bán, Thanh lý BĐS đầu tư đã bán</t>
  </si>
  <si>
    <t xml:space="preserve">     Chi phí kinh doanh BĐS đầu tư</t>
  </si>
  <si>
    <t xml:space="preserve">     Hao hụt, mất mát hàng tồn kho</t>
  </si>
  <si>
    <t xml:space="preserve">     Các khoản chi phí vượt mức bình thường</t>
  </si>
  <si>
    <t xml:space="preserve">     Dự phòng</t>
  </si>
  <si>
    <t>Doanh thu tài chính</t>
  </si>
  <si>
    <t xml:space="preserve">     Lãi tiền gửi, tiền cho vay</t>
  </si>
  <si>
    <t xml:space="preserve">     Lãi đầu tư trái phiếu, kỳ phiếu, tín phiếu</t>
  </si>
  <si>
    <t xml:space="preserve">     Cổ tức, lợi nhuận được chia</t>
  </si>
  <si>
    <t xml:space="preserve">     Lãi từ bán, thanh lý các khoản đầu tư</t>
  </si>
  <si>
    <t xml:space="preserve">     Lãi bán ngoại tệ</t>
  </si>
  <si>
    <t xml:space="preserve">     Lãi chênh lệch tỷ giá đã thực hiện</t>
  </si>
  <si>
    <t xml:space="preserve">     Lãi chênh lệch tỷ giá chưa thực hiện</t>
  </si>
  <si>
    <t xml:space="preserve">     Lãi bán hàng trả chậm</t>
  </si>
  <si>
    <t xml:space="preserve">     Doanh thu hoạt động tài chính khác</t>
  </si>
  <si>
    <t xml:space="preserve">     Lãi tiền vay</t>
  </si>
  <si>
    <t xml:space="preserve">     Chiết khấu thanh toán, lãi bán hàng trả chậm</t>
  </si>
  <si>
    <t xml:space="preserve">     Lỗ do thanh lý các khoản đầu tư ngắn hạn, dài hạn</t>
  </si>
  <si>
    <t xml:space="preserve">     Lỗ bán ngoại tệ</t>
  </si>
  <si>
    <t xml:space="preserve">     Lỗ chênh lệch tỷ giá đã thực hiện</t>
  </si>
  <si>
    <t xml:space="preserve">     Lỗ chênh lệch tỷ giá chưa thực hiện</t>
  </si>
  <si>
    <t xml:space="preserve">     Dự phòng giảm giá các khoản đầu tư ngắn hạn, dài hạn</t>
  </si>
  <si>
    <t xml:space="preserve">     Chi phí tài chính khác</t>
  </si>
  <si>
    <t>Chi phí sản xuất theo yếu tố</t>
  </si>
  <si>
    <t xml:space="preserve">     Chi phí nguyên liệu, vật liệu</t>
  </si>
  <si>
    <t xml:space="preserve">     Chi phí nhân công</t>
  </si>
  <si>
    <t xml:space="preserve">     Chi phí khấu hao tài sản cố định</t>
  </si>
  <si>
    <t xml:space="preserve">     Chi phí dịch vụ mua ngoài</t>
  </si>
  <si>
    <t xml:space="preserve">     Chi phí khác bằng tiền</t>
  </si>
  <si>
    <t xml:space="preserve">     (Hoàn nhập)/Dự phòng phải thu khó đòi</t>
  </si>
  <si>
    <t>Số liệu 2021 chưa có vì chưa tổ chức ĐHCĐTN  2022, sử dụng số kế hoạch của ĐHCĐTN 2021</t>
  </si>
  <si>
    <t>WELFARE &amp; DIVIDENDS</t>
  </si>
  <si>
    <t>LNST</t>
  </si>
  <si>
    <t>Trích lập các quỹ</t>
  </si>
  <si>
    <t>2.1</t>
  </si>
  <si>
    <t>Quỹ thuộc công ty</t>
  </si>
  <si>
    <t>+ Quỹ ĐTPT</t>
  </si>
  <si>
    <t>2.2</t>
  </si>
  <si>
    <t>Quỹ chi ra</t>
  </si>
  <si>
    <t>+ Quỹ khen thưởng phúc lợi</t>
  </si>
  <si>
    <t>+ Quỹ khen thưởng BLĐ, HĐQT, BKS</t>
  </si>
  <si>
    <t>+ Quỹ khác</t>
  </si>
  <si>
    <t>Chi cổ tức</t>
  </si>
  <si>
    <t>- Lần 1</t>
  </si>
  <si>
    <t>% mệnh giá</t>
  </si>
  <si>
    <t>- Lần 2</t>
  </si>
  <si>
    <t>LNST CPP</t>
  </si>
  <si>
    <t>THE NUMBER OF COMMON SHARE (triệu CP)</t>
  </si>
  <si>
    <t>SLCP phát hành đầu năm</t>
  </si>
  <si>
    <t>Cổ tức bằng cổ phiếu</t>
  </si>
  <si>
    <t>Cổ phiếu thưởng</t>
  </si>
  <si>
    <t>Phát hành riêng lẻ/ công khai</t>
  </si>
  <si>
    <t>- đợt 1</t>
  </si>
  <si>
    <t>- đợt 2</t>
  </si>
  <si>
    <t>ESOP</t>
  </si>
  <si>
    <t>SLCP phát hành cuối năm</t>
  </si>
  <si>
    <t>CP quỹ</t>
  </si>
  <si>
    <t>SLCP lưu hành</t>
  </si>
  <si>
    <t>Số liệu 2014 ko sử dụng để dự phóng nhưng 1 số dòng cần có số liệu để tính trung bình cộng hoặc so sánh tăng trưởng</t>
  </si>
  <si>
    <t>INCOME STATEMENT</t>
  </si>
  <si>
    <t>Note</t>
  </si>
  <si>
    <t>Revenue (FC)</t>
  </si>
  <si>
    <t>Growth %</t>
  </si>
  <si>
    <t>Revenue</t>
  </si>
  <si>
    <t>COGS (FC)</t>
  </si>
  <si>
    <t>As % revenue</t>
  </si>
  <si>
    <t>COGS</t>
  </si>
  <si>
    <t>Gross profit (FC)</t>
  </si>
  <si>
    <t>Gross margin</t>
  </si>
  <si>
    <t>Gross profit</t>
  </si>
  <si>
    <t>SG&amp;A (FC)</t>
  </si>
  <si>
    <t>SG&amp;A</t>
  </si>
  <si>
    <t>Selling expenses (FC)</t>
  </si>
  <si>
    <t>Selling expenses</t>
  </si>
  <si>
    <t>Administration expenses (FC)</t>
  </si>
  <si>
    <t>Administration expenses</t>
  </si>
  <si>
    <t>Operating Expenses (FC)</t>
  </si>
  <si>
    <t>Operating Expense</t>
  </si>
  <si>
    <t>EBITDA (FC)</t>
  </si>
  <si>
    <t>EBITDA margin</t>
  </si>
  <si>
    <t>EBITDA</t>
  </si>
  <si>
    <t>Depreciation/ Amortization (FC)</t>
  </si>
  <si>
    <t>As % prior fixed assets</t>
  </si>
  <si>
    <t>Depreciation/ Amortization</t>
  </si>
  <si>
    <t>Depreciation of tangibles</t>
  </si>
  <si>
    <t>Amortization of intangibles</t>
  </si>
  <si>
    <t>EBIT (FC)</t>
  </si>
  <si>
    <t>EBIT margin</t>
  </si>
  <si>
    <t>EBIT</t>
  </si>
  <si>
    <r>
      <t xml:space="preserve">Gain (loss) on asset sales (FC) </t>
    </r>
    <r>
      <rPr>
        <sz val="10"/>
        <color rgb="FF6EAA46"/>
        <rFont val="Times New Roman"/>
        <family val="1"/>
      </rPr>
      <t>(thu nhập khác)</t>
    </r>
  </si>
  <si>
    <t>Gross proceeds from asset sales</t>
  </si>
  <si>
    <t>Book value of assets sold</t>
  </si>
  <si>
    <t>Gain (loss) on asset sales</t>
  </si>
  <si>
    <r>
      <rPr>
        <sz val="10"/>
        <color rgb="FF000000"/>
        <rFont val="Times New Roman"/>
        <family val="1"/>
      </rPr>
      <t>Non-Operating expenses (FC)</t>
    </r>
    <r>
      <rPr>
        <sz val="10"/>
        <color rgb="FF6EAA46"/>
        <rFont val="Times New Roman"/>
        <family val="1"/>
      </rPr>
      <t xml:space="preserve"> (chi phí khác)</t>
    </r>
  </si>
  <si>
    <t>Non-Operating expenses</t>
  </si>
  <si>
    <t>Financial Revenues (FC)</t>
  </si>
  <si>
    <t>Interest income</t>
  </si>
  <si>
    <t>Excess cash</t>
  </si>
  <si>
    <t>Operating cash</t>
  </si>
  <si>
    <t>Marketable securities (Lãi chuyển nhượng chứng khoán)</t>
  </si>
  <si>
    <t>Profits/dividends receive</t>
  </si>
  <si>
    <t>Others</t>
  </si>
  <si>
    <t>Financial Revenues</t>
  </si>
  <si>
    <t>Financial Expenses (FC)</t>
  </si>
  <si>
    <t>9.1</t>
  </si>
  <si>
    <t>Interest expenses</t>
  </si>
  <si>
    <t>Revolver</t>
  </si>
  <si>
    <t>Short-term notes</t>
  </si>
  <si>
    <t xml:space="preserve">Debt A (long-term) </t>
  </si>
  <si>
    <t xml:space="preserve">Debt B (long-term) </t>
  </si>
  <si>
    <t xml:space="preserve">Debt C (long-term) </t>
  </si>
  <si>
    <t>9.2</t>
  </si>
  <si>
    <t>Loss from Foreign exchange differences</t>
  </si>
  <si>
    <t>9.3</t>
  </si>
  <si>
    <t>Others (dự phòng + khác )</t>
  </si>
  <si>
    <t>Financial Expenses</t>
  </si>
  <si>
    <t>Equity earnings in affiliates (FC)</t>
  </si>
  <si>
    <t>Percent growth %</t>
  </si>
  <si>
    <t>Equity earnings in affiliates</t>
  </si>
  <si>
    <t>LNTT (FC)</t>
  </si>
  <si>
    <t>EBT margin</t>
  </si>
  <si>
    <t>LNTT</t>
  </si>
  <si>
    <t>Provision for taxes (FC)</t>
  </si>
  <si>
    <t>Tax rate %</t>
  </si>
  <si>
    <t>Provision for taxes</t>
  </si>
  <si>
    <t>Net income (FC)</t>
  </si>
  <si>
    <t>Net margin</t>
  </si>
  <si>
    <t>Net income</t>
  </si>
  <si>
    <t>Growth</t>
  </si>
  <si>
    <t>Check BCTC</t>
  </si>
  <si>
    <t>Minority interest in earnings (FC)</t>
  </si>
  <si>
    <t>% net income</t>
  </si>
  <si>
    <t>Minority interest in earnings</t>
  </si>
  <si>
    <t>Net Income Attributable to Controlling Interest (FC)</t>
  </si>
  <si>
    <t>Parent company</t>
  </si>
  <si>
    <t>Subsidiaries</t>
  </si>
  <si>
    <t>Affiliates</t>
  </si>
  <si>
    <t>Net Income Attributable to Controlling Interest</t>
  </si>
  <si>
    <t>EPS chưa điều chỉnh (FC) VND/share</t>
  </si>
  <si>
    <t>Basic EPS</t>
  </si>
  <si>
    <t>Diluted EPS</t>
  </si>
  <si>
    <t>EPS chưa điều chỉnh VND/share</t>
  </si>
  <si>
    <t>Growth diluted EPS chưa điều chỉnh</t>
  </si>
  <si>
    <t>Welfare Fund &amp; others (FC)</t>
  </si>
  <si>
    <t>As % earnings after taxes in year (t)</t>
  </si>
  <si>
    <t>Welfare Fund &amp; others</t>
  </si>
  <si>
    <t>Extraordinary expense (FC)</t>
  </si>
  <si>
    <t>Extraordinary expense</t>
  </si>
  <si>
    <t>Preferred dividends (FC)</t>
  </si>
  <si>
    <t>Yield (see BS for input)</t>
  </si>
  <si>
    <t>Preferred dividends</t>
  </si>
  <si>
    <t>Net income available to common shareholders (FC)</t>
  </si>
  <si>
    <t>Net income available to common shareholders</t>
  </si>
  <si>
    <t>Common dividends (FC)</t>
  </si>
  <si>
    <t xml:space="preserve">%Payout ratio </t>
  </si>
  <si>
    <t>% Par value</t>
  </si>
  <si>
    <t>Common dividends</t>
  </si>
  <si>
    <t>Net to retained earnings (FC)</t>
  </si>
  <si>
    <t>Net to retained earnings</t>
  </si>
  <si>
    <t>Number of shares outstanding (average basic) (triệu CP)</t>
  </si>
  <si>
    <t>Number of shares outstanding (average diluted)</t>
  </si>
  <si>
    <t>EPS điều chỉnh (FC) VND/share</t>
  </si>
  <si>
    <t>EPS điều chỉnh VND/share</t>
  </si>
  <si>
    <t>Growth diluted EPS điều chỉnh</t>
  </si>
  <si>
    <t>BALANCE SHEET</t>
  </si>
  <si>
    <t>ASSETS</t>
  </si>
  <si>
    <t>Excess cash (FC)</t>
  </si>
  <si>
    <t>Interest rate %</t>
  </si>
  <si>
    <t>Di ngang</t>
  </si>
  <si>
    <t>Operating cash (FC)</t>
  </si>
  <si>
    <t>Tiền mặt &amp; tiền gửi &lt; 3 tháng</t>
  </si>
  <si>
    <t>Tiền gửi  3&lt; &lt;12 tháng</t>
  </si>
  <si>
    <t>Short-term invesments (FC)</t>
  </si>
  <si>
    <t>% growth</t>
  </si>
  <si>
    <t>3.1</t>
  </si>
  <si>
    <t>Chứng khoán kinh doanh</t>
  </si>
  <si>
    <t>3.2</t>
  </si>
  <si>
    <t>Dự phòng giảm giá CKKD</t>
  </si>
  <si>
    <t>3.3</t>
  </si>
  <si>
    <t xml:space="preserve">Tiền gửi có kỳ hạn </t>
  </si>
  <si>
    <t>Short-term invesments</t>
  </si>
  <si>
    <t>Tổng tiền gửi ngân hàng (FC)</t>
  </si>
  <si>
    <t>Interest income (chỉ tính lãi tiền gửi NH)</t>
  </si>
  <si>
    <t>Accounts receivable (FC)</t>
  </si>
  <si>
    <t>4.1</t>
  </si>
  <si>
    <t>Accounts receivable from customers</t>
  </si>
  <si>
    <t>Days of AR</t>
  </si>
  <si>
    <t>4.2</t>
  </si>
  <si>
    <t>Prepayments to suppliers</t>
  </si>
  <si>
    <t>% purchasing value</t>
  </si>
  <si>
    <t>4.3</t>
  </si>
  <si>
    <t>Other short-term receivables</t>
  </si>
  <si>
    <t>4.4</t>
  </si>
  <si>
    <t>Allowance for doubtful debts</t>
  </si>
  <si>
    <t>% AR from customers</t>
  </si>
  <si>
    <t>4.5</t>
  </si>
  <si>
    <t>Phải thu về cho vay ngắn hạn</t>
  </si>
  <si>
    <t>4.6</t>
  </si>
  <si>
    <t>Tài sản thiếu chờ xử lý</t>
  </si>
  <si>
    <t>Account receivable (AR)</t>
  </si>
  <si>
    <t>Inventory (FC)</t>
  </si>
  <si>
    <t>As % COGS</t>
  </si>
  <si>
    <t>Days of Inventory</t>
  </si>
  <si>
    <t>5.1</t>
  </si>
  <si>
    <t>Good in transit</t>
  </si>
  <si>
    <t>5.2</t>
  </si>
  <si>
    <t>Raw materials</t>
  </si>
  <si>
    <t>5.3</t>
  </si>
  <si>
    <t>Tool and supplies</t>
  </si>
  <si>
    <t>5.4</t>
  </si>
  <si>
    <t>Work in progress</t>
  </si>
  <si>
    <t>5.5</t>
  </si>
  <si>
    <t>Finished goods</t>
  </si>
  <si>
    <t>5.6</t>
  </si>
  <si>
    <t>5.7</t>
  </si>
  <si>
    <t>Dự phòng giảm giá HTK</t>
  </si>
  <si>
    <t>Inventory</t>
  </si>
  <si>
    <t>Other current assets (FC)</t>
  </si>
  <si>
    <t>Other current assets</t>
  </si>
  <si>
    <t>CURRENT ASSETS (FC)</t>
  </si>
  <si>
    <t>CURRENT ASSETS</t>
  </si>
  <si>
    <t>Long term accounts receivable (FC)</t>
  </si>
  <si>
    <t>Net PPE (FC)</t>
  </si>
  <si>
    <t>Capex (FC)</t>
  </si>
  <si>
    <t>Depreciation (FC)</t>
  </si>
  <si>
    <t>Net PPE</t>
  </si>
  <si>
    <t>Intangibles (FC)</t>
  </si>
  <si>
    <t>Amortization</t>
  </si>
  <si>
    <t>Intangibles</t>
  </si>
  <si>
    <t>Tài sản thuê tài chính (FC)</t>
  </si>
  <si>
    <t>Amortization (FC)</t>
  </si>
  <si>
    <t>Tài sản thuê tài chính</t>
  </si>
  <si>
    <t>Investment property (FC)</t>
  </si>
  <si>
    <t>Investment property</t>
  </si>
  <si>
    <t>Tài sản dở dang dài hạn (FC)</t>
  </si>
  <si>
    <t>Investment in affiliates (FC)</t>
  </si>
  <si>
    <t>Dividend received (+)</t>
  </si>
  <si>
    <t>Investment in affiliates</t>
  </si>
  <si>
    <t>Other Long-term assets (FC)</t>
  </si>
  <si>
    <t>Other Long-term assets</t>
  </si>
  <si>
    <t>NON-CURRENT ASSETS</t>
  </si>
  <si>
    <t>TOTAL ASSETS</t>
  </si>
  <si>
    <t>Check Balance</t>
  </si>
  <si>
    <t>LIABILITIES</t>
  </si>
  <si>
    <t>Revolver (FC)</t>
  </si>
  <si>
    <t>Short-term debt (FC)</t>
  </si>
  <si>
    <t>% Vốn lưu động</t>
  </si>
  <si>
    <t>Short-term debt</t>
  </si>
  <si>
    <t>Người mua trả tiền trước ngắn hạn (FC)</t>
  </si>
  <si>
    <t>Người mua trả tiền trước ngắn hạn</t>
  </si>
  <si>
    <t>Account payable (FC)</t>
  </si>
  <si>
    <t>As % revenue (FC)</t>
  </si>
  <si>
    <t>Days of Payables</t>
  </si>
  <si>
    <t>Account payable</t>
  </si>
  <si>
    <t>Others current liabilities (FC)</t>
  </si>
  <si>
    <t>Other current liabilities</t>
  </si>
  <si>
    <t>CURRENT LIABILITIES (FC)</t>
  </si>
  <si>
    <t>CURRENT LIABILITIES</t>
  </si>
  <si>
    <t>Long-term debt A đầu kỳ (Vay dài hạn ngân hàng)</t>
  </si>
  <si>
    <t>add</t>
  </si>
  <si>
    <t xml:space="preserve">amortization </t>
  </si>
  <si>
    <t xml:space="preserve">Debt A before sweep </t>
  </si>
  <si>
    <t>Cash sweep</t>
  </si>
  <si>
    <t>Debt A (FC)</t>
  </si>
  <si>
    <t>Debt A</t>
  </si>
  <si>
    <t>Interest expense</t>
  </si>
  <si>
    <t>Long-term debt B đầu kỳ (Trái phiếu)</t>
  </si>
  <si>
    <t xml:space="preserve">Debt B before sweep </t>
  </si>
  <si>
    <t>Debt B (FC)</t>
  </si>
  <si>
    <t>Debt B</t>
  </si>
  <si>
    <t>Long-term debt C đầu kỳ (Vay dài hạn khác)</t>
  </si>
  <si>
    <t xml:space="preserve">Debt C before sweep </t>
  </si>
  <si>
    <t>Debt C (FC)</t>
  </si>
  <si>
    <t>Debt C</t>
  </si>
  <si>
    <t>Total long-term debt</t>
  </si>
  <si>
    <t>Convertible bond</t>
  </si>
  <si>
    <t>Phát hành mới</t>
  </si>
  <si>
    <t>Chuyển đổi</t>
  </si>
  <si>
    <t>Trả gốc</t>
  </si>
  <si>
    <t>Long-term account payable (FC)</t>
  </si>
  <si>
    <t>Long-term account payable</t>
  </si>
  <si>
    <t>Other long-term liabilities (FC)</t>
  </si>
  <si>
    <t>Other long-term liabilities</t>
  </si>
  <si>
    <t>NON-CURRENT LIABILITIES (FC)</t>
  </si>
  <si>
    <t>NON-CURRENT LIABILITIES</t>
  </si>
  <si>
    <t>TOTAL LIABILITIES</t>
  </si>
  <si>
    <t>MINORITY INTEREST</t>
  </si>
  <si>
    <t>Minority interest (FC)</t>
  </si>
  <si>
    <t>Minority interest earnings</t>
  </si>
  <si>
    <t>Minority interest</t>
  </si>
  <si>
    <t>SHARE HOLDER'S EQUITY</t>
  </si>
  <si>
    <t>Preferred stock (FC)</t>
  </si>
  <si>
    <t>Yield %</t>
  </si>
  <si>
    <t>Phát hành thêm (FC)</t>
  </si>
  <si>
    <t>Preferred stock</t>
  </si>
  <si>
    <t>Common stock (FC)</t>
  </si>
  <si>
    <t>Phát hành thêm/ chia tách (FC)</t>
  </si>
  <si>
    <t>Common stock</t>
  </si>
  <si>
    <t>Thặng dư vốn cổ phần (FC)</t>
  </si>
  <si>
    <t>Thặng dư phát hành thêm</t>
  </si>
  <si>
    <t xml:space="preserve">Thặng dư vốn cổ phần </t>
  </si>
  <si>
    <t>Retained earnings (FC)</t>
  </si>
  <si>
    <t>Retained earnings</t>
  </si>
  <si>
    <t>Other equity accounts (FC)</t>
  </si>
  <si>
    <t>As % LNST</t>
  </si>
  <si>
    <t>Other equity accounts</t>
  </si>
  <si>
    <t>Shareholder's equity (FC)</t>
  </si>
  <si>
    <t>Shareholder's equity</t>
  </si>
  <si>
    <t>TOTAL LIABS, MIN INTEREST, EQUITY (FC)</t>
  </si>
  <si>
    <t>TOTAL LIABS, MIN INTEREST, EQUITY</t>
  </si>
  <si>
    <t xml:space="preserve">Check Balance </t>
  </si>
  <si>
    <t>Assets without Excess cash</t>
  </si>
  <si>
    <t>Total equity without Revolver</t>
  </si>
  <si>
    <t>Excess cash (revolver) before sweep</t>
  </si>
  <si>
    <t>If Y, Iteration must be enabled</t>
  </si>
  <si>
    <t>Excess cash enabled for cash sweep?</t>
  </si>
  <si>
    <t>N</t>
  </si>
  <si>
    <t>Starting Debt A (before sweep)</t>
  </si>
  <si>
    <t>Starting Debt B (before sweep)</t>
  </si>
  <si>
    <t>Starting Debt C (before sweep)</t>
  </si>
  <si>
    <t>Starting Short-term notes (before sweep)</t>
  </si>
  <si>
    <t>Sweep for Debt A</t>
  </si>
  <si>
    <t>Sweep for Debt B</t>
  </si>
  <si>
    <t>Sweep for Debt C</t>
  </si>
  <si>
    <t>Sweep for Short-term notes</t>
  </si>
  <si>
    <t>Total sweep</t>
  </si>
  <si>
    <t>Y</t>
  </si>
  <si>
    <t>Excess cash (revolver) after sweep</t>
  </si>
  <si>
    <t>Column1</t>
  </si>
  <si>
    <t>Column2</t>
  </si>
  <si>
    <t>Thuốc kháng sinh</t>
  </si>
  <si>
    <t>Column3</t>
  </si>
  <si>
    <t>Column4</t>
  </si>
  <si>
    <t>Column5</t>
  </si>
  <si>
    <t>Column6</t>
  </si>
  <si>
    <t>Xưởng</t>
  </si>
  <si>
    <t>ĐVT</t>
  </si>
  <si>
    <t>Ngày kê khai</t>
  </si>
  <si>
    <t>Giá kê khai</t>
  </si>
  <si>
    <t>Giá đấu thầu</t>
  </si>
  <si>
    <t>Chênh lệch giữa giá kê khai và giá đấu thầu</t>
  </si>
  <si>
    <t>Phần trăm chênh lệch</t>
  </si>
  <si>
    <t>Giá ước lượng</t>
  </si>
  <si>
    <t>Giá dùng làm cơ sở dự phóng</t>
  </si>
  <si>
    <t>STT</t>
  </si>
  <si>
    <t>Tên thuốc</t>
  </si>
  <si>
    <t>Hoạt chất</t>
  </si>
  <si>
    <t>Dạng thuốc</t>
  </si>
  <si>
    <t>Nhóm kháng sinh</t>
  </si>
  <si>
    <t>Beta Lactam</t>
  </si>
  <si>
    <t>Non Beta Lactam</t>
  </si>
  <si>
    <t>BIDINAM</t>
  </si>
  <si>
    <t>Imipenem monohydrat</t>
  </si>
  <si>
    <t>Thuốc bột pha tiêm - Lỏng</t>
  </si>
  <si>
    <t>Carbapenems</t>
  </si>
  <si>
    <t>x</t>
  </si>
  <si>
    <t>(7)</t>
  </si>
  <si>
    <t>Lọ</t>
  </si>
  <si>
    <t>Bicebid 200 H/20</t>
  </si>
  <si>
    <t>Cefixim</t>
  </si>
  <si>
    <t>Viên nang cứng - Rắn</t>
  </si>
  <si>
    <t>Cephalosporins - 3rd</t>
  </si>
  <si>
    <t>(3)</t>
  </si>
  <si>
    <t>Viên</t>
  </si>
  <si>
    <t>Bicebid 100</t>
  </si>
  <si>
    <t>Bifumax 750 H/10</t>
  </si>
  <si>
    <t>Cefuroxim</t>
  </si>
  <si>
    <t>Cephalosporins - 2nd</t>
  </si>
  <si>
    <t>Colirex 1MIU</t>
  </si>
  <si>
    <t>Colistimethat natri</t>
  </si>
  <si>
    <t>polypeptid - peptid</t>
  </si>
  <si>
    <t>VANCOMYCIN 500 mg</t>
  </si>
  <si>
    <t>Vancomycin</t>
  </si>
  <si>
    <t>Bột đông khô pha tiêm - Lỏng</t>
  </si>
  <si>
    <t>glycopeptid - peptid</t>
  </si>
  <si>
    <t>(1)</t>
  </si>
  <si>
    <t>BIFOTIN 1G</t>
  </si>
  <si>
    <t>Cefoxitin</t>
  </si>
  <si>
    <t>Bicefzidim 1g</t>
  </si>
  <si>
    <t>Ceftazidim</t>
  </si>
  <si>
    <t>Augbidil 500mg/62.5mg</t>
  </si>
  <si>
    <t>Acid clavulanic + Amoxicillin</t>
  </si>
  <si>
    <t>Thuốc bột pha hỗn dịch uống - Lỏng</t>
  </si>
  <si>
    <t>Penicillins + Beta - lactamase Inhibitors - Aminopenicillins - Phổ rộng</t>
  </si>
  <si>
    <t>(6)</t>
  </si>
  <si>
    <t>Gói</t>
  </si>
  <si>
    <t>Cefotaxone 1 g</t>
  </si>
  <si>
    <t>Cefotaxim</t>
  </si>
  <si>
    <t>Bironem 1g</t>
  </si>
  <si>
    <t>Meropenem</t>
  </si>
  <si>
    <t>Bironem 500 mg</t>
  </si>
  <si>
    <t>Bifumax 750</t>
  </si>
  <si>
    <t>Tazopelin 4,5g</t>
  </si>
  <si>
    <t>Piperacillin natri &amp;Tazobactam natri</t>
  </si>
  <si>
    <t>Penicillins + Beta - lactamase Inhibitors  - Ureidopenicilin - Phổ rộng</t>
  </si>
  <si>
    <t>Bidiclor® 125</t>
  </si>
  <si>
    <t>Cefaclor</t>
  </si>
  <si>
    <t>Clyodas® 150</t>
  </si>
  <si>
    <t>Clindamycin hydroclorid</t>
  </si>
  <si>
    <t>lincosamid</t>
  </si>
  <si>
    <t>(2)</t>
  </si>
  <si>
    <t>viên</t>
  </si>
  <si>
    <t>AUGBIDIL® 250 mg/31,25 mg</t>
  </si>
  <si>
    <t>Penicillins + Beta - lactamase Inhibitors  - Aminopenicillins - Phổ rộng</t>
  </si>
  <si>
    <t>CEFUBI- 100 DT</t>
  </si>
  <si>
    <t>Cefpodoxim</t>
  </si>
  <si>
    <t>Viên nén phân tán - Rắn</t>
  </si>
  <si>
    <t>Sunewtam 2g</t>
  </si>
  <si>
    <t>Cefoperazon natri + Sulbactam natri</t>
  </si>
  <si>
    <t xml:space="preserve">Cephalosporins + Beta - lactamase Inhibitors - 3rd </t>
  </si>
  <si>
    <t>Bifucil</t>
  </si>
  <si>
    <t>Levofloxacin</t>
  </si>
  <si>
    <t>Viên nén bao phim - Rắn</t>
  </si>
  <si>
    <t>Quinolon</t>
  </si>
  <si>
    <t>Bifumax 1,5g</t>
  </si>
  <si>
    <t>Bicefzidim 2 g</t>
  </si>
  <si>
    <t>Ceftazidim pentahydrat</t>
  </si>
  <si>
    <t>Biceflexin Powder</t>
  </si>
  <si>
    <t>Cefalexin</t>
  </si>
  <si>
    <t>Cephalosporins - 1st</t>
  </si>
  <si>
    <t>Bicefdox 500</t>
  </si>
  <si>
    <t>Cefadroxil</t>
  </si>
  <si>
    <t>Clyodas 300</t>
  </si>
  <si>
    <t>AUGBIDIL 1g</t>
  </si>
  <si>
    <t>Amoxicillin trihydrat + Potassium clavulanat</t>
  </si>
  <si>
    <t>Micbibleucin</t>
  </si>
  <si>
    <t>Cloramphenicol + Xanh methylen</t>
  </si>
  <si>
    <t>Viên nén bao đường - Rắn</t>
  </si>
  <si>
    <t>phenicol</t>
  </si>
  <si>
    <t>BIDICLOR 500</t>
  </si>
  <si>
    <t>BIFUMAX 125</t>
  </si>
  <si>
    <t>Cefuroxim axetil </t>
  </si>
  <si>
    <t>Thuốc cốm - Rắn</t>
  </si>
  <si>
    <t>SPOBAVAS 3 MIU</t>
  </si>
  <si>
    <t>Spiramycin</t>
  </si>
  <si>
    <t>macrolid</t>
  </si>
  <si>
    <t>SPOBAVAS 1,5 MIU</t>
  </si>
  <si>
    <t>Metronidazol 250mg</t>
  </si>
  <si>
    <t>Metronidazol</t>
  </si>
  <si>
    <t>5-nitro-imidazol</t>
  </si>
  <si>
    <t>Biceflexin 500</t>
  </si>
  <si>
    <t>Cefalexin monohydrat</t>
  </si>
  <si>
    <t>Bidimoxy 500</t>
  </si>
  <si>
    <t>Amoxicilin trihydrat</t>
  </si>
  <si>
    <t>Penicillins - Aminopenicillin - Phổ rộng</t>
  </si>
  <si>
    <t>Bifotirin 1g</t>
  </si>
  <si>
    <t>Cefotiam hydroclorid </t>
  </si>
  <si>
    <t>AUGBIDIL 625</t>
  </si>
  <si>
    <t>Bipisyn</t>
  </si>
  <si>
    <t>Ampicilin natri + Sulbactam natri</t>
  </si>
  <si>
    <t>Oxacillin 1g</t>
  </si>
  <si>
    <t>Oxacillin natri</t>
  </si>
  <si>
    <t>Penicillins - Beta lactamase Resistant</t>
  </si>
  <si>
    <t>CLYODAS®</t>
  </si>
  <si>
    <t>Clindamycin</t>
  </si>
  <si>
    <t>Ống</t>
  </si>
  <si>
    <t>SUNEWTAM 1g</t>
  </si>
  <si>
    <t>Cefoperazon + Sulbactam</t>
  </si>
  <si>
    <t xml:space="preserve">Cephalosporins+ Beta - lactamase Inhibitors - 3rd </t>
  </si>
  <si>
    <t>BICEBID 200</t>
  </si>
  <si>
    <t>BICEBID 100</t>
  </si>
  <si>
    <t>Zolgyl</t>
  </si>
  <si>
    <t>Spiramycin + Metronidazol</t>
  </si>
  <si>
    <t>macrolid 16 C +  5-nitro-imidazol</t>
  </si>
  <si>
    <t>TINIDAZOL 500mg</t>
  </si>
  <si>
    <t>Tinidazol</t>
  </si>
  <si>
    <t>CLARITAB 500</t>
  </si>
  <si>
    <t>Clarithromycin</t>
  </si>
  <si>
    <t>macrolid 14 C</t>
  </si>
  <si>
    <t>CIPROFLOXACIN 500</t>
  </si>
  <si>
    <t>Ciprofloxacin HCl</t>
  </si>
  <si>
    <t>fluoroquinolon - 2nd</t>
  </si>
  <si>
    <t>CEPHALEXIN 500mg</t>
  </si>
  <si>
    <t>Cephalexin</t>
  </si>
  <si>
    <t>Bigentil 100</t>
  </si>
  <si>
    <t>Netilmicin sulfat</t>
  </si>
  <si>
    <t>Dung dịch tiêm - Lỏng</t>
  </si>
  <si>
    <t>aminoglycoside</t>
  </si>
  <si>
    <t>Bifradin</t>
  </si>
  <si>
    <t>Cefradin</t>
  </si>
  <si>
    <t>Bidiseptol</t>
  </si>
  <si>
    <t>Sulfamethoxazol + Trimethoprim</t>
  </si>
  <si>
    <t>Viên nén - Rắn</t>
  </si>
  <si>
    <t>Co-trimoxazol</t>
  </si>
  <si>
    <t>BIDICOTRIM F</t>
  </si>
  <si>
    <t>AMOXICILIN 500mg</t>
  </si>
  <si>
    <t>Bifumax 500</t>
  </si>
  <si>
    <t>Cefuroxim axetil</t>
  </si>
  <si>
    <t>Bifumax 250</t>
  </si>
  <si>
    <t>Ceftrione 1g</t>
  </si>
  <si>
    <t>Ceftriaxon</t>
  </si>
  <si>
    <t>Cefotaxone 1g</t>
  </si>
  <si>
    <t>Cefotaxim natri</t>
  </si>
  <si>
    <t>AUGBIDIL</t>
  </si>
  <si>
    <t>Amoxicilin natri + Kali Clavulanat</t>
  </si>
  <si>
    <t>Amoxicilin 250mg</t>
  </si>
  <si>
    <t>Thuốc chống nắm</t>
  </si>
  <si>
    <t>Vaginax</t>
  </si>
  <si>
    <t>Metronidazol + Miconazol</t>
  </si>
  <si>
    <t>Viên đạn đặt âm đạo - Rắn</t>
  </si>
  <si>
    <t>(4)</t>
  </si>
  <si>
    <t>Menystin</t>
  </si>
  <si>
    <t>Metronidazol + Nystatin + Dexamethason acetat</t>
  </si>
  <si>
    <t>Viên nén đặt âm đạo - Rắn</t>
  </si>
  <si>
    <t>Thuốc giảm đau - hạ sốt - chống viêm</t>
  </si>
  <si>
    <t>Biragan 500</t>
  </si>
  <si>
    <t>Paracetamol</t>
  </si>
  <si>
    <t>Bidivon</t>
  </si>
  <si>
    <t>Ibuprofen</t>
  </si>
  <si>
    <t>Tenoxicam 20mg</t>
  </si>
  <si>
    <t>Tenoxicam</t>
  </si>
  <si>
    <t>Biragan Kids 250</t>
  </si>
  <si>
    <t>Thuốc cốm sủi bọt - Lỏng</t>
  </si>
  <si>
    <t>PARACETAMOL 500mg</t>
  </si>
  <si>
    <t>α - Chymotrypsin</t>
  </si>
  <si>
    <t>Chymotrypsin</t>
  </si>
  <si>
    <t>Biragan 150</t>
  </si>
  <si>
    <t>Thuốc đạn - Rắn</t>
  </si>
  <si>
    <t>α - Chymotrypsin 5000</t>
  </si>
  <si>
    <t>PYROLOX</t>
  </si>
  <si>
    <t>Piroxicam</t>
  </si>
  <si>
    <t>BIRAGAN 500 Viên Sủi</t>
  </si>
  <si>
    <t>Viên nén sủi bọt - Rắn</t>
  </si>
  <si>
    <t>Bixicam</t>
  </si>
  <si>
    <t>Meloxicam</t>
  </si>
  <si>
    <t>BIRAGAN 500 (vỉ nhôm)</t>
  </si>
  <si>
    <t>Biragan Extra</t>
  </si>
  <si>
    <t>Paracetamol + Cafein</t>
  </si>
  <si>
    <t>Padolmin</t>
  </si>
  <si>
    <t>Paracetamol + Clorpheniramin Maleat</t>
  </si>
  <si>
    <t>Biragan Kids 150</t>
  </si>
  <si>
    <t>Biragan Kids 325</t>
  </si>
  <si>
    <t>Thuốc bột sủi bọt - Lỏng</t>
  </si>
  <si>
    <t>Biragan 650</t>
  </si>
  <si>
    <t>BIRAGAN 300</t>
  </si>
  <si>
    <t>Thuốc hormon - nội tiết tố</t>
  </si>
  <si>
    <t>Soli-Medon 125</t>
  </si>
  <si>
    <t>Methylprednisolon natri succinat </t>
  </si>
  <si>
    <t>SOLI - MEDON 4</t>
  </si>
  <si>
    <t>Methylprednisolon</t>
  </si>
  <si>
    <t>SOLI - MEDON 16</t>
  </si>
  <si>
    <t>SOLI - MEDON 40</t>
  </si>
  <si>
    <t>Methylprednisolon natri succinat</t>
  </si>
  <si>
    <t>HYDROCORTISON</t>
  </si>
  <si>
    <t>Hydrocortison</t>
  </si>
  <si>
    <t>Thuốc đường tiêu hóa - gan mật</t>
  </si>
  <si>
    <t>Phospha gaspain 12,38g</t>
  </si>
  <si>
    <t>Gel nhôm phosphat</t>
  </si>
  <si>
    <t>Hỗn dịch uống - Lỏng</t>
  </si>
  <si>
    <t>Berberin 100mg</t>
  </si>
  <si>
    <t>Berberin clorid</t>
  </si>
  <si>
    <t>Lacbiosyn® Viên</t>
  </si>
  <si>
    <r>
      <t>Lactobacillus acidophilus</t>
    </r>
    <r>
      <rPr>
        <sz val="10"/>
        <color rgb="FF000000"/>
        <rFont val="Arial"/>
        <family val="2"/>
      </rPr>
      <t>108CFU</t>
    </r>
  </si>
  <si>
    <t>Bidisubtilis</t>
  </si>
  <si>
    <t>Bacillus subtilis</t>
  </si>
  <si>
    <t>Thuốc bột pha uống - Lỏng</t>
  </si>
  <si>
    <t>Lacbiosyn®</t>
  </si>
  <si>
    <t>Lactobacillus acidophilus</t>
  </si>
  <si>
    <t>LIVETHINE Tab</t>
  </si>
  <si>
    <t>L-Ornithin-L-Aspartat</t>
  </si>
  <si>
    <t>Berberin Bidiphar</t>
  </si>
  <si>
    <t>NATRI BICARBONAT 500mg</t>
  </si>
  <si>
    <t>Natri hydrocarbonat</t>
  </si>
  <si>
    <t>COMENAZOL</t>
  </si>
  <si>
    <t>Pantoprazol</t>
  </si>
  <si>
    <t>ESOGAS</t>
  </si>
  <si>
    <t>Esomeprazol</t>
  </si>
  <si>
    <t>Altamin</t>
  </si>
  <si>
    <t>Cao khô Actiso (Extractum Folium Cynarae scolymi) 
+ Cao khô Rau đắng đất (Extractum Glini oppositifolii siccum)
+ Cao khô hạt Bìm bìm biếc (Extractum Semen Pharbitidis )</t>
  </si>
  <si>
    <t>Viên nang mềm - Rắn</t>
  </si>
  <si>
    <t>Livethine</t>
  </si>
  <si>
    <t>L-ornithin L-aspartat</t>
  </si>
  <si>
    <t>Phospha Gaspain 11g</t>
  </si>
  <si>
    <t>Gel Nhôm phosphat 20%</t>
  </si>
  <si>
    <t>Glutaone 200</t>
  </si>
  <si>
    <t>Glutathion</t>
  </si>
  <si>
    <t>Oraptic</t>
  </si>
  <si>
    <t>Omeprazol</t>
  </si>
  <si>
    <t>ORESOL New</t>
  </si>
  <si>
    <t>Glucose khan + Natri clorid + Natri citrat + Kali clorid</t>
  </si>
  <si>
    <t>ORESOL</t>
  </si>
  <si>
    <t>Glucose khan + Natri clorid + Trinatri citrat dihydrat + Kali clorid</t>
  </si>
  <si>
    <t>Oraptic® 20</t>
  </si>
  <si>
    <t>SORBITOL BIDIPHAR</t>
  </si>
  <si>
    <t>Sorbitol</t>
  </si>
  <si>
    <t>Thuốc tác dụng trên đường hô hấp</t>
  </si>
  <si>
    <t>Ninosat</t>
  </si>
  <si>
    <t>Natri clorid</t>
  </si>
  <si>
    <t>Dung dịch xịt mũi - Lỏng</t>
  </si>
  <si>
    <t>(5)</t>
  </si>
  <si>
    <t>Latoxol Kids</t>
  </si>
  <si>
    <t>Ambroxol hydroclorid</t>
  </si>
  <si>
    <t>Siro - Lỏng</t>
  </si>
  <si>
    <t>Latoxol</t>
  </si>
  <si>
    <t>Amelicol</t>
  </si>
  <si>
    <t>Eucalyptol + Tinh dầu tràm (Oleum cajuputi) + Menthol
+ Tinh dầu gừng (Oleum zingiberis) + Tinh dầu tần (Oleum coleii)</t>
  </si>
  <si>
    <t>BIFACOLD</t>
  </si>
  <si>
    <t>Acetylcystein</t>
  </si>
  <si>
    <t>Thuốc chống dị ứng</t>
  </si>
  <si>
    <t>BILODIN</t>
  </si>
  <si>
    <t>Loratadin </t>
  </si>
  <si>
    <t>Tocimat 120</t>
  </si>
  <si>
    <t>Fexofenadin HCl</t>
  </si>
  <si>
    <t>Tocimat 60</t>
  </si>
  <si>
    <t>Celerzin</t>
  </si>
  <si>
    <t>Cetirizin dihydroclorid</t>
  </si>
  <si>
    <t>Tocimat 180</t>
  </si>
  <si>
    <t>Thuốc Cơ - Xương - Khớp</t>
  </si>
  <si>
    <t>Độc hoạt tang ký sinh Bidiphar</t>
  </si>
  <si>
    <t>Dịch chiết đông dược</t>
  </si>
  <si>
    <t>WAISAN</t>
  </si>
  <si>
    <t>Eperison hydroclorid</t>
  </si>
  <si>
    <t>ALBINAX® 70 mg</t>
  </si>
  <si>
    <t>Alendronat natri</t>
  </si>
  <si>
    <t>BIDACIN</t>
  </si>
  <si>
    <t>Diacerein</t>
  </si>
  <si>
    <t>Bidisamin 500</t>
  </si>
  <si>
    <t>Glucosamin sulfat</t>
  </si>
  <si>
    <t>Thuốc tim mạch</t>
  </si>
  <si>
    <t>Aleucin 500mg/5ml</t>
  </si>
  <si>
    <t>N – Acetyl – DL – Leucin</t>
  </si>
  <si>
    <t>Atropin 0,1 H/50 5ml</t>
  </si>
  <si>
    <t>Atropin sulfat</t>
  </si>
  <si>
    <t>Atropin 0,1 H/100 2ml</t>
  </si>
  <si>
    <t>Atropin 0,1 H/100 1ml</t>
  </si>
  <si>
    <t>Oxacillin </t>
  </si>
  <si>
    <t>Bivelox I.V 5mg/ml</t>
  </si>
  <si>
    <t>Chai</t>
  </si>
  <si>
    <t>Bidigentil 10% 1,5ml</t>
  </si>
  <si>
    <t>Netilmicin</t>
  </si>
  <si>
    <t>Bidigentil 10% 1ml</t>
  </si>
  <si>
    <t>Bidilocef 1g</t>
  </si>
  <si>
    <t>Cephalothin</t>
  </si>
  <si>
    <t>Bidicarlin 3,2 g</t>
  </si>
  <si>
    <t>Ticarcillin + Acid clavulanic</t>
  </si>
  <si>
    <t>Bidicarlin 1,6 g</t>
  </si>
  <si>
    <t>Livethine 5g/10ml</t>
  </si>
  <si>
    <t>L – Ornithin – L – Aspartat</t>
  </si>
  <si>
    <t>Soli-medon 4</t>
  </si>
  <si>
    <t>Soli-medon 16</t>
  </si>
  <si>
    <t>Bidizem MR 200</t>
  </si>
  <si>
    <t>Diltiazem hydroclorid</t>
  </si>
  <si>
    <t>Bidizem® 60</t>
  </si>
  <si>
    <t>AMBIDIL 5</t>
  </si>
  <si>
    <t>Amlodipin besylat</t>
  </si>
  <si>
    <t>IRCOVAS 150</t>
  </si>
  <si>
    <t>Irbesartan</t>
  </si>
  <si>
    <t>Methyldopa 250mg</t>
  </si>
  <si>
    <t>Methyldopa</t>
  </si>
  <si>
    <t>Biresort 10</t>
  </si>
  <si>
    <t>Isosorbid dinitrat</t>
  </si>
  <si>
    <t>BIDINATEC 10</t>
  </si>
  <si>
    <t>Enalapril maleat</t>
  </si>
  <si>
    <t>Thuốc hạ lipid máu</t>
  </si>
  <si>
    <t>ATORLOG 20</t>
  </si>
  <si>
    <t>Atorvastatin calcium</t>
  </si>
  <si>
    <t>Devastin 20</t>
  </si>
  <si>
    <t>Rosuvastatin calcium</t>
  </si>
  <si>
    <t>Devastin 10</t>
  </si>
  <si>
    <t>Thuốc hạ đường huyết</t>
  </si>
  <si>
    <t>LAZIBET MR 60</t>
  </si>
  <si>
    <t>Gliclazid</t>
  </si>
  <si>
    <t>Mefomid® 850</t>
  </si>
  <si>
    <t>Metformin hydroclorid</t>
  </si>
  <si>
    <t>BDFGLAMIC</t>
  </si>
  <si>
    <t>Glibenclamid</t>
  </si>
  <si>
    <t>Thuốc tác động hướng thần kinh</t>
  </si>
  <si>
    <t>Chorilin 1g</t>
  </si>
  <si>
    <t>Cholin alfoscerat</t>
  </si>
  <si>
    <t>BỔ HUYẾT ÍCH NÃO BDF</t>
  </si>
  <si>
    <t>Extractum Radix Angelicae siccum + Extractum Folium Ginkgo siccum</t>
  </si>
  <si>
    <t>Neucotic®</t>
  </si>
  <si>
    <t>Gabapentin</t>
  </si>
  <si>
    <t>Kingloba</t>
  </si>
  <si>
    <t>Extractum Folii Ginkgo siccus</t>
  </si>
  <si>
    <t>Stagerin</t>
  </si>
  <si>
    <t>Cinarizin </t>
  </si>
  <si>
    <t>Nudipyl 800</t>
  </si>
  <si>
    <t>Piracetam</t>
  </si>
  <si>
    <t>Nudipyl 400</t>
  </si>
  <si>
    <t>Hoạt huyết dưỡng não BDF</t>
  </si>
  <si>
    <t>Cao khô Đinh lăng + Cao khô Bạch quả</t>
  </si>
  <si>
    <t>Aleucin</t>
  </si>
  <si>
    <t>N-Acetyl-DL-Leucin</t>
  </si>
  <si>
    <t>Thuốc nhỏ mắt</t>
  </si>
  <si>
    <t>Eyesmox</t>
  </si>
  <si>
    <t>Moxifloxacin</t>
  </si>
  <si>
    <t>Thuốc nhỏ mắt - Lỏng</t>
  </si>
  <si>
    <t>Tobidex</t>
  </si>
  <si>
    <t>Tobramycin sulfate + Dexamethason natri phosphate</t>
  </si>
  <si>
    <t>EYEXACIN®</t>
  </si>
  <si>
    <t>Levofloxacin hemihydrat</t>
  </si>
  <si>
    <t>Pretty-eye</t>
  </si>
  <si>
    <t>Muối chloride</t>
  </si>
  <si>
    <t>Dung dịch rửa mắt - Lỏng</t>
  </si>
  <si>
    <t>BILOXCIN Eye</t>
  </si>
  <si>
    <t>Ofloxacin</t>
  </si>
  <si>
    <t>Natri clorid 0,9 % 1000ml</t>
  </si>
  <si>
    <t>Natri clorid </t>
  </si>
  <si>
    <t>Dung dịch tra mắt, nhỏ mũi - Lỏng</t>
  </si>
  <si>
    <t>Eyetamin</t>
  </si>
  <si>
    <t>Thiamin hydrochlorid + Riboflavin natri phosphate + Nicotinamid</t>
  </si>
  <si>
    <t>GENTAMICIN</t>
  </si>
  <si>
    <t>Gentamicin sulfate</t>
  </si>
  <si>
    <t>Ciprofloxacin 0,3%</t>
  </si>
  <si>
    <t>Thuốc nhỏ mắt, nhỏ tai - Lỏng</t>
  </si>
  <si>
    <t>BIRACIN – E</t>
  </si>
  <si>
    <t>Tobramycin sulfate</t>
  </si>
  <si>
    <t>Thuốc Cấp cứu - Giải độc</t>
  </si>
  <si>
    <t>Glutaone 600</t>
  </si>
  <si>
    <t>Glutaone 300</t>
  </si>
  <si>
    <t>Thuốc tẩy trùng và sát khuẩn</t>
  </si>
  <si>
    <t>Iodine 90ml</t>
  </si>
  <si>
    <t>Povidone Iodine</t>
  </si>
  <si>
    <t>Dung dịch dùng ngoài - Lỏng</t>
  </si>
  <si>
    <t>ALCOHOL 70º - 500ml</t>
  </si>
  <si>
    <r>
      <t>Cồn </t>
    </r>
    <r>
      <rPr>
        <sz val="12"/>
        <color rgb="FF231F20"/>
        <rFont val="Arial"/>
        <family val="2"/>
      </rPr>
      <t>94</t>
    </r>
    <r>
      <rPr>
        <vertAlign val="superscript"/>
        <sz val="12"/>
        <color rgb="FF231F20"/>
        <rFont val="Arial"/>
        <family val="2"/>
      </rPr>
      <t>0</t>
    </r>
  </si>
  <si>
    <t>Gynopic</t>
  </si>
  <si>
    <t>Berberin cloride + Amoni nhôm sulfat</t>
  </si>
  <si>
    <t>Thuốc bột dùng ngoài - Rắn</t>
  </si>
  <si>
    <t>HYDROGEN PEROXYD 3%</t>
  </si>
  <si>
    <t>Hydrogen peroxyd 50</t>
  </si>
  <si>
    <t>ALCOHOL 70º - 60ml</t>
  </si>
  <si>
    <r>
      <t>Cồn 94</t>
    </r>
    <r>
      <rPr>
        <vertAlign val="superscript"/>
        <sz val="12"/>
        <color rgb="FF000000"/>
        <rFont val="Arial"/>
        <family val="2"/>
      </rPr>
      <t>0</t>
    </r>
    <r>
      <rPr>
        <sz val="12"/>
        <color rgb="FF000000"/>
        <rFont val="Arial"/>
        <family val="2"/>
      </rPr>
      <t> </t>
    </r>
  </si>
  <si>
    <t>DUNG DỊCH SÁT KHUẨN TAY 250ml</t>
  </si>
  <si>
    <t>Ethanol 96%</t>
  </si>
  <si>
    <t>IODINE 30ml</t>
  </si>
  <si>
    <t>Thuốc điều trị bệnh ngoài da</t>
  </si>
  <si>
    <t>Bikozol</t>
  </si>
  <si>
    <t>Ketoconazol</t>
  </si>
  <si>
    <t>Kem bôi da - Mỡ</t>
  </si>
  <si>
    <t>tuýp</t>
  </si>
  <si>
    <t>Bisilkon</t>
  </si>
  <si>
    <t>Clotrimazol + Betamethason dipropionat + Gentamicin</t>
  </si>
  <si>
    <t>Vitamin - Khoáng chất</t>
  </si>
  <si>
    <t>Magnesium - B6</t>
  </si>
  <si>
    <t>Magnesium lactat dihydrat</t>
  </si>
  <si>
    <t>Calci vita</t>
  </si>
  <si>
    <t>Calci glucoheptonat + Vitamin C + Vitamin PP</t>
  </si>
  <si>
    <t>Dung dịch uống - Lỏng</t>
  </si>
  <si>
    <t>Bidiferon</t>
  </si>
  <si>
    <t>Sắt + Acid folic</t>
  </si>
  <si>
    <t>NEUTRIVIT 5000</t>
  </si>
  <si>
    <t>Vitamin + hệ dung môi</t>
  </si>
  <si>
    <t>GALANMER®</t>
  </si>
  <si>
    <t>Mecobalamin</t>
  </si>
  <si>
    <t>NEUTRIFORE</t>
  </si>
  <si>
    <t>Vitamin</t>
  </si>
  <si>
    <t>BIDI BC COMPLEX</t>
  </si>
  <si>
    <t>Bifehema</t>
  </si>
  <si>
    <t>Vi lượng</t>
  </si>
  <si>
    <t>BIDICORBIC 500</t>
  </si>
  <si>
    <t>Tozinax syrup</t>
  </si>
  <si>
    <t>Siro - Lỏng</t>
  </si>
  <si>
    <t>TOZINAX</t>
  </si>
  <si>
    <t>Kẽm gluconat</t>
  </si>
  <si>
    <t>Bonevit</t>
  </si>
  <si>
    <t>Calci lactat gluconat + Calci carbonat</t>
  </si>
  <si>
    <t>BICANMA</t>
  </si>
  <si>
    <t>Magnesi gluconat + Calci glycerophosphat</t>
  </si>
  <si>
    <t>KINGDOMIN Vita C</t>
  </si>
  <si>
    <t>VITAMIN B6</t>
  </si>
  <si>
    <t>Pyridoxin hydroclorid</t>
  </si>
  <si>
    <t>BIDICOZAN</t>
  </si>
  <si>
    <t>Dibencozide</t>
  </si>
  <si>
    <t>Dung dịch thẩm phân máu</t>
  </si>
  <si>
    <t>Kydheamo 3A HC</t>
  </si>
  <si>
    <t>Dung dịch thẩm phân máu đậm đặc - Lỏng</t>
  </si>
  <si>
    <t>can 10 lít</t>
  </si>
  <si>
    <t>Kydheamo 2B HC</t>
  </si>
  <si>
    <t>Kydheamo 2A HC</t>
  </si>
  <si>
    <t>Kydheamo 1B HC</t>
  </si>
  <si>
    <t>Kydheamo 1A HC</t>
  </si>
  <si>
    <t>Bitolysis 4.25 %</t>
  </si>
  <si>
    <t>Dung dịch thẩm phân phúc mạc - Lỏng</t>
  </si>
  <si>
    <t>Túi nhựa 2 lít</t>
  </si>
  <si>
    <t>Bitolysis 2,5 %</t>
  </si>
  <si>
    <t>Bitolysis 1,5 %</t>
  </si>
  <si>
    <t>KYDHEAMO- 3A</t>
  </si>
  <si>
    <t>Dung dịch thẩm phân máu - Lỏng</t>
  </si>
  <si>
    <t>KYDHEAMO - 2B</t>
  </si>
  <si>
    <t>KYDHEAMO - 2A</t>
  </si>
  <si>
    <t>KYDHEAMO - 1B</t>
  </si>
  <si>
    <t>KYDHEAMO - 1A</t>
  </si>
  <si>
    <t>Thuốc điều trị ung thư</t>
  </si>
  <si>
    <t>Palonosetron Bidiphar 0,25mg/5m</t>
  </si>
  <si>
    <t>Palonosetron</t>
  </si>
  <si>
    <t>Ondansetron Bidiphar 8mg/4ml</t>
  </si>
  <si>
    <t>Ondansetron</t>
  </si>
  <si>
    <t>Bestdocel 80 mg/4 ml</t>
  </si>
  <si>
    <t>Docetaxel</t>
  </si>
  <si>
    <t>Dung dịch đậm đặc pha truyền tĩnh mạch - Lỏng</t>
  </si>
  <si>
    <t>Bleomycin Bidiphar</t>
  </si>
  <si>
    <t>Bleomycin</t>
  </si>
  <si>
    <t>Calcilinat 50mg/5ml</t>
  </si>
  <si>
    <t>Acid folinic</t>
  </si>
  <si>
    <t>Calcilinat 100mg/10ml</t>
  </si>
  <si>
    <t>Lyoxatin 100mg/20ml</t>
  </si>
  <si>
    <t>Oxaliplatin 100 mg</t>
  </si>
  <si>
    <t>Dung dịch tiêm pha truyền tĩnh mạch - Lỏng</t>
  </si>
  <si>
    <t>Lyoxatin 50mg/10 ml</t>
  </si>
  <si>
    <t>Ifosfamid Bidiphar 1g</t>
  </si>
  <si>
    <t>Ifosfamid</t>
  </si>
  <si>
    <t>Bestdocel 20mg/1ml</t>
  </si>
  <si>
    <t>Cisplatin Bidiphar 10mg/20ml</t>
  </si>
  <si>
    <t>Cisplatin</t>
  </si>
  <si>
    <t>LYOXATIN 150mg/30ml</t>
  </si>
  <si>
    <t>Oxaliplatin</t>
  </si>
  <si>
    <t>LYOXATIN F50</t>
  </si>
  <si>
    <t>Irinotecan Bidiphar 40mg/2ml</t>
  </si>
  <si>
    <t>Irinotecan hydroclorid trihydrat</t>
  </si>
  <si>
    <t>Irinotecan Bidiphar 100mg/5m</t>
  </si>
  <si>
    <t xml:space="preserve">Irinotecan hydroclorid trihydrat </t>
  </si>
  <si>
    <t>Epirubicin Bidiphar 10</t>
  </si>
  <si>
    <t>Epirubicin hydroclorid</t>
  </si>
  <si>
    <t>Doxorubicin Bidiphar 50</t>
  </si>
  <si>
    <t>Doxorubicin hydroclorid</t>
  </si>
  <si>
    <t>Doxorubicin Bidiphar 10</t>
  </si>
  <si>
    <t>LYOXATIN 50</t>
  </si>
  <si>
    <t>CANPAXEL 30</t>
  </si>
  <si>
    <t>Paclitaxel</t>
  </si>
  <si>
    <t>CANPAXEL 100</t>
  </si>
  <si>
    <t>CALCILINAT F50</t>
  </si>
  <si>
    <t>Calcium Folinat</t>
  </si>
  <si>
    <t>CALCILINAT F100</t>
  </si>
  <si>
    <t>BESTDOCEL 80</t>
  </si>
  <si>
    <t>Docetaxel anhydrous</t>
  </si>
  <si>
    <t>Methotrexat Bidiphar 50mg/2 ml</t>
  </si>
  <si>
    <t>Methotrexat</t>
  </si>
  <si>
    <t>Epirubicin Bidiphar 50</t>
  </si>
  <si>
    <t>CANPAXEL 300</t>
  </si>
  <si>
    <t>CANPAXEL 250</t>
  </si>
  <si>
    <t>CANPAXEL 150</t>
  </si>
  <si>
    <t>BILURACIL 500</t>
  </si>
  <si>
    <t>5-fluorouracil</t>
  </si>
  <si>
    <t>BILURACIL 250</t>
  </si>
  <si>
    <t>BILURACIL 1G</t>
  </si>
  <si>
    <t xml:space="preserve">5- Fluorouracil </t>
  </si>
  <si>
    <t>BESTDOCEL 20</t>
  </si>
  <si>
    <t>BIGEMAX 200</t>
  </si>
  <si>
    <t>Gemcitabin hydroclorid</t>
  </si>
  <si>
    <t>BIGEMAX 1g</t>
  </si>
  <si>
    <t>ETOPOSID BIDIPHAR</t>
  </si>
  <si>
    <t>Etoposid</t>
  </si>
  <si>
    <t>BDF-FDACELL 50</t>
  </si>
  <si>
    <t>Fludarabin phosphat</t>
  </si>
  <si>
    <t>BOCARTIN 150</t>
  </si>
  <si>
    <t>Carboplatin</t>
  </si>
  <si>
    <t>BOCARTIN 50</t>
  </si>
  <si>
    <t>Vinorelbin Bidiphar 10mg/1ml</t>
  </si>
  <si>
    <t>Vinorelbin</t>
  </si>
  <si>
    <t>Thống kê non betalactam</t>
  </si>
  <si>
    <t>Tỷ lệ các dạng sản phẩm</t>
  </si>
  <si>
    <t>Tỷ lệ rắn/lỏng</t>
  </si>
  <si>
    <t>Non betalactam rắn</t>
  </si>
  <si>
    <t>Non betalactam lỏng</t>
  </si>
  <si>
    <t>Non betalactam mỡ</t>
  </si>
  <si>
    <t>Thống kê thuốc kháng sinh</t>
  </si>
  <si>
    <t>Khối lượng sản phẩm</t>
  </si>
  <si>
    <t>Tỷ lệ rắn lỏng</t>
  </si>
  <si>
    <t>Cepharlosporin - Lỏng</t>
  </si>
  <si>
    <t>Cepharlosporin - Rắn</t>
  </si>
  <si>
    <t>Penicillin - Lỏng</t>
  </si>
  <si>
    <t>Penicillin - Rắn</t>
  </si>
  <si>
    <t>1.2 Giá ước lượng</t>
  </si>
  <si>
    <t>Giá Ước lượng</t>
  </si>
  <si>
    <t>Giá trung bình nhóm kháng sinh</t>
  </si>
  <si>
    <t>Giá trung bình nhóm kháng nấm</t>
  </si>
  <si>
    <t>Giá trung bình giảm đau - hạ sốt - chống viêm</t>
  </si>
  <si>
    <t>Giá trung bình hoocmon - nội tố</t>
  </si>
  <si>
    <t>Giá trung bình tiêu hóa - gan mật</t>
  </si>
  <si>
    <t>Giá trung bình hoô hấp</t>
  </si>
  <si>
    <t>Giá trung bình chống dị ứng</t>
  </si>
  <si>
    <t>Giá trung bình Cơ - Xương - Khớp</t>
  </si>
  <si>
    <t>Giá trung bình Tim mạch</t>
  </si>
  <si>
    <t>Giá trung bình hạ lipid máu</t>
  </si>
  <si>
    <t>Giá trung bình hạ đường huyết</t>
  </si>
  <si>
    <t>Giá trung bình tác động thần kinh</t>
  </si>
  <si>
    <t>Giá trung bình thuốc nhỏ mắt</t>
  </si>
  <si>
    <t>Giá trung bình cấp cứu giải độc</t>
  </si>
  <si>
    <t>Giá trung bình tẩy trùng và sát khuẩn</t>
  </si>
  <si>
    <t>Giá trung bình ngoài da</t>
  </si>
  <si>
    <t>Giá trung bình vitamin khoáng chất</t>
  </si>
  <si>
    <t>Giá trung bình dung dịch thẩm phân máu</t>
  </si>
  <si>
    <t>Giá trung bình trị ung thư</t>
  </si>
  <si>
    <t>Giá trung bình tất cả sản phẩm</t>
  </si>
  <si>
    <t>Giá trung bình xưởng (1)</t>
  </si>
  <si>
    <t>Giá trung bình xưởng (2)</t>
  </si>
  <si>
    <t>Giá trung bình xưởng (3)</t>
  </si>
  <si>
    <t>Giá trung bình xưởng (4)</t>
  </si>
  <si>
    <t>Giá trung bình xưởng (5)</t>
  </si>
  <si>
    <t>Giá trung bình xưởng (6)</t>
  </si>
  <si>
    <t>Giá trung bình xưởng (7)</t>
  </si>
  <si>
    <t>Giá trung bình thuốc kháng sinh dạng rắn</t>
  </si>
  <si>
    <t>Dùng cơ cấu nhóm kháng sinh để giả định vì cơ cấu các nhóm khác bị lệch vì đa phần là dạng lỏng</t>
  </si>
  <si>
    <t>Giá trung bình thuốc kháng sinh dạng lỏng</t>
  </si>
  <si>
    <t>Hệ số quy đổi</t>
  </si>
  <si>
    <t>Giá trung bình thuốc ung thư chuẩn GMP-Who dạng tiêm</t>
  </si>
  <si>
    <t>Giá trung bình thuốc ung thư chuẩn GMP-Who dạng viên (giả định)</t>
  </si>
  <si>
    <t>Giá trung bình thuốc ung thư chuẩn GMP-Eu/PICS dạng tiêm</t>
  </si>
  <si>
    <t>Giá trung bình thuốc ung thư chuẩn GMP-Eu/PICS dạng viên (giả định)</t>
  </si>
  <si>
    <t>Giá trung bình Non-betalactam dạng Rắn GMP-WHO</t>
  </si>
  <si>
    <t>Dùng để ước lượng giá cho xưởng (11) và (12), 2 xưởng này theo Bảng cáo bạch 2018 thì sản xuất kháng sinh nên dùng dữ liệu giá nhóm kháng sinh hiện tại để ước lượng</t>
  </si>
  <si>
    <t>Giá trung bình Non-betalactam dạng Lỏng GMP-WHO</t>
  </si>
  <si>
    <t>Trung bình gói thầu N3, N4, N5 từ 29/12/2020 - 13/12/2021</t>
  </si>
  <si>
    <t>Gói thầu N2 từ 29/12/2020 - 13/12/2021</t>
  </si>
  <si>
    <t>Giá trung bình Thuốc tiêm bột nhóm Cepharlosporin</t>
  </si>
  <si>
    <t>Giá trung bình Thuốc viên nhóm Cepharlosporin</t>
  </si>
  <si>
    <t>Giá trung bình Thuốc tiêm bột nhóm Penicillin</t>
  </si>
  <si>
    <t>Giá trung bình Thuốc viên nhóm Penicillin</t>
  </si>
  <si>
    <t>tổng giá trị gói thầu N1 2021</t>
  </si>
  <si>
    <t>Tổng giá trị gói thầu N2 2021</t>
  </si>
  <si>
    <t>BÁO CÁO KẾT QUẢ KINH DOANH</t>
  </si>
  <si>
    <t>LN gộp</t>
  </si>
  <si>
    <t>Biên LNG</t>
  </si>
  <si>
    <t>Chi phí bán hàng &amp; QLDN</t>
  </si>
  <si>
    <t>Khấu hao</t>
  </si>
  <si>
    <t>Trong đó: CP lãi vay</t>
  </si>
  <si>
    <t>Lãi/lỗ trong công ty LDLK</t>
  </si>
  <si>
    <t>Lợi nhuận khác</t>
  </si>
  <si>
    <t>Other profit and loss</t>
  </si>
  <si>
    <t>Earning before taxes (EBT)</t>
  </si>
  <si>
    <t>Thuế TNDN</t>
  </si>
  <si>
    <t>Net Income</t>
  </si>
  <si>
    <t>Biên LNST</t>
  </si>
  <si>
    <t>NI margin</t>
  </si>
  <si>
    <t>Lợi ích cổ đông thiểu số</t>
  </si>
  <si>
    <t>Lợi ích cổ đông mẹ</t>
  </si>
  <si>
    <t>Quỹ khen thưởng phúc lợi</t>
  </si>
  <si>
    <t>Welfare Fund</t>
  </si>
  <si>
    <t>Chi phí bất thường</t>
  </si>
  <si>
    <t>Cổ tức CPƯĐ</t>
  </si>
  <si>
    <t>LNST sẵn có cổ đông công ty mẹ</t>
  </si>
  <si>
    <t>Chi trả cổ tức</t>
  </si>
  <si>
    <t>LN giữ lại</t>
  </si>
  <si>
    <t>Check</t>
  </si>
  <si>
    <t>BẢNG CÂN ĐỐI KẾ TOÁN</t>
  </si>
  <si>
    <t>TÀI SẢN</t>
  </si>
  <si>
    <t>Tiền &amp; tương đương tiền</t>
  </si>
  <si>
    <t>Tương đương tiền</t>
  </si>
  <si>
    <t>Tiền hoạt động</t>
  </si>
  <si>
    <t>Đầu tư tài chính ngắn hạn</t>
  </si>
  <si>
    <t>Khoản phải thu ngắn hạn</t>
  </si>
  <si>
    <t>TSNH khác</t>
  </si>
  <si>
    <t>Tài sản ngắn hạn</t>
  </si>
  <si>
    <t>Current assets</t>
  </si>
  <si>
    <t>Các khoản phải thu dài hạn</t>
  </si>
  <si>
    <t>TSCĐ hữu hình</t>
  </si>
  <si>
    <t>TSCĐ vô hình</t>
  </si>
  <si>
    <t>TSCĐ thuê tài chính</t>
  </si>
  <si>
    <t>BĐS đầu tư</t>
  </si>
  <si>
    <t>TSDD dài hạn</t>
  </si>
  <si>
    <t>Đầu tư công ty con, LDLK</t>
  </si>
  <si>
    <t>TSDH khác</t>
  </si>
  <si>
    <t>Long-term assets</t>
  </si>
  <si>
    <t>Tài sản dài hạn</t>
  </si>
  <si>
    <t>Non-current assets</t>
  </si>
  <si>
    <t>TỔNG TÀI SẢN</t>
  </si>
  <si>
    <t>Total assets</t>
  </si>
  <si>
    <t>Nợ vay ngắn hạn</t>
  </si>
  <si>
    <t>Vay thêm</t>
  </si>
  <si>
    <t>Vay hiện hữu</t>
  </si>
  <si>
    <t>Phải trả người bán ngắn hạn</t>
  </si>
  <si>
    <t>Phải trả ngắn hạn khác</t>
  </si>
  <si>
    <t>Nợ phải trả ngắn hạn</t>
  </si>
  <si>
    <t>Current liabilities</t>
  </si>
  <si>
    <t>Phải trả người bán dài hạn</t>
  </si>
  <si>
    <t>Nợ vay dài hạn</t>
  </si>
  <si>
    <t>Debt A (long-term debt)</t>
  </si>
  <si>
    <t>Debt B (long-term debt)</t>
  </si>
  <si>
    <t>Debt C (long-term debt)</t>
  </si>
  <si>
    <t>Trái phiếu chuyển đổi</t>
  </si>
  <si>
    <t>Phải trả dài hạn khác</t>
  </si>
  <si>
    <t>Nợ phải trả dài hạn</t>
  </si>
  <si>
    <t>Non-current liabilities</t>
  </si>
  <si>
    <t>Nợ phải trả</t>
  </si>
  <si>
    <t>Total liabilities</t>
  </si>
  <si>
    <t>LỢI ÍCH CỔ ĐÔNG THIỂU SỐ</t>
  </si>
  <si>
    <t>Cổ phiếu ưu đãi</t>
  </si>
  <si>
    <t>Cổ phiếu thường</t>
  </si>
  <si>
    <t>Thặng dư vốn cổ phần</t>
  </si>
  <si>
    <t>Quỹ khác thuộc CSH</t>
  </si>
  <si>
    <t>TỔNG NGUỒN VỐN</t>
  </si>
  <si>
    <t>Total Liabilities &amp; Equity</t>
  </si>
  <si>
    <t>LƯU CHUYỂN TIỀN TỆ</t>
  </si>
  <si>
    <t>CASH FLOW</t>
  </si>
  <si>
    <t>Lợi nhuận trước thuế</t>
  </si>
  <si>
    <t>Các khoản dự phòng</t>
  </si>
  <si>
    <t>Điều chỉnh:</t>
  </si>
  <si>
    <t>Add back:</t>
  </si>
  <si>
    <t>Depreciation</t>
  </si>
  <si>
    <t>(Lãi) lỗ tỷ giá chưa thực hiện</t>
  </si>
  <si>
    <t xml:space="preserve">(Lãi) lỗ hoạt động đầu tư </t>
  </si>
  <si>
    <t>(Gain) loss on asset sales</t>
  </si>
  <si>
    <t>CP lãi vay</t>
  </si>
  <si>
    <t>Các khoản điều chỉnh khác</t>
  </si>
  <si>
    <t>LN hoạt động trước thay đổi VLĐ</t>
  </si>
  <si>
    <t>Operating profit before change in WC</t>
  </si>
  <si>
    <t>(Tăng) giảm khoản phải thu</t>
  </si>
  <si>
    <t>(Incr) decr in Account receivable</t>
  </si>
  <si>
    <t>(Tăng) giảm hàng tồn kho</t>
  </si>
  <si>
    <t>(Incr) decr in Inventory</t>
  </si>
  <si>
    <t>Tăng (giảm) Khoản phải trả</t>
  </si>
  <si>
    <t>Incr (decr) in Account payable</t>
  </si>
  <si>
    <t>(Tăng) giảm CP trả trước</t>
  </si>
  <si>
    <t>(Incr) decr in Other current assets</t>
  </si>
  <si>
    <t>Lãi vay đã trả</t>
  </si>
  <si>
    <t>Incr (decr) in Other current liabilities</t>
  </si>
  <si>
    <t>Thuế đã trả</t>
  </si>
  <si>
    <t>Chi khác cho HĐKD</t>
  </si>
  <si>
    <t>Other payments for operating activities</t>
  </si>
  <si>
    <t>Thu khác từ HĐKD</t>
  </si>
  <si>
    <t>Other receivables for operating activities</t>
  </si>
  <si>
    <t>Thay đổi VLĐ</t>
  </si>
  <si>
    <t>CFO</t>
  </si>
  <si>
    <t>Net Cashflow from Operations (CFO)</t>
  </si>
  <si>
    <t>(Thu thanh lý) chi mua sắm, đầu tư  TSCĐ</t>
  </si>
  <si>
    <t>Capex</t>
  </si>
  <si>
    <t>Lãi/lỗ thanh lý TSCĐ</t>
  </si>
  <si>
    <t>Proceed from sale of assets</t>
  </si>
  <si>
    <t>Tiền thu lãi cho vay, cổ tức và lợi nhuận được chia</t>
  </si>
  <si>
    <t>(Tăng) giảm đầu tư tài chính ngắn hạn</t>
  </si>
  <si>
    <t>(Incr) decr in ST investments</t>
  </si>
  <si>
    <t>(Tăng) giảm đầu tư vào công ty khác</t>
  </si>
  <si>
    <t>Other (incr) decr in investment in affiliates</t>
  </si>
  <si>
    <t>CFI</t>
  </si>
  <si>
    <t>Net Cashflow from Invesments (CFI)</t>
  </si>
  <si>
    <t>Tăng (giảm) các khoản vay ngắn hạn</t>
  </si>
  <si>
    <t>Incr (decr) in short-term notes &amp; Revolver</t>
  </si>
  <si>
    <t>Tăng (giảm) các khoản vay dài hạn</t>
  </si>
  <si>
    <t>Incr (decr) in long-term debts</t>
  </si>
  <si>
    <t>Tăng/ giảm khoản vay thứ 1</t>
  </si>
  <si>
    <t>Incr (decr) in Debt 1</t>
  </si>
  <si>
    <t>Tăng/ giảm khoản vay thứ 2</t>
  </si>
  <si>
    <t>Incr (decr) in Debt 2</t>
  </si>
  <si>
    <t>Tăng/ giảm khoản vay thứ 3</t>
  </si>
  <si>
    <t>Incr (decr) in Debt 3</t>
  </si>
  <si>
    <t>Tăng (giảm) trái phiếu chuyển đổi</t>
  </si>
  <si>
    <t>Incr (decr) in convertible debts</t>
  </si>
  <si>
    <t>Dividend payout</t>
  </si>
  <si>
    <t>Cổ tức CP thường</t>
  </si>
  <si>
    <t>Tăng (giảm) vốn góp CSH</t>
  </si>
  <si>
    <t>Incr (decr) in equity accounts</t>
  </si>
  <si>
    <t>Tăng/ giảm cổ phiếu ưu đãi</t>
  </si>
  <si>
    <t>Incr (decr) in preferred stock</t>
  </si>
  <si>
    <t>Tăng/ giảm cổ phiếu thường</t>
  </si>
  <si>
    <t>Incr (decr) in common stock</t>
  </si>
  <si>
    <t>Tăng/ giảm khoản khác</t>
  </si>
  <si>
    <t>Other incr (decr) in other equity accounts</t>
  </si>
  <si>
    <t>Tiền thanh toán vốn gốc đi thuê tài chính</t>
  </si>
  <si>
    <t>CFF</t>
  </si>
  <si>
    <t>Net Cashflow from financing (CFF)</t>
  </si>
  <si>
    <t>Lưu chuyển tiền thuần trong năm</t>
  </si>
  <si>
    <t>Net Cashflow during the year</t>
  </si>
  <si>
    <t>Số dư Tiền đầu năm</t>
  </si>
  <si>
    <t>Cash &amp; Cash Equivalent at the beginning of the year</t>
  </si>
  <si>
    <t>Ảnh hưởng ngoại tệ</t>
  </si>
  <si>
    <t>Số dư Tiền cuối năm</t>
  </si>
  <si>
    <t>Cash &amp; Cash Equivalent at the end of the year</t>
  </si>
  <si>
    <t>REVENUE (price - sale - volume)</t>
  </si>
  <si>
    <t>DOANH THU (1.000 tỷ đồng)</t>
  </si>
  <si>
    <t>Xưởng sản xuất thuốc đông khô – sản phẩm vô trùng</t>
  </si>
  <si>
    <t>GMP-WHO</t>
  </si>
  <si>
    <t>Xưởng sản xuất thuốc viên (Non – Betalactam);</t>
  </si>
  <si>
    <t>Xưởng sản xuất thuốc viên (Betalactam)</t>
  </si>
  <si>
    <t>Xưởng sản xuất thuốc viên nang mềm - thuốc đạn</t>
  </si>
  <si>
    <t>Xưởng sản xuất thuốc kem - mỡ - nước</t>
  </si>
  <si>
    <t>Xưởng sản xuất thuốc bột vi sinh</t>
  </si>
  <si>
    <t>Xưởng sản xuất thuốc tiêm bột</t>
  </si>
  <si>
    <t>Nhà máy sản xuất
dược phẩm Bidiphar
Công nghệ Cao tại Công
ty TNHH Bidiphar Công
nghệ Cao</t>
  </si>
  <si>
    <t xml:space="preserve">       i) Nhà máy sản xuất thuốc điều trị ung thư</t>
  </si>
  <si>
    <t xml:space="preserve">                  Thuốc viên điều trị ung thư</t>
  </si>
  <si>
    <t>(8)</t>
  </si>
  <si>
    <t>GMP-PICS/EU</t>
  </si>
  <si>
    <t xml:space="preserve">                  Thuốc tiêm điều trị ung thư</t>
  </si>
  <si>
    <t>(9)</t>
  </si>
  <si>
    <t xml:space="preserve">       ii) Nhà máy sản xuất thuốc uống dạng rắn không chứa nhóm Betalactam</t>
  </si>
  <si>
    <t>(10)</t>
  </si>
  <si>
    <t>Nhà máy sản xuất dược phẩm Bidiphar Non – Betalactam tại Công ty TNHH Bidiphar Non - Betalactam</t>
  </si>
  <si>
    <t xml:space="preserve">               Non Betalactam - Lỏng</t>
  </si>
  <si>
    <t>(11)</t>
  </si>
  <si>
    <t xml:space="preserve">               Non Betalactam - Rắn</t>
  </si>
  <si>
    <t>(12)</t>
  </si>
  <si>
    <t>Nhà máy sản xuất dược phẩm Bidiphar Betalactam tại Công ty TNHH Bidiphar Betalactam</t>
  </si>
  <si>
    <t xml:space="preserve">               Thuốc tiêm bột nhóm Cepharlosporin</t>
  </si>
  <si>
    <t>(13)</t>
  </si>
  <si>
    <t xml:space="preserve">               Thuốc viên nhóm Cepharlosporin</t>
  </si>
  <si>
    <t>(14)</t>
  </si>
  <si>
    <t xml:space="preserve">               Thuốc tiêm bột nhóm Penicillin</t>
  </si>
  <si>
    <t>(15)</t>
  </si>
  <si>
    <t xml:space="preserve">               Thuốc viên nhóm Penicillin</t>
  </si>
  <si>
    <t>(16)</t>
  </si>
  <si>
    <t>Khác</t>
  </si>
  <si>
    <t>(17)</t>
  </si>
  <si>
    <t>Tổng doanh thu</t>
  </si>
  <si>
    <t>tỷ đồng</t>
  </si>
  <si>
    <t>Growth (1.000 tỷ đồng)</t>
  </si>
  <si>
    <t>Công suất thiết kê nhà máy</t>
  </si>
  <si>
    <t>Xưởng sản xuất thuốc tiêm đông khô – sản phẩm vô trùng</t>
  </si>
  <si>
    <t>triệu lọ/năm</t>
  </si>
  <si>
    <t>triệu viên/năm</t>
  </si>
  <si>
    <t>triệu sp/năm</t>
  </si>
  <si>
    <t xml:space="preserve">               Thuốc viên điều trị ung thư</t>
  </si>
  <si>
    <t xml:space="preserve">                Thuốc tiêm điều trị ung thư</t>
  </si>
  <si>
    <t>Tổng công suất sản xuất</t>
  </si>
  <si>
    <t xml:space="preserve">Công suất vận hành tối đa </t>
  </si>
  <si>
    <t>% hoạt động theo CSTK thông thường</t>
  </si>
  <si>
    <t>NM Phù Cát_ Gỗ ván ghép</t>
  </si>
  <si>
    <t>m3</t>
  </si>
  <si>
    <t>Gỗ ván ghép</t>
  </si>
  <si>
    <t>NM Phù Cát_ Gỗ nội thất</t>
  </si>
  <si>
    <t>Nội ngoại thất</t>
  </si>
  <si>
    <t>NM Thắng Lợi</t>
  </si>
  <si>
    <t>Công ty TNHH MTV Phú Tài Đồng Nai</t>
  </si>
  <si>
    <t>Công ty CP Vina G7</t>
  </si>
  <si>
    <t>Gỗ nguyên liệu</t>
  </si>
  <si>
    <t>Gỗ tinh chế</t>
  </si>
  <si>
    <t>% hoạt động theo công suất tối đa</t>
  </si>
  <si>
    <t xml:space="preserve">Sản lượng sản xuất </t>
  </si>
  <si>
    <t>% Tiêu thụ/ SX</t>
  </si>
  <si>
    <t>Tổng công suất thuốc tiêm</t>
  </si>
  <si>
    <t>Sản lượng tiêu thụ (triệu sp)</t>
  </si>
  <si>
    <t>Theo chia sẻ của anh Hoài khả năng trong 2019 SLSX đạt 29.000 m3, và khả năng vẫn tăng trưởng tốt ở 25-30% trong H1/năm 2020 nhờ các đơn hàng đã ký. Sau đó trên quan điểm thận trọng mức tăng trưởng sản lượng sẽ giảm dần khi các nhà máy gần như tối đa công suất</t>
  </si>
  <si>
    <t>Giá bán trung bình (vnđ/sp)</t>
  </si>
  <si>
    <t>Giá trung bình/sp theo doanh thu/sản lượng tiêu thụ</t>
  </si>
  <si>
    <t>vnd/sp</t>
  </si>
  <si>
    <t>Giá trung bình/sp theo sheet Phân loại dược phẩm</t>
  </si>
  <si>
    <t>Hệ số điều chỉnh sai số</t>
  </si>
  <si>
    <t>Tăng trưởng giá bán (vnđ/sp)</t>
  </si>
  <si>
    <t>GVHB</t>
  </si>
  <si>
    <t>GVHB (tỷ đồng)</t>
  </si>
  <si>
    <t xml:space="preserve">Tổng giá vốn thuốc </t>
  </si>
  <si>
    <t>% As Revenue</t>
  </si>
  <si>
    <t>GVHB trung bình trên 1 sp (vnd/sp)</t>
  </si>
  <si>
    <t>Tổng</t>
  </si>
  <si>
    <t>tỷ viên/năm</t>
  </si>
  <si>
    <t>Tăng trưởng giá vốn (vnd/sp)</t>
  </si>
  <si>
    <t>LNG</t>
  </si>
  <si>
    <t xml:space="preserve"> LNG</t>
  </si>
  <si>
    <t>Tổng LNG</t>
  </si>
  <si>
    <t xml:space="preserve"> Biên LNG</t>
  </si>
  <si>
    <t>https://benhvien103.vn/thuc-trang-va-cap-nhat-ung-thu-tai-viet-nam/#:~:text=%E2%80%93%20B%E1%BB%87nh%20ung%20th%C6%B0%20%E1%BB%9F%20Vi%E1%BB%87t,t%C6%B0%C6%A1ng%20%E1%BB%A9ng%20315%20ng%C6%B0%E1%BB%9Di%2Fng%C3%A0y.</t>
  </si>
  <si>
    <t>Tỉ lệ tăng trưởng công suất lấy theo báo cáo dự phóng tăng trưởng của fitch solution</t>
  </si>
  <si>
    <t>Trong 2 năm 2022 và 2023 thì phân xưởng sản xuất thuốc ung thư của Cty TNHH Công nghệ Cao chưa kịp làm thủ tục dc phê duyệt GMP EU nên tạm thời đăng ký GMP WHO &gt;&gt;&gt; chỉ đấu thầu vào N3,4,5 &gt;&gt;&gt; chỉ tăng trưởng 7%/năm. Dự đoán trong 2024 thì 2 phân xưởng sản xuất thuốc ung thư này được phê duyệt GMP EU &gt;&gt;&gt; thuốc đầu thầu vào N2 &gt;&gt;&gt; tăng trưởng công suất 14%.</t>
  </si>
  <si>
    <t>2022, 2024,2027 là các năm dự kiến có nhà máy chuẩn GMP-EU/PICS hoạt động, trong đó 2022 và 2024 là 2 năm đẩy mạnh sản xuất thuốc ung thư &gt;&gt;&gt; đấu thầu vào N2 nên giá bán tăng trưởng mạnh so với cùng kỳ</t>
  </si>
  <si>
    <t>Cty đang có dấu hiệu cải thiện giá vốn mảng dược phẩm từ 2018</t>
  </si>
  <si>
    <t>Từ 2021 Biên LNG tăng mạnh vì sự đóng góp của tỷ trọng thuốc ung thư nhiều hơn. Biên LNG nhóm thuốc này đấu thầu vào được  N2 sẽ cao hơn các nhóm thuốc khác</t>
  </si>
  <si>
    <t>DOANH THU (tỷ đồng)</t>
  </si>
  <si>
    <t>Bán vật tư y tế</t>
  </si>
  <si>
    <t>Bán nguyên liệu,bao bì, công cụ, dụng cụ, khác</t>
  </si>
  <si>
    <t>Bán nguyên liệu,bao bì, công cụ, dụng cụ,khác</t>
  </si>
  <si>
    <t>Tăng trưởng giá bán</t>
  </si>
  <si>
    <t>GVHB 01 đơn vị sp</t>
  </si>
  <si>
    <t>Tăng trưởng giá vốn (1.000vnđ/m3)</t>
  </si>
  <si>
    <t/>
  </si>
  <si>
    <t>Proj</t>
  </si>
  <si>
    <t>Notes</t>
  </si>
  <si>
    <t>Consol. revenue (FC)</t>
  </si>
  <si>
    <t>Mảng dược phẩm</t>
  </si>
  <si>
    <t>Mảng kinh doanh vật tư y tế</t>
  </si>
  <si>
    <t>Mảng nguyên liêu, bao bì, công cụ, dụng cụ, dịch vụ khác</t>
  </si>
  <si>
    <t xml:space="preserve">Consol. revenue </t>
  </si>
  <si>
    <t>Rev. Growth (FC)</t>
  </si>
  <si>
    <t xml:space="preserve">Rev. Growth </t>
  </si>
  <si>
    <t>COGS (FC) (Cách 1: theo từng mảng)</t>
  </si>
  <si>
    <t>COGS Cách 1: theo từng mảng)</t>
  </si>
  <si>
    <t>COGS (FC) (Cách 2: theo chi phí)</t>
  </si>
  <si>
    <t>(Hoàn nhập)/Dự phòng phải thu khó đòi</t>
  </si>
  <si>
    <t>Sai số</t>
  </si>
  <si>
    <t>COGS (Cách 2: theo chi phí)</t>
  </si>
  <si>
    <t>% COGS theo Doanh thu (FC) (Cách 2: theo chi phí)</t>
  </si>
  <si>
    <t>% COGS theo Doanh thu (Cách 2: theo chi phí)</t>
  </si>
  <si>
    <t>GROSS PROFIT MARGIN</t>
  </si>
  <si>
    <t>Gross profit (FC) (Cách 1: theo từng mảng)</t>
  </si>
  <si>
    <t>Gross profit (Cách 1: theo từng mảng)</t>
  </si>
  <si>
    <t>GPM (FC) (Cách 1: theo từng mảng)</t>
  </si>
  <si>
    <t>GPM (Cách 1: theo từng mảng)</t>
  </si>
  <si>
    <t>Gross profit (FC) (Cách 2: theo chi phí)</t>
  </si>
  <si>
    <t>GPM (FC) (Cách 2: theo chi phí)</t>
  </si>
  <si>
    <t>GPM (Cách 2: theo chi phí)</t>
  </si>
  <si>
    <t>Selling expense (FC)</t>
  </si>
  <si>
    <t>% As revenue (incl Depr)</t>
  </si>
  <si>
    <t>CP nguyên liệu, vật liệu</t>
  </si>
  <si>
    <t>% revenue</t>
  </si>
  <si>
    <t>CP nhân công</t>
  </si>
  <si>
    <t>CP khấu hao TSCĐ</t>
  </si>
  <si>
    <t>CP dịch vụ mua ngoài</t>
  </si>
  <si>
    <t>CP khác bằng tiền</t>
  </si>
  <si>
    <t xml:space="preserve">Selling expense </t>
  </si>
  <si>
    <t>% As revenue (excl Depr)</t>
  </si>
  <si>
    <t>G&amp;A expenses (FC)</t>
  </si>
  <si>
    <t xml:space="preserve">G&amp;A expenses </t>
  </si>
  <si>
    <t>Chi phí SXKD theo yếu tố (FC)</t>
  </si>
  <si>
    <t>Chi phí SXKD theo yếu tố</t>
  </si>
  <si>
    <t>Phân bổ CP khấu hao</t>
  </si>
  <si>
    <t>Giá vốn HB</t>
  </si>
  <si>
    <t>CP bán hàng</t>
  </si>
  <si>
    <t>CP quản lý DN</t>
  </si>
  <si>
    <t>Tổng khấu hao</t>
  </si>
  <si>
    <t>% growth rev</t>
  </si>
  <si>
    <t>Fixed Assets</t>
  </si>
  <si>
    <t>TỔNG HỢP CÁC LOẠI TÀI SẢN CỐ ĐỊNH (1+2+3)</t>
  </si>
  <si>
    <t>Nguyên giá cuối kỳ</t>
  </si>
  <si>
    <t>GTCL cuối kỳ</t>
  </si>
  <si>
    <t>Khấu hao trong kỳ</t>
  </si>
  <si>
    <t>As % EBIT</t>
  </si>
  <si>
    <t>Trong đó: Capex duy trì</t>
  </si>
  <si>
    <t>Capex TSCĐ hữu hình</t>
  </si>
  <si>
    <t>Capex TSCĐ thuê tài chính</t>
  </si>
  <si>
    <t>Capex TSCĐ vô hình</t>
  </si>
  <si>
    <t>Capex BĐS đầu tư</t>
  </si>
  <si>
    <t>Capex TS dở dang</t>
  </si>
  <si>
    <t>CHI TIẾT CÁC LOẠI TSCĐ</t>
  </si>
  <si>
    <t>1. TÀI SẢN CỐ ĐỊNH HỮU HÌNH</t>
  </si>
  <si>
    <t>Nguyên giá</t>
  </si>
  <si>
    <t>Số dư đầu kỳ</t>
  </si>
  <si>
    <t>Tăng trong kỳ (FC)</t>
  </si>
  <si>
    <t>Giảm trong kỳ (FC)</t>
  </si>
  <si>
    <t>Tăng trong kỳ</t>
  </si>
  <si>
    <t>Giảm trong kỳ</t>
  </si>
  <si>
    <t>Trong đó đã khấu hao hết nhưng còn sử dụng</t>
  </si>
  <si>
    <t>Check nguyên giá cuối kỳ</t>
  </si>
  <si>
    <t>Giá trị hao mòn lũy kế</t>
  </si>
  <si>
    <t>Giá trị hao mòn lũy kế cuối kỳ</t>
  </si>
  <si>
    <t>GTCL đầu kỳ</t>
  </si>
  <si>
    <t>Check GTCL cuối kỳ</t>
  </si>
  <si>
    <t>2. TÀI SẢN THUÊ TÀI CHÍNH</t>
  </si>
  <si>
    <t>3. TÀI SẢN CỐ ĐỊNH VÔ HÌNH</t>
  </si>
  <si>
    <t>Trong đó đã khấu hao hết nhưng còn sử dụng &amp; Quyền SD đất không KH</t>
  </si>
  <si>
    <t>4. BẤT ĐỘNG SẢN ĐẦU TƯ</t>
  </si>
  <si>
    <t>Tăng ròng trong kỳ FC</t>
  </si>
  <si>
    <t>Tăng ròng trong kỳ</t>
  </si>
  <si>
    <t>5. XÂY DỰNG CƠ BẢN DỞ DANG</t>
  </si>
  <si>
    <t>1. Tổng hợp</t>
  </si>
  <si>
    <t>- Số dư đầu kỳ</t>
  </si>
  <si>
    <t>- CP phát sinh trong năm</t>
  </si>
  <si>
    <t>- Kết chuyển từ TSCĐ trong năm</t>
  </si>
  <si>
    <t>- Giảm khác</t>
  </si>
  <si>
    <t>Số dư cuối kỳ</t>
  </si>
  <si>
    <t>2. Thêm vào nếu có</t>
  </si>
  <si>
    <t>3. Thêm vào nếu có</t>
  </si>
  <si>
    <t>- Kết chuyển tăng/ giảm TSCĐ trong năm</t>
  </si>
  <si>
    <t>- Góp vốn thành lập công ty con</t>
  </si>
  <si>
    <t>5. Thêm vào nếu có</t>
  </si>
  <si>
    <t>- Kết chuyển tăng/giảm TSCĐ trong năm</t>
  </si>
  <si>
    <t>6. Thêm vào nếu có</t>
  </si>
  <si>
    <t>7. Thêm vào nếu có</t>
  </si>
  <si>
    <t>8. Thêm vào nếu có</t>
  </si>
  <si>
    <t>9. Khác</t>
  </si>
  <si>
    <t>Thời gian khấu hao (năm)</t>
  </si>
  <si>
    <t>Min</t>
  </si>
  <si>
    <t>Max</t>
  </si>
  <si>
    <t>Thời gian khấu hao bình quân</t>
  </si>
  <si>
    <t>Thời gian khấu hao</t>
  </si>
  <si>
    <t>1. TSCĐ hữu hình</t>
  </si>
  <si>
    <t>2. TS thuê tài chính</t>
  </si>
  <si>
    <t>3. TSCĐ vô hình</t>
  </si>
  <si>
    <t>4. BĐS đầu tư</t>
  </si>
  <si>
    <t>CHI TIẾT KHẤU HAO</t>
  </si>
  <si>
    <t>Cứ 4 năm thì capex/ebit sẽ tăng mạnh sau đó giảm dần, như vậy có nên áp dụng việc này vào dự phóng %ebit ko hay là tăng 80% năm 2022 sau đó giảm còn 40% các năm còn lại</t>
  </si>
  <si>
    <t>THÔNG TIN KHOẢN VAY</t>
  </si>
  <si>
    <t>DỰ PHÓNG KHOẢN VAY</t>
  </si>
  <si>
    <t>Phân bổ cho các nhà máy</t>
  </si>
  <si>
    <t>Debt</t>
  </si>
  <si>
    <t>Gốc vay</t>
  </si>
  <si>
    <t>Thời điểm vay</t>
  </si>
  <si>
    <t>Kỳ hạn (tháng)</t>
  </si>
  <si>
    <t>Lãi suất năm</t>
  </si>
  <si>
    <t>Loại lãi suất</t>
  </si>
  <si>
    <t>Kỳ điều chỉnh</t>
  </si>
  <si>
    <t>ƯỚC TÍNH LÃI SUẤT NGÂN HÀNG</t>
  </si>
  <si>
    <t>Tổng nợ vay ngân hàng ngắn và dài hạn</t>
  </si>
  <si>
    <t>Chênh lệch nợ vay dài và ngắn hạn</t>
  </si>
  <si>
    <t>Dư nợ gốc đầu năm</t>
  </si>
  <si>
    <t>+ Trả nợ gốc hàng năm</t>
  </si>
  <si>
    <t xml:space="preserve">+ Vay mới trong năm </t>
  </si>
  <si>
    <t>Dư nợ gốc cuối năm</t>
  </si>
  <si>
    <t>+ Lãi vay hàng năm</t>
  </si>
  <si>
    <t>+ Lãi suất chung ước tính</t>
  </si>
  <si>
    <t>TỔNG HỢP NỢ VAY</t>
  </si>
  <si>
    <t>Vay ngắn hạn ngân hàng</t>
  </si>
  <si>
    <t>Vay dài hạn ngân hàng</t>
  </si>
  <si>
    <t>Vay dài hạn trái phiếu</t>
  </si>
  <si>
    <t>CHI TIẾT NỢ VAY HIỆN HỮU</t>
  </si>
  <si>
    <t>Vay ngắn hạn Ngân hàng</t>
  </si>
  <si>
    <t>Ngân hàng 1</t>
  </si>
  <si>
    <t>Khoản 1</t>
  </si>
  <si>
    <t>floating</t>
  </si>
  <si>
    <t>+ Lãi suất</t>
  </si>
  <si>
    <t>Lãi suất ước tính dựa vào: (1) CP lãi vay trong kỳ, (2) tổng dư nợ đầu, cuối kỳ và (3) chênh lệch thực tế giữa lãi suất ngắn hạn và dài hạn</t>
  </si>
  <si>
    <t>Vay dài hạn Ngân hàng</t>
  </si>
  <si>
    <t>Khoản vay dài hạn từ quỹ đầu tư phát triển Bình Định hết hạn vào năm 2027, các thông tin khoản vay coi trong thuyết minh BCTC 2020</t>
  </si>
  <si>
    <t>Khoản 1/ long-term debt A</t>
  </si>
  <si>
    <t>Chú thích: Long-term debt A là toàn bộ nợ dài hạn cuối 2021 của công ty</t>
  </si>
  <si>
    <t>Ngân hàng 2</t>
  </si>
  <si>
    <t>Khoản 2</t>
  </si>
  <si>
    <t>2.3</t>
  </si>
  <si>
    <t>Vay cá nhân (vi)</t>
  </si>
  <si>
    <t>Nguyễn Văn A</t>
  </si>
  <si>
    <t>2.4</t>
  </si>
  <si>
    <t>Trái phiếu phát hành (vii)</t>
  </si>
  <si>
    <t xml:space="preserve">Đợt 1 </t>
  </si>
  <si>
    <t>Đợt 2</t>
  </si>
  <si>
    <t>CHI TIẾT NỢ VAY MỚI</t>
  </si>
  <si>
    <t>Vay dài hạn Ngân hàng năm 2022</t>
  </si>
  <si>
    <t>Tổng doanh thu xưởng (8) giả định</t>
  </si>
  <si>
    <t xml:space="preserve">Xưởng (8) (9) dự kiến hoàn thành đi vào
sản xuất từ 2021 rồi </t>
  </si>
  <si>
    <t>Xưởng (11) và (12) dự kiến hoạt động vào 2024 như vậy thời điểm bắt đầu vay dài hạn để xây dựng nhà máy là 70% trong 2022, 30% trong 2023</t>
  </si>
  <si>
    <t>Tổng doanh thu xưởng (9) giả định</t>
  </si>
  <si>
    <t>Tổng vay xưởng (11) và (12)</t>
  </si>
  <si>
    <t>Tổng doanh thu xưởng (10) giả định</t>
  </si>
  <si>
    <t>Vốn chủ tài trợ xưởng (10)</t>
  </si>
  <si>
    <t>Tỷ trọng khoản vay phân bổ cho xưởng (10)</t>
  </si>
  <si>
    <t>Vốn chủ tài trợ xưởng (11),(12) trong 2022</t>
  </si>
  <si>
    <t>Tổng vay cả 3 xưởng (8), (9), (10)</t>
  </si>
  <si>
    <t>Tổng tiền DBD phải có để tài trợ 2022</t>
  </si>
  <si>
    <t>1.1</t>
  </si>
  <si>
    <t>Khoản 1/ long-term debt B</t>
  </si>
  <si>
    <t>Chi tiết các khoản vay mới dài hạn để tài trợ các dự án xây mới và mở rộng nhà máy sản xuất được ước lượng dựa vào thông tin dưới đây, lấy trong bản cáo bạch niêm yết HSX 2018</t>
  </si>
  <si>
    <t>1.2</t>
  </si>
  <si>
    <t>1.3</t>
  </si>
  <si>
    <t>1.4</t>
  </si>
  <si>
    <t>Vay dài hạn Ngân hàng năm 2023</t>
  </si>
  <si>
    <t>Xưởng (13) dự kiến hoạt động vào 2025 như vậy thời điểm bắt đầu vay dài hạn để xây dựng nhà máy là 2023</t>
  </si>
  <si>
    <t>Tổng doanh thu xưởng (13)</t>
  </si>
  <si>
    <t>Vốn chủ tài trợ cho xưởng 13</t>
  </si>
  <si>
    <t>Tổng doanh thu xưởng (14)</t>
  </si>
  <si>
    <t>Vốn chủ tài trợ cho xưởng 11,12</t>
  </si>
  <si>
    <t>Tổng doanh thu xưởng (15)</t>
  </si>
  <si>
    <t>Tổng tiền DBD phải có để tài trợ 2023</t>
  </si>
  <si>
    <t>Tổng doanh thu xưởng (16)</t>
  </si>
  <si>
    <t>Tỷ trọng khoản vay phân bổ cho xưởng (13)</t>
  </si>
  <si>
    <t>Tổng vay cả 4 xưởng (13), (14), (15), (16)</t>
  </si>
  <si>
    <t>Khoản 1/ long-term debt C</t>
  </si>
  <si>
    <t>Vay dài hạn Ngân hàng năm 2024</t>
  </si>
  <si>
    <t>Xưởng (15) và (16) dự kiến hoạt động vào 2026 như vậy thời điểm bắt đầu vay dài hạn để xây dựng nhà máy là 2024</t>
  </si>
  <si>
    <t>Tỷ trọng khoản vay phân bổ cho xưởng (15),(16)</t>
  </si>
  <si>
    <t>Vốn chủ tài trợ cho xưởng (15),(16)</t>
  </si>
  <si>
    <t>Vay dài hạn Ngân hàng năm 2025</t>
  </si>
  <si>
    <t>Vay dài hạn Ngân hàng năm 2026</t>
  </si>
  <si>
    <t>Xưởng (14) dự kiến hoạt động vào 2028 như vậy thời điểm bắt đầu vay dài hạn để xây dựng nhà máy là 2026</t>
  </si>
  <si>
    <t>Tỷ trọng khoản vay phân bổ cho xưởng (14)</t>
  </si>
  <si>
    <t>Vốn chủ tài trợ cho xưởng (14)</t>
  </si>
  <si>
    <t>Vay dài hạn Ngân hàng năm 2027</t>
  </si>
  <si>
    <t>6.1</t>
  </si>
  <si>
    <t>Vay dài hạn Ngân hàng năm 2028</t>
  </si>
  <si>
    <t>7.1</t>
  </si>
  <si>
    <t>Vay dài hạn Ngân hàng năm 2029</t>
  </si>
  <si>
    <t>8.1</t>
  </si>
  <si>
    <t>Vay dài hạn Ngân hàng năm 2030</t>
  </si>
  <si>
    <t>Vay dài hạn Ngân hàng năm 2031</t>
  </si>
  <si>
    <t>10.1</t>
  </si>
  <si>
    <t>Khi công ty tăng trưởng, nợ vay ngắn hạn có thể bổ sung cho vốn lưu động, giúp công ty có đủ tiền mặt để đáp ứng nhu cầu hoạt động, trả lương, mua nguyên liệu và quản lý tồn kho. Khoản vay này cung cấp nguồn tiền ngay lập tức, giúp công ty linh hoạt hơn trong việc chi trả các chi phí phát sinh và duy trì dòng tiền, đặc biệt khi các khoản phải thu tăng lên cùng với sự phát triển của công ty. Tuy nhiên, việc tăng nợ vay cần được cân nhắc cẩn thận để không làm giảm vốn lưu động ròng (Tài sản ngắn hạn - Nợ ngắn hạn), vì nợ vay được tính vào nợ ngắn hạn</t>
  </si>
  <si>
    <t xml:space="preserve">Tiền phân bố cho phần vốn chủ sở hữu chi xây dựng nhà máy bên cạnh phần nợ trong sheet Debt </t>
  </si>
  <si>
    <t>ERP</t>
  </si>
  <si>
    <t>Beta</t>
  </si>
  <si>
    <t>VNINDEX</t>
  </si>
  <si>
    <t>S&amp;P 500</t>
  </si>
  <si>
    <t>2017-2022</t>
  </si>
  <si>
    <t>Regression Statistics</t>
  </si>
  <si>
    <t>Date</t>
  </si>
  <si>
    <t>Last price</t>
  </si>
  <si>
    <t>Thay đổi</t>
  </si>
  <si>
    <t>Stdev VN</t>
  </si>
  <si>
    <t>Stdev US</t>
  </si>
  <si>
    <t>Tương quan</t>
  </si>
  <si>
    <t>Multiple R</t>
  </si>
  <si>
    <t>R Square</t>
  </si>
  <si>
    <t>Adjusted R Square</t>
  </si>
  <si>
    <t>Method 1</t>
  </si>
  <si>
    <t>ERP VN = ERP US * (Std Dev VN/ Std Dev US)</t>
  </si>
  <si>
    <t>Standard Error</t>
  </si>
  <si>
    <t>ERP US</t>
  </si>
  <si>
    <t>Observations</t>
  </si>
  <si>
    <t>Hệ số điều chỉnh</t>
  </si>
  <si>
    <t>ERP VN</t>
  </si>
  <si>
    <t>ANOVA</t>
  </si>
  <si>
    <t>df</t>
  </si>
  <si>
    <t>SS</t>
  </si>
  <si>
    <t>MS</t>
  </si>
  <si>
    <t>F</t>
  </si>
  <si>
    <t>Significance F</t>
  </si>
  <si>
    <t>Method 2</t>
  </si>
  <si>
    <t>ERP VN = ERP US + CRP VN (có điều chỉnh)</t>
  </si>
  <si>
    <t>Regression</t>
  </si>
  <si>
    <t>Residual</t>
  </si>
  <si>
    <t>Chênh lệch CDS</t>
  </si>
  <si>
    <t>Total</t>
  </si>
  <si>
    <t>Coefficients</t>
  </si>
  <si>
    <t>t Stat</t>
  </si>
  <si>
    <t>P-value</t>
  </si>
  <si>
    <t>Lower 95%</t>
  </si>
  <si>
    <t>Upper 95%</t>
  </si>
  <si>
    <t>Lower 95.0%</t>
  </si>
  <si>
    <t>Upper 95.0%</t>
  </si>
  <si>
    <t>Intercept</t>
  </si>
  <si>
    <t>Method 3</t>
  </si>
  <si>
    <t>X Variable 1</t>
  </si>
  <si>
    <t>Chênh lệch Moody's Rating</t>
  </si>
  <si>
    <t xml:space="preserve"> 2017-2022</t>
  </si>
  <si>
    <t>Beta (L)</t>
  </si>
  <si>
    <t>D/E</t>
  </si>
  <si>
    <t>Thuế suất</t>
  </si>
  <si>
    <t>Beta (U)</t>
  </si>
  <si>
    <t xml:space="preserve"> data</t>
  </si>
  <si>
    <t>Change</t>
  </si>
  <si>
    <t>Vnindex</t>
  </si>
  <si>
    <t>(Lãi) lỗ khác</t>
  </si>
  <si>
    <t>(Lãi) lỗ hoạt động tài chính</t>
  </si>
  <si>
    <t>(Lãi) lỗ HĐTC từ excess cash (nhập vào hđtc)</t>
  </si>
  <si>
    <t>VALUATION</t>
  </si>
  <si>
    <t>Valuation Date</t>
  </si>
  <si>
    <t>Valuation Date to Year-End (year)</t>
  </si>
  <si>
    <t>Năm dự phóng</t>
  </si>
  <si>
    <t xml:space="preserve"> FCFE Method</t>
  </si>
  <si>
    <t>Less: Financial Revenue from excess cash</t>
  </si>
  <si>
    <t>Less: Equity earnings in affiliates</t>
  </si>
  <si>
    <t>Add: Depreciation</t>
  </si>
  <si>
    <t>Ke</t>
  </si>
  <si>
    <t>Add: Allowance</t>
  </si>
  <si>
    <t>Less: Capex</t>
  </si>
  <si>
    <t>(Increase) / Decreace in NWC</t>
  </si>
  <si>
    <t>Add: Net borrowing</t>
  </si>
  <si>
    <t>Full year FCFE</t>
  </si>
  <si>
    <t>Less: Pre-valuation date flows</t>
  </si>
  <si>
    <t>Discountable FCFE</t>
  </si>
  <si>
    <t>Số năm dự phóng chi tiết</t>
  </si>
  <si>
    <t>Constant Growth</t>
  </si>
  <si>
    <t>Ke target (dài hạn)</t>
  </si>
  <si>
    <t>Discount Factor</t>
  </si>
  <si>
    <t>PV of FCFE</t>
  </si>
  <si>
    <t>Total PV of FCFE</t>
  </si>
  <si>
    <t>PV of Terminal Value</t>
  </si>
  <si>
    <t>Equity Value before Excess cash &amp; investments</t>
  </si>
  <si>
    <t>+ Excess cash</t>
  </si>
  <si>
    <t>+ ST investments</t>
  </si>
  <si>
    <t>+ Investment in affiliates</t>
  </si>
  <si>
    <t>Equity Value</t>
  </si>
  <si>
    <t>Diluted Number of share outstanding</t>
  </si>
  <si>
    <t>Equity Value per share</t>
  </si>
  <si>
    <t>Chi phí sử dụng vốn dự phóng 2022-2031</t>
  </si>
  <si>
    <t>Lãi suất phi  rủi ro</t>
  </si>
  <si>
    <t>Phần bù rủi ro thị trường</t>
  </si>
  <si>
    <t>Thuế suất TNDN</t>
  </si>
  <si>
    <t>Chi phí vốn CSH (Ke)</t>
  </si>
  <si>
    <t>Chi phí vay nợ dài hạn (Kd)</t>
  </si>
  <si>
    <t>D/(D+E)</t>
  </si>
  <si>
    <t>Chi phí vốn bình quân (WACC)</t>
  </si>
  <si>
    <t>FCFF Method</t>
  </si>
  <si>
    <t>WACC</t>
  </si>
  <si>
    <t>Add: Interest Expenses*(1-t)</t>
  </si>
  <si>
    <t>Full year FCFF</t>
  </si>
  <si>
    <t>Discountable FCFF</t>
  </si>
  <si>
    <t>WACC (dài hạn)</t>
  </si>
  <si>
    <t>PV of FCFF</t>
  </si>
  <si>
    <t>Total PV of FCFF</t>
  </si>
  <si>
    <t>Enterprise Value</t>
  </si>
  <si>
    <t>- Debt</t>
  </si>
  <si>
    <t>Model này là do Đinh Vinh Hiển làm</t>
  </si>
  <si>
    <t>GIẢ ĐỊNH VỀ ĐỊNH GIÁ</t>
  </si>
  <si>
    <t>KẾT QUẢ</t>
  </si>
  <si>
    <t>Tham số định giá</t>
  </si>
  <si>
    <t>DCF Valuation</t>
  </si>
  <si>
    <t>FCFF</t>
  </si>
  <si>
    <t>FCFE</t>
  </si>
  <si>
    <t>Long-term growth</t>
  </si>
  <si>
    <t>Giai đoạn dự phóng chi tiết</t>
  </si>
  <si>
    <t>Giai đoạn tăng trưởng dài hạn</t>
  </si>
  <si>
    <t>PV of FCF</t>
  </si>
  <si>
    <t>Lãi suất phi rủi ro</t>
  </si>
  <si>
    <t>D/E mục tiêu</t>
  </si>
  <si>
    <t>PV of Terminal value</t>
  </si>
  <si>
    <t>Ke mục tiêu</t>
  </si>
  <si>
    <t>Terminal value % of total PV of FCF</t>
  </si>
  <si>
    <t>Equity risk premium (ERP)</t>
  </si>
  <si>
    <t>Add: cash &amp; ST investments</t>
  </si>
  <si>
    <t>Enterprise value (EV)</t>
  </si>
  <si>
    <t>SLCP hiện tại (triệu CP)</t>
  </si>
  <si>
    <t>Thuế suất tại năm cuối dự phóng</t>
  </si>
  <si>
    <t>ERP tính toán</t>
  </si>
  <si>
    <t>Less: short and long-term debt</t>
  </si>
  <si>
    <t>SLCP pha loãng tối đa (triệu CP)</t>
  </si>
  <si>
    <t>Tăng trưởng dài hạn</t>
  </si>
  <si>
    <t>ERP tùy chọn</t>
  </si>
  <si>
    <t>Equity value</t>
  </si>
  <si>
    <t>Diluted Outstanding shares (million)</t>
  </si>
  <si>
    <t>Price per share</t>
  </si>
  <si>
    <t>D/(D+E) mục tiêu</t>
  </si>
  <si>
    <t>Current Price</t>
  </si>
  <si>
    <t>Upside</t>
  </si>
  <si>
    <t>Ke tùy chọn</t>
  </si>
  <si>
    <t>Chi phí vốn vay dài hạn</t>
  </si>
  <si>
    <t>VND/share</t>
  </si>
  <si>
    <t>Implied value per share</t>
  </si>
  <si>
    <t>Weight</t>
  </si>
  <si>
    <t>Weighted price</t>
  </si>
  <si>
    <t>Chi phí vốn vay sau thuế</t>
  </si>
  <si>
    <t xml:space="preserve">P/E </t>
  </si>
  <si>
    <t>WACC mục tiêu</t>
  </si>
  <si>
    <t>EV/EBITDA</t>
  </si>
  <si>
    <t>WACC tính toán</t>
  </si>
  <si>
    <t>Target price</t>
  </si>
  <si>
    <t>WACC tùy chọn</t>
  </si>
  <si>
    <t>RECOMMENDATION</t>
  </si>
  <si>
    <t>Current price (18/02/2022)</t>
  </si>
  <si>
    <t>TP/CP (%)</t>
  </si>
  <si>
    <t>Dividend yield 2021</t>
  </si>
  <si>
    <t>Upside (%)</t>
  </si>
  <si>
    <t>RATIOS</t>
  </si>
  <si>
    <t>SIZE &amp; CF</t>
  </si>
  <si>
    <t>cx</t>
  </si>
  <si>
    <t>No. of Outstanding Share (million)</t>
  </si>
  <si>
    <t>Total assets (VNDbn)</t>
  </si>
  <si>
    <t>Total equity (VNDbn)</t>
  </si>
  <si>
    <t>Revenues (VNDbn)</t>
  </si>
  <si>
    <t>% Rev. growth</t>
  </si>
  <si>
    <t>EBIT (VNDbn)</t>
  </si>
  <si>
    <t>Net profit (VNDbn)</t>
  </si>
  <si>
    <t>% NI growth</t>
  </si>
  <si>
    <t>Non Cash Charge</t>
  </si>
  <si>
    <t>CAPEX</t>
  </si>
  <si>
    <t>∆Net Working Capital</t>
  </si>
  <si>
    <t>Net borrowing</t>
  </si>
  <si>
    <t>FCFF (VNDbn)</t>
  </si>
  <si>
    <t>FCFE (VNDbn)</t>
  </si>
  <si>
    <t>FCFF per share</t>
  </si>
  <si>
    <t>FCFE per share</t>
  </si>
  <si>
    <t>EPS (VND)</t>
  </si>
  <si>
    <t>BVPS</t>
  </si>
  <si>
    <t>PROFITABILITY RATIOS</t>
  </si>
  <si>
    <t>Sales/(AR+Inventory+ net fix asstes)</t>
  </si>
  <si>
    <t>EBIT/Total invested capital</t>
  </si>
  <si>
    <t>ROA</t>
  </si>
  <si>
    <t>ROAA</t>
  </si>
  <si>
    <t>ROE</t>
  </si>
  <si>
    <t>ROAE</t>
  </si>
  <si>
    <t>ROIC</t>
  </si>
  <si>
    <t>Sales/FCFF</t>
  </si>
  <si>
    <t>EFFICIENCY RATIOS</t>
  </si>
  <si>
    <t>Days AR on hands</t>
  </si>
  <si>
    <t>Day Inventory on hands</t>
  </si>
  <si>
    <t>Day AP</t>
  </si>
  <si>
    <t>Cash conversion cycle</t>
  </si>
  <si>
    <t>Operating WC/ Sales</t>
  </si>
  <si>
    <t>Sales/Net fix assets</t>
  </si>
  <si>
    <t>Sales/Total assets</t>
  </si>
  <si>
    <t>LIQUIDITY RATIOS</t>
  </si>
  <si>
    <t>Working capital</t>
  </si>
  <si>
    <t>Operating working capital</t>
  </si>
  <si>
    <t>Current ratio</t>
  </si>
  <si>
    <t>Quick ratio</t>
  </si>
  <si>
    <t>Cash ratio</t>
  </si>
  <si>
    <t>LEVERAGE RATIOS</t>
  </si>
  <si>
    <t>Total liabilities/Total Equity</t>
  </si>
  <si>
    <t>Total Debt to Assets</t>
  </si>
  <si>
    <t>Total Debt to Equity</t>
  </si>
  <si>
    <t>Total Debt to Invested capital</t>
  </si>
  <si>
    <t>Net Debt to Equity</t>
  </si>
  <si>
    <t>Net Debt to Equity chỉ trừ excess cash</t>
  </si>
  <si>
    <t>Total debt/EBITDA</t>
  </si>
  <si>
    <t>Net debt/EBITDA</t>
  </si>
  <si>
    <t>Net debt/EBITDA chỉ trừ excess cash</t>
  </si>
  <si>
    <t>COVERAGE RATIOS</t>
  </si>
  <si>
    <t>EBIT/Interest expenses</t>
  </si>
  <si>
    <t>EBITDA/cash interest expenses</t>
  </si>
  <si>
    <t>(EBITDA - CAPEX)/cash interest expenses</t>
  </si>
  <si>
    <t>Operating cash flow/total debt</t>
  </si>
  <si>
    <t>Operating cash flow/net debt</t>
  </si>
  <si>
    <t>Operating cash flow/net debt chỉ trừ excess cash</t>
  </si>
  <si>
    <t>Operating cash flow/average total liabilities</t>
  </si>
  <si>
    <t>MULTIPLE RATIO</t>
  </si>
  <si>
    <t>P/E ratio</t>
  </si>
  <si>
    <t>Price on last day of year</t>
  </si>
  <si>
    <t>EPS</t>
  </si>
  <si>
    <t>P/E</t>
  </si>
  <si>
    <t>P/B ratio</t>
  </si>
  <si>
    <t>P/B</t>
  </si>
  <si>
    <t>EV/EBITDA ratio</t>
  </si>
  <si>
    <t>EV</t>
  </si>
  <si>
    <t>EV trừ thêm short term investment</t>
  </si>
  <si>
    <t>EV/EBITDA trừ thêm short term investment</t>
  </si>
  <si>
    <t>EV/EBIT</t>
  </si>
  <si>
    <t>EV/EBIT trừ thêm short term investment</t>
  </si>
  <si>
    <t>Dividend yield</t>
  </si>
  <si>
    <t>Biên LNTT</t>
  </si>
  <si>
    <t>- (Lãi) lỗ khác</t>
  </si>
  <si>
    <t>- (Lãi) lỗ hoạt động tài chính</t>
  </si>
  <si>
    <t>+ (Lãi) lỗ HĐTC từ excess cash</t>
  </si>
  <si>
    <t xml:space="preserve">Tăng (giảm) các khoản vay </t>
  </si>
  <si>
    <t>Xem phần Excess cash này tương đương khoản tiền đầu tư tài chính ngắn hạn đối ứng với phần nợ ngắn hạn</t>
  </si>
  <si>
    <t>https://baodautu.vn/toan-canh-nganh-duoc-viet-nam-tiem-nang-lon-bai-toan-chat-luong-d280901.html</t>
  </si>
  <si>
    <t>Tăng trưởng ngành dược Việt Nam</t>
  </si>
  <si>
    <t>CAGR ngành dược = 10.6%</t>
  </si>
  <si>
    <t>Revenues</t>
  </si>
  <si>
    <t>SGA</t>
  </si>
  <si>
    <t>Operating expenses</t>
  </si>
  <si>
    <t>Non-oper expenses</t>
  </si>
  <si>
    <t>EBT</t>
  </si>
  <si>
    <t>Miniority interest in earnings</t>
  </si>
  <si>
    <t>Net income available to common</t>
  </si>
  <si>
    <t>ST investments</t>
  </si>
  <si>
    <t>Account receivable</t>
  </si>
  <si>
    <t>Long term liabilities</t>
  </si>
  <si>
    <t>SHAREHOLDERS' EQUITY</t>
  </si>
  <si>
    <t>Other equity account</t>
  </si>
  <si>
    <t>Shareholders' equity</t>
  </si>
  <si>
    <t>Total liabilities and SH equity</t>
  </si>
  <si>
    <t>PE trailing</t>
  </si>
  <si>
    <t>IMP</t>
  </si>
  <si>
    <t>DHG</t>
  </si>
  <si>
    <t>DMC</t>
  </si>
  <si>
    <t>PMC</t>
  </si>
  <si>
    <t>DP3</t>
  </si>
  <si>
    <t>NDP</t>
  </si>
  <si>
    <t>AGP</t>
  </si>
  <si>
    <t>Trung vị ngành</t>
  </si>
  <si>
    <r>
      <t>EPS trailing</t>
    </r>
    <r>
      <rPr>
        <b/>
        <sz val="10"/>
        <color rgb="FF404040"/>
        <rFont val="Times New Roman"/>
        <family val="1"/>
      </rPr>
      <t xml:space="preserve"> </t>
    </r>
    <r>
      <rPr>
        <i/>
        <sz val="10"/>
        <color rgb="FF404040"/>
        <rFont val="Times New Roman"/>
        <family val="1"/>
      </rPr>
      <t>(đồng/CP)</t>
    </r>
  </si>
  <si>
    <r>
      <t>GTCP</t>
    </r>
    <r>
      <rPr>
        <i/>
        <sz val="10"/>
        <color rgb="FF282828"/>
        <rFont val="Times New Roman"/>
        <family val="1"/>
      </rPr>
      <t xml:space="preserve"> (đồng/CP)</t>
    </r>
  </si>
  <si>
    <t>Lãi từ bán, thanh lý các khoản đầu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</si>
</sst>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3" formatCode="_(* #,##0.00_);_(* \(#,##0.00\);_(* &quot;-&quot;??_);_(@_)"/>
    <numFmt numFmtId="164" formatCode="_(* #,##0_);_(* \(#,##0\);_(* &quot;-&quot;??_);_(@_)"/>
    <numFmt numFmtId="165" formatCode="[$-409]mmm\-yy;@"/>
    <numFmt numFmtId="166" formatCode="#,##0.000"/>
    <numFmt numFmtId="167" formatCode="0.0"/>
    <numFmt numFmtId="168" formatCode="0.0%"/>
    <numFmt numFmtId="169" formatCode="#,##0.0"/>
    <numFmt numFmtId="170" formatCode="_(* #,##0.0_);_(* \(#,##0.0\);_(* &quot;-&quot;??_);_(@_)"/>
    <numFmt numFmtId="171" formatCode="0.0000"/>
    <numFmt numFmtId="172" formatCode="_-* #,##0.00_-;\-* #,##0.00_-;_-* &quot;-&quot;??_-;_-@_-"/>
    <numFmt numFmtId="173" formatCode="_-* #,##0_-;\-* #,##0_-;_-* &quot;-&quot;??_-;_-@_-"/>
    <numFmt numFmtId="174" formatCode="#,##0_ ;\-#,##0\ "/>
    <numFmt numFmtId="175" formatCode="#,##0.0_ ;\-#,##0.0\ "/>
    <numFmt numFmtId="176" formatCode="#,##0.00_ ;\-#,##0.00\ "/>
    <numFmt numFmtId="177" formatCode="#,##0.000_ ;\-#,##0.000\ "/>
    <numFmt numFmtId="178" formatCode="_-* #,##0.000_-;\-* #,##0.000_-;_-* &quot;-&quot;??_-;_-@_-"/>
    <numFmt numFmtId="179" formatCode="_(* #,##0.000_);_(* \(#,##0.000\);_(* &quot;-&quot;??_);_(@_)"/>
    <numFmt numFmtId="180" formatCode="0.00_);\(0.00\)"/>
    <numFmt numFmtId="181" formatCode="#,##0.0_ ;[Red]\-#,##0.0\ "/>
    <numFmt numFmtId="182" formatCode="#,##0.00_ ;[Red]\-#,##0.00\ "/>
    <numFmt numFmtId="183" formatCode="0.000"/>
    <numFmt numFmtId="184" formatCode="dd/mm/yy"/>
    <numFmt numFmtId="185" formatCode="[$-409]d\-mmm\-yy;@"/>
    <numFmt numFmtId="186" formatCode="###0\ ;[Red]\(###0\);&quot;- &quot;;&quot;- &quot;"/>
    <numFmt numFmtId="187" formatCode="0_);\(0\)"/>
    <numFmt numFmtId="188" formatCode="#,##0_ ;[Red]\-#,##0\ "/>
    <numFmt numFmtId="189" formatCode="_-* #,##0.0_-;\-* #,##0.0_-;_-* &quot;-&quot;??_-;_-@_-"/>
  </numFmts>
  <fonts count="115" x14ac:knownFonts="1">
    <font>
      <sz val="11"/>
      <color theme="1"/>
      <name val="Calibri"/>
      <family val="2"/>
      <scheme val="minor"/>
    </font>
    <font>
      <sz val="11"/>
      <color theme="1"/>
      <name val="Calibri"/>
      <family val="2"/>
      <scheme val="minor"/>
    </font>
    <font>
      <sz val="8"/>
      <color rgb="FF000000"/>
      <name val="Trebuchet MS"/>
      <family val="2"/>
    </font>
    <font>
      <b/>
      <sz val="11"/>
      <color rgb="FFFFFFFF"/>
      <name val="Calibri"/>
      <family val="2"/>
    </font>
    <font>
      <sz val="11"/>
      <color rgb="FF000000"/>
      <name val="Calibri"/>
      <family val="2"/>
    </font>
    <font>
      <sz val="8"/>
      <color rgb="FF808080"/>
      <name val="Trebuchet MS"/>
      <family val="2"/>
    </font>
    <font>
      <b/>
      <sz val="12"/>
      <color rgb="FF1F497D"/>
      <name val="Times New Roman"/>
      <family val="1"/>
    </font>
    <font>
      <sz val="12"/>
      <color rgb="FF1F497D"/>
      <name val="Times New Roman"/>
      <family val="1"/>
    </font>
    <font>
      <u/>
      <sz val="11"/>
      <color rgb="FF0000FF"/>
      <name val="Calibri"/>
      <family val="2"/>
    </font>
    <font>
      <sz val="11"/>
      <color rgb="FF000000"/>
      <name val="Times New Roman"/>
      <family val="1"/>
    </font>
    <font>
      <sz val="11"/>
      <color rgb="FF404040"/>
      <name val="Times New Roman"/>
      <family val="1"/>
    </font>
    <font>
      <b/>
      <sz val="9"/>
      <color indexed="81"/>
      <name val="Tahoma"/>
      <family val="2"/>
    </font>
    <font>
      <sz val="9"/>
      <color indexed="81"/>
      <name val="Tahoma"/>
      <family val="2"/>
    </font>
    <font>
      <sz val="10"/>
      <color rgb="FF282828"/>
      <name val="Times New Roman"/>
      <family val="1"/>
    </font>
    <font>
      <sz val="10"/>
      <color rgb="FF000000"/>
      <name val="Times New Roman"/>
      <family val="1"/>
    </font>
    <font>
      <sz val="10"/>
      <color rgb="FF404040"/>
      <name val="Times New Roman"/>
      <family val="1"/>
    </font>
    <font>
      <sz val="10"/>
      <color rgb="FFFFFFFF"/>
      <name val="Times New Roman"/>
      <family val="1"/>
    </font>
    <font>
      <b/>
      <sz val="10"/>
      <color rgb="FF404040"/>
      <name val="Times New Roman"/>
      <family val="1"/>
    </font>
    <font>
      <sz val="10"/>
      <color rgb="FF6E96B4"/>
      <name val="Times New Roman"/>
      <family val="1"/>
    </font>
    <font>
      <i/>
      <sz val="10"/>
      <color rgb="FF404040"/>
      <name val="Times New Roman"/>
      <family val="1"/>
    </font>
    <font>
      <i/>
      <sz val="10"/>
      <color rgb="FF808080"/>
      <name val="Times New Roman"/>
      <family val="1"/>
    </font>
    <font>
      <b/>
      <sz val="10"/>
      <color rgb="FF282828"/>
      <name val="Times New Roman"/>
      <family val="1"/>
    </font>
    <font>
      <b/>
      <sz val="10"/>
      <color rgb="FFFFFFFF"/>
      <name val="Times New Roman"/>
      <family val="1"/>
    </font>
    <font>
      <sz val="10"/>
      <color rgb="FF507896"/>
      <name val="Times New Roman"/>
      <family val="1"/>
    </font>
    <font>
      <sz val="10"/>
      <color rgb="FF6EAA46"/>
      <name val="Times New Roman"/>
      <family val="1"/>
    </font>
    <font>
      <sz val="10"/>
      <name val="Times New Roman"/>
      <family val="1"/>
    </font>
    <font>
      <i/>
      <sz val="10"/>
      <name val="Times New Roman"/>
      <family val="1"/>
    </font>
    <font>
      <i/>
      <sz val="10"/>
      <color rgb="FFFF0000"/>
      <name val="Times New Roman"/>
      <family val="1"/>
    </font>
    <font>
      <b/>
      <sz val="10"/>
      <color rgb="FF000000"/>
      <name val="Times New Roman"/>
      <family val="1"/>
    </font>
    <font>
      <i/>
      <sz val="10"/>
      <color rgb="FF6E96B4"/>
      <name val="Times New Roman"/>
      <family val="1"/>
    </font>
    <font>
      <b/>
      <sz val="10"/>
      <color rgb="FF14325A"/>
      <name val="Times New Roman"/>
      <family val="1"/>
    </font>
    <font>
      <sz val="10"/>
      <color rgb="FFFF0000"/>
      <name val="Times New Roman"/>
      <family val="1"/>
    </font>
    <font>
      <b/>
      <sz val="10"/>
      <color rgb="FF6EAA46"/>
      <name val="Times New Roman"/>
      <family val="1"/>
    </font>
    <font>
      <i/>
      <sz val="10"/>
      <color rgb="FFFFFFFF"/>
      <name val="Times New Roman"/>
      <family val="1"/>
    </font>
    <font>
      <i/>
      <sz val="10"/>
      <color rgb="FF0D0D0D"/>
      <name val="Times New Roman"/>
      <family val="1"/>
    </font>
    <font>
      <b/>
      <sz val="10"/>
      <name val="Times New Roman"/>
      <family val="1"/>
    </font>
    <font>
      <b/>
      <sz val="10"/>
      <color rgb="FF507896"/>
      <name val="Times New Roman"/>
      <family val="1"/>
    </font>
    <font>
      <b/>
      <sz val="10"/>
      <color indexed="81"/>
      <name val="Tahoma"/>
      <family val="2"/>
    </font>
    <font>
      <sz val="10"/>
      <color indexed="81"/>
      <name val="Tahoma"/>
      <family val="2"/>
    </font>
    <font>
      <u/>
      <sz val="11"/>
      <color theme="10"/>
      <name val="Calibri"/>
      <family val="2"/>
      <scheme val="minor"/>
    </font>
    <font>
      <b/>
      <sz val="11"/>
      <color rgb="FFFF0000"/>
      <name val="Calibri"/>
      <family val="2"/>
    </font>
    <font>
      <sz val="11"/>
      <color rgb="FFFFFFFF"/>
      <name val="Calibri"/>
      <family val="2"/>
    </font>
    <font>
      <sz val="11"/>
      <color rgb="FFFF0000"/>
      <name val="Calibri"/>
      <family val="2"/>
    </font>
    <font>
      <b/>
      <sz val="10"/>
      <color rgb="FF000000"/>
      <name val="Arial"/>
      <family val="2"/>
    </font>
    <font>
      <sz val="10"/>
      <color rgb="FF000000"/>
      <name val="Arial"/>
      <family val="2"/>
    </font>
    <font>
      <sz val="11"/>
      <color rgb="FF333333"/>
      <name val="Roboto Condensed"/>
    </font>
    <font>
      <sz val="11"/>
      <color rgb="FF333333"/>
      <name val="Arial"/>
      <family val="2"/>
    </font>
    <font>
      <sz val="12"/>
      <color rgb="FF000000"/>
      <name val="Calibri"/>
      <family val="2"/>
    </font>
    <font>
      <sz val="12"/>
      <color rgb="FF212529"/>
      <name val="Segoe UI"/>
      <family val="2"/>
    </font>
    <font>
      <sz val="12"/>
      <color rgb="FF231F20"/>
      <name val="Arial"/>
      <family val="2"/>
    </font>
    <font>
      <vertAlign val="superscript"/>
      <sz val="12"/>
      <color rgb="FF231F20"/>
      <name val="Arial"/>
      <family val="2"/>
    </font>
    <font>
      <vertAlign val="superscript"/>
      <sz val="12"/>
      <color rgb="FF000000"/>
      <name val="Arial"/>
      <family val="2"/>
    </font>
    <font>
      <sz val="12"/>
      <color rgb="FF000000"/>
      <name val="Arial"/>
      <family val="2"/>
    </font>
    <font>
      <sz val="10"/>
      <color rgb="FF366092"/>
      <name val="Times New Roman"/>
      <family val="1"/>
    </font>
    <font>
      <sz val="8"/>
      <color rgb="FF366092"/>
      <name val="Times New Roman"/>
      <family val="1"/>
    </font>
    <font>
      <i/>
      <sz val="10"/>
      <color rgb="FF366092"/>
      <name val="Times New Roman"/>
      <family val="1"/>
    </font>
    <font>
      <i/>
      <sz val="10"/>
      <color rgb="FF282828"/>
      <name val="Times New Roman"/>
      <family val="1"/>
    </font>
    <font>
      <i/>
      <sz val="10"/>
      <color rgb="FF000000"/>
      <name val="Times New Roman"/>
      <family val="1"/>
    </font>
    <font>
      <i/>
      <sz val="10"/>
      <color rgb="FF017DBB"/>
      <name val="Times New Roman"/>
      <family val="1"/>
    </font>
    <font>
      <sz val="10"/>
      <color rgb="FF017DBB"/>
      <name val="Times New Roman"/>
      <family val="1"/>
    </font>
    <font>
      <b/>
      <sz val="11"/>
      <color rgb="FF404040"/>
      <name val="Times New Roman"/>
      <family val="1"/>
    </font>
    <font>
      <b/>
      <sz val="11"/>
      <color rgb="FF000000"/>
      <name val="Times New Roman"/>
      <family val="1"/>
    </font>
    <font>
      <b/>
      <sz val="11"/>
      <name val="Times New Roman"/>
      <family val="1"/>
    </font>
    <font>
      <b/>
      <sz val="11"/>
      <color rgb="FFFFFFFF"/>
      <name val="Times New Roman"/>
      <family val="1"/>
    </font>
    <font>
      <sz val="11"/>
      <color rgb="FF282828"/>
      <name val="Times New Roman"/>
      <family val="1"/>
    </font>
    <font>
      <b/>
      <sz val="11"/>
      <color rgb="FF282828"/>
      <name val="Times New Roman"/>
      <family val="1"/>
    </font>
    <font>
      <sz val="11"/>
      <color rgb="FFFFFFFF"/>
      <name val="Times New Roman"/>
      <family val="1"/>
    </font>
    <font>
      <b/>
      <sz val="11"/>
      <color rgb="FFFF0000"/>
      <name val="Times New Roman"/>
      <family val="1"/>
    </font>
    <font>
      <i/>
      <sz val="11"/>
      <color rgb="FF282828"/>
      <name val="Times New Roman"/>
      <family val="1"/>
    </font>
    <font>
      <b/>
      <i/>
      <sz val="11"/>
      <color rgb="FF282828"/>
      <name val="Times New Roman"/>
      <family val="1"/>
    </font>
    <font>
      <sz val="11"/>
      <name val="Times New Roman"/>
      <family val="1"/>
    </font>
    <font>
      <b/>
      <sz val="10"/>
      <color rgb="FFB8CCE4"/>
      <name val="Times New Roman"/>
      <family val="1"/>
    </font>
    <font>
      <i/>
      <sz val="10"/>
      <color rgb="FF6EAA46"/>
      <name val="Times New Roman"/>
      <family val="1"/>
    </font>
    <font>
      <sz val="11"/>
      <color rgb="FF404040"/>
      <name val="Calibri"/>
      <family val="2"/>
    </font>
    <font>
      <sz val="11"/>
      <color rgb="FFFF0000"/>
      <name val="Times New Roman"/>
      <family val="1"/>
    </font>
    <font>
      <b/>
      <sz val="10"/>
      <color rgb="FF808080"/>
      <name val="Times New Roman"/>
      <family val="1"/>
    </font>
    <font>
      <b/>
      <sz val="10"/>
      <color rgb="FF6E96B4"/>
      <name val="Times New Roman"/>
      <family val="1"/>
    </font>
    <font>
      <b/>
      <sz val="7"/>
      <color rgb="FF333333"/>
      <name val="Arial"/>
      <family val="2"/>
    </font>
    <font>
      <sz val="11"/>
      <color rgb="FF6E96B4"/>
      <name val="Times New Roman"/>
      <family val="1"/>
    </font>
    <font>
      <i/>
      <sz val="11"/>
      <color rgb="FF6E96B4"/>
      <name val="Times New Roman"/>
      <family val="1"/>
    </font>
    <font>
      <b/>
      <u/>
      <sz val="11"/>
      <name val="Times New Roman"/>
      <family val="1"/>
    </font>
    <font>
      <i/>
      <sz val="11"/>
      <color rgb="FFFFFFFF"/>
      <name val="Times New Roman"/>
      <family val="1"/>
    </font>
    <font>
      <i/>
      <sz val="11"/>
      <color rgb="FF404040"/>
      <name val="Times New Roman"/>
      <family val="1"/>
    </font>
    <font>
      <b/>
      <sz val="10"/>
      <color theme="9"/>
      <name val="Times New Roman"/>
      <family val="1"/>
    </font>
    <font>
      <sz val="11"/>
      <color theme="0"/>
      <name val="Calibri"/>
      <family val="2"/>
      <scheme val="minor"/>
    </font>
    <font>
      <b/>
      <sz val="22"/>
      <color rgb="FF14325A"/>
      <name val="Calibri"/>
      <family val="2"/>
    </font>
    <font>
      <sz val="11"/>
      <color theme="1"/>
      <name val="Calibri"/>
      <family val="2"/>
    </font>
    <font>
      <b/>
      <sz val="11"/>
      <color rgb="FF000000"/>
      <name val="Calibri"/>
      <family val="2"/>
      <charset val="163"/>
    </font>
    <font>
      <b/>
      <sz val="11"/>
      <color rgb="FF404040"/>
      <name val="Calibri"/>
      <family val="2"/>
    </font>
    <font>
      <b/>
      <sz val="11"/>
      <color rgb="FF000000"/>
      <name val="Calibri"/>
      <family val="2"/>
    </font>
    <font>
      <b/>
      <i/>
      <sz val="11"/>
      <color rgb="FF000000"/>
      <name val="Calibri"/>
      <family val="2"/>
    </font>
    <font>
      <b/>
      <sz val="11"/>
      <color rgb="FF6EAA46"/>
      <name val="Calibri"/>
      <family val="2"/>
    </font>
    <font>
      <sz val="11"/>
      <color rgb="FF6EAA46"/>
      <name val="Calibri"/>
      <family val="2"/>
    </font>
    <font>
      <i/>
      <sz val="11"/>
      <color rgb="FF000000"/>
      <name val="Calibri"/>
      <family val="2"/>
    </font>
    <font>
      <i/>
      <sz val="10"/>
      <color theme="4" tint="-0.249977111117893"/>
      <name val="Times New Roman"/>
      <family val="1"/>
    </font>
    <font>
      <u/>
      <sz val="8"/>
      <color rgb="FF0000FF"/>
      <name val="Arial"/>
      <family val="2"/>
    </font>
    <font>
      <sz val="10"/>
      <name val="Arial"/>
      <family val="2"/>
    </font>
    <font>
      <b/>
      <sz val="10"/>
      <color rgb="FFFF0000"/>
      <name val="Times New Roman"/>
      <family val="1"/>
    </font>
    <font>
      <sz val="10"/>
      <color rgb="FF92D050"/>
      <name val="Times New Roman"/>
      <family val="1"/>
    </font>
    <font>
      <b/>
      <sz val="10"/>
      <color rgb="FF0F7A28"/>
      <name val="Times New Roman"/>
      <family val="1"/>
    </font>
    <font>
      <sz val="10"/>
      <color rgb="FF0000FF"/>
      <name val="Times New Roman"/>
      <family val="1"/>
    </font>
    <font>
      <i/>
      <sz val="10"/>
      <name val="Arial"/>
      <family val="2"/>
    </font>
    <font>
      <b/>
      <sz val="10"/>
      <color rgb="FF8CB4D2"/>
      <name val="Times New Roman"/>
      <family val="1"/>
    </font>
    <font>
      <sz val="9"/>
      <color rgb="FFFFFFFF"/>
      <name val="Times New Roman"/>
      <family val="1"/>
    </font>
    <font>
      <sz val="10"/>
      <color theme="1"/>
      <name val="Arial"/>
      <family val="2"/>
      <charset val="163"/>
    </font>
    <font>
      <sz val="10"/>
      <color theme="1"/>
      <name val="Times New Roman"/>
      <family val="1"/>
    </font>
    <font>
      <b/>
      <sz val="10"/>
      <color theme="1"/>
      <name val="Times New Roman"/>
      <family val="1"/>
    </font>
    <font>
      <sz val="11"/>
      <color theme="1"/>
      <name val="Times New Roman"/>
      <family val="1"/>
    </font>
    <font>
      <sz val="10"/>
      <color rgb="FF404040"/>
      <name val="Arial"/>
      <family val="2"/>
      <charset val="163"/>
    </font>
    <font>
      <sz val="10"/>
      <color rgb="FF404040"/>
      <name val="Arial"/>
      <family val="2"/>
    </font>
    <font>
      <b/>
      <sz val="10"/>
      <color rgb="FFFFFFFF"/>
      <name val="Arial"/>
      <family val="2"/>
      <charset val="163"/>
    </font>
    <font>
      <b/>
      <sz val="10"/>
      <color rgb="FF404040"/>
      <name val="Arial"/>
      <family val="2"/>
      <charset val="163"/>
    </font>
    <font>
      <b/>
      <sz val="10"/>
      <color rgb="FF404040"/>
      <name val="Arial"/>
      <family val="2"/>
    </font>
    <font>
      <sz val="10"/>
      <color rgb="FFFFFFFF"/>
      <name val="Arial"/>
      <family val="2"/>
      <charset val="163"/>
    </font>
    <font>
      <b/>
      <sz val="10"/>
      <color rgb="FF4EC535"/>
      <name val="Times New Roman"/>
      <family val="1"/>
    </font>
  </fonts>
  <fills count="38">
    <fill>
      <patternFill patternType="none"/>
    </fill>
    <fill>
      <patternFill patternType="gray125"/>
    </fill>
    <fill>
      <patternFill patternType="solid">
        <fgColor rgb="FFFFFFFF"/>
        <bgColor rgb="FF000000"/>
      </patternFill>
    </fill>
    <fill>
      <patternFill patternType="solid">
        <fgColor rgb="FF0070C0"/>
        <bgColor rgb="FF0070C0"/>
      </patternFill>
    </fill>
    <fill>
      <patternFill patternType="solid">
        <fgColor rgb="FFFF00FF"/>
        <bgColor rgb="FF000000"/>
      </patternFill>
    </fill>
    <fill>
      <patternFill patternType="solid">
        <fgColor rgb="FFC00000"/>
        <bgColor rgb="FF000000"/>
      </patternFill>
    </fill>
    <fill>
      <patternFill patternType="solid">
        <fgColor rgb="FFD9D9D9"/>
        <bgColor rgb="FF000000"/>
      </patternFill>
    </fill>
    <fill>
      <patternFill patternType="solid">
        <fgColor rgb="FF6E96B4"/>
        <bgColor rgb="FF000000"/>
      </patternFill>
    </fill>
    <fill>
      <patternFill patternType="solid">
        <fgColor rgb="FFFABF8F"/>
        <bgColor rgb="FF000000"/>
      </patternFill>
    </fill>
    <fill>
      <patternFill patternType="solid">
        <fgColor rgb="FFFFFF00"/>
        <bgColor rgb="FF000000"/>
      </patternFill>
    </fill>
    <fill>
      <patternFill patternType="solid">
        <fgColor rgb="FF14325A"/>
        <bgColor rgb="FF000000"/>
      </patternFill>
    </fill>
    <fill>
      <patternFill patternType="solid">
        <fgColor rgb="FFFCD5B4"/>
        <bgColor rgb="FF000000"/>
      </patternFill>
    </fill>
    <fill>
      <patternFill patternType="solid">
        <fgColor rgb="FF7030A0"/>
        <bgColor rgb="FF000000"/>
      </patternFill>
    </fill>
    <fill>
      <patternFill patternType="solid">
        <fgColor rgb="FF974706"/>
        <bgColor rgb="FF000000"/>
      </patternFill>
    </fill>
    <fill>
      <patternFill patternType="solid">
        <fgColor rgb="FF403151"/>
        <bgColor rgb="FF000000"/>
      </patternFill>
    </fill>
    <fill>
      <patternFill patternType="solid">
        <fgColor rgb="FF005030"/>
        <bgColor rgb="FF000000"/>
      </patternFill>
    </fill>
    <fill>
      <patternFill patternType="solid">
        <fgColor rgb="FF9BBB59"/>
        <bgColor rgb="FF000000"/>
      </patternFill>
    </fill>
    <fill>
      <patternFill patternType="solid">
        <fgColor rgb="FFF79646"/>
        <bgColor rgb="FF000000"/>
      </patternFill>
    </fill>
    <fill>
      <patternFill patternType="solid">
        <fgColor rgb="FFDCE6F1"/>
        <bgColor rgb="FFDCE6F1"/>
      </patternFill>
    </fill>
    <fill>
      <patternFill patternType="solid">
        <fgColor rgb="FFC0504D"/>
        <bgColor rgb="FF000000"/>
      </patternFill>
    </fill>
    <fill>
      <patternFill patternType="solid">
        <fgColor rgb="FF00B050"/>
        <bgColor rgb="FF000000"/>
      </patternFill>
    </fill>
    <fill>
      <patternFill patternType="solid">
        <fgColor rgb="FFF2F2F2"/>
        <bgColor rgb="FF000000"/>
      </patternFill>
    </fill>
    <fill>
      <patternFill patternType="solid">
        <fgColor rgb="FF8CB4D2"/>
        <bgColor rgb="FF000000"/>
      </patternFill>
    </fill>
    <fill>
      <patternFill patternType="solid">
        <fgColor theme="0" tint="-0.14999847407452621"/>
        <bgColor rgb="FF000000"/>
      </patternFill>
    </fill>
    <fill>
      <patternFill patternType="solid">
        <fgColor theme="0"/>
        <bgColor rgb="FF000000"/>
      </patternFill>
    </fill>
    <fill>
      <patternFill patternType="solid">
        <fgColor theme="0" tint="-4.9989318521683403E-2"/>
        <bgColor rgb="FF000000"/>
      </patternFill>
    </fill>
    <fill>
      <patternFill patternType="solid">
        <fgColor rgb="FF6EAA46"/>
        <bgColor rgb="FF000000"/>
      </patternFill>
    </fill>
    <fill>
      <patternFill patternType="solid">
        <fgColor rgb="FFBFBFBF"/>
        <bgColor rgb="FF000000"/>
      </patternFill>
    </fill>
    <fill>
      <patternFill patternType="solid">
        <fgColor rgb="FF0F7A28"/>
        <bgColor rgb="FF000000"/>
      </patternFill>
    </fill>
    <fill>
      <patternFill patternType="solid">
        <fgColor rgb="FF92D050"/>
        <bgColor rgb="FF000000"/>
      </patternFill>
    </fill>
    <fill>
      <patternFill patternType="solid">
        <fgColor theme="9"/>
      </patternFill>
    </fill>
    <fill>
      <patternFill patternType="solid">
        <fgColor rgb="FF325078"/>
        <bgColor rgb="FF000000"/>
      </patternFill>
    </fill>
    <fill>
      <patternFill patternType="solid">
        <fgColor rgb="FF282828"/>
        <bgColor rgb="FF000000"/>
      </patternFill>
    </fill>
    <fill>
      <patternFill patternType="solid">
        <fgColor rgb="FF0E015F"/>
        <bgColor rgb="FF000000"/>
      </patternFill>
    </fill>
    <fill>
      <patternFill patternType="solid">
        <fgColor rgb="FFFFFF99"/>
        <bgColor rgb="FF000000"/>
      </patternFill>
    </fill>
    <fill>
      <patternFill patternType="solid">
        <fgColor rgb="FFFFFF00"/>
        <bgColor indexed="64"/>
      </patternFill>
    </fill>
    <fill>
      <patternFill patternType="solid">
        <fgColor rgb="FFD9D9D9"/>
        <bgColor indexed="64"/>
      </patternFill>
    </fill>
    <fill>
      <patternFill patternType="solid">
        <fgColor rgb="FF096C2C"/>
        <bgColor rgb="FF000000"/>
      </patternFill>
    </fill>
  </fills>
  <borders count="68">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rgb="FFFFFFFF"/>
      </bottom>
      <diagonal/>
    </border>
    <border>
      <left/>
      <right/>
      <top/>
      <bottom style="double">
        <color auto="1"/>
      </bottom>
      <diagonal/>
    </border>
    <border>
      <left/>
      <right style="thin">
        <color indexed="64"/>
      </right>
      <top/>
      <bottom style="double">
        <color auto="1"/>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rgb="FFFFFFFF"/>
      </bottom>
      <diagonal/>
    </border>
    <border>
      <left/>
      <right style="thin">
        <color indexed="64"/>
      </right>
      <top style="double">
        <color auto="1"/>
      </top>
      <bottom/>
      <diagonal/>
    </border>
    <border>
      <left/>
      <right/>
      <top/>
      <bottom style="thin">
        <color indexed="64"/>
      </bottom>
      <diagonal/>
    </border>
    <border>
      <left/>
      <right/>
      <top/>
      <bottom style="medium">
        <color auto="1"/>
      </bottom>
      <diagonal/>
    </border>
    <border>
      <left/>
      <right style="thin">
        <color indexed="64"/>
      </right>
      <top/>
      <bottom style="medium">
        <color auto="1"/>
      </bottom>
      <diagonal/>
    </border>
    <border>
      <left/>
      <right/>
      <top style="medium">
        <color auto="1"/>
      </top>
      <bottom/>
      <diagonal/>
    </border>
    <border>
      <left style="thin">
        <color indexed="64"/>
      </left>
      <right/>
      <top/>
      <bottom/>
      <diagonal/>
    </border>
    <border>
      <left/>
      <right/>
      <top style="double">
        <color rgb="FFFF0000"/>
      </top>
      <bottom/>
      <diagonal/>
    </border>
    <border>
      <left/>
      <right/>
      <top style="thin">
        <color indexed="64"/>
      </top>
      <bottom style="double">
        <color indexed="64"/>
      </bottom>
      <diagonal/>
    </border>
    <border>
      <left/>
      <right/>
      <top style="medium">
        <color indexed="64"/>
      </top>
      <bottom style="double">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95B3D7"/>
      </left>
      <right/>
      <top style="thin">
        <color rgb="FF95B3D7"/>
      </top>
      <bottom/>
      <diagonal/>
    </border>
    <border>
      <left/>
      <right/>
      <top style="thin">
        <color rgb="FF95B3D7"/>
      </top>
      <bottom/>
      <diagonal/>
    </border>
    <border>
      <left/>
      <right style="thin">
        <color rgb="FF95B3D7"/>
      </right>
      <top style="thin">
        <color rgb="FF95B3D7"/>
      </top>
      <bottom/>
      <diagonal/>
    </border>
    <border>
      <left style="thin">
        <color rgb="FF95B3D7"/>
      </left>
      <right/>
      <top style="thin">
        <color rgb="FF95B3D7"/>
      </top>
      <bottom style="thin">
        <color rgb="FF95B3D7"/>
      </bottom>
      <diagonal/>
    </border>
    <border>
      <left/>
      <right/>
      <top style="thin">
        <color rgb="FF95B3D7"/>
      </top>
      <bottom style="thin">
        <color rgb="FF95B3D7"/>
      </bottom>
      <diagonal/>
    </border>
    <border>
      <left/>
      <right style="thin">
        <color rgb="FF95B3D7"/>
      </right>
      <top style="thin">
        <color rgb="FF95B3D7"/>
      </top>
      <bottom style="thin">
        <color rgb="FF95B3D7"/>
      </bottom>
      <diagonal/>
    </border>
    <border>
      <left/>
      <right/>
      <top/>
      <bottom style="thick">
        <color auto="1"/>
      </bottom>
      <diagonal/>
    </border>
    <border>
      <left/>
      <right style="thin">
        <color indexed="64"/>
      </right>
      <top/>
      <bottom style="thick">
        <color auto="1"/>
      </bottom>
      <diagonal/>
    </border>
    <border>
      <left/>
      <right/>
      <top style="thick">
        <color indexed="64"/>
      </top>
      <bottom/>
      <diagonal/>
    </border>
    <border>
      <left/>
      <right style="thin">
        <color indexed="64"/>
      </right>
      <top style="thick">
        <color auto="1"/>
      </top>
      <bottom/>
      <diagonal/>
    </border>
    <border>
      <left/>
      <right/>
      <top style="double">
        <color auto="1"/>
      </top>
      <bottom/>
      <diagonal/>
    </border>
    <border>
      <left/>
      <right style="thin">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FFFFFF"/>
      </top>
      <bottom/>
      <diagonal/>
    </border>
    <border>
      <left/>
      <right style="thin">
        <color indexed="64"/>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style="thin">
        <color indexed="64"/>
      </right>
      <top style="thin">
        <color rgb="FFFFFFFF"/>
      </top>
      <bottom style="thin">
        <color rgb="FFFFFFFF"/>
      </bottom>
      <diagonal/>
    </border>
    <border>
      <left/>
      <right style="thin">
        <color rgb="FFFFFFFF"/>
      </right>
      <top/>
      <bottom/>
      <diagonal/>
    </border>
    <border>
      <left style="thin">
        <color rgb="FFFFFFFF"/>
      </left>
      <right style="thin">
        <color rgb="FFFFFFFF"/>
      </right>
      <top/>
      <bottom/>
      <diagonal/>
    </border>
    <border>
      <left style="thin">
        <color rgb="FFFFFFFF"/>
      </left>
      <right style="thin">
        <color rgb="FFFFFFFF"/>
      </right>
      <top style="thin">
        <color rgb="FFFFFFFF"/>
      </top>
      <bottom style="thin">
        <color indexed="64"/>
      </bottom>
      <diagonal/>
    </border>
    <border>
      <left style="thin">
        <color rgb="FFFFFFFF"/>
      </left>
      <right style="thin">
        <color indexed="64"/>
      </right>
      <top style="thin">
        <color rgb="FFFFFFFF"/>
      </top>
      <bottom style="thin">
        <color indexed="64"/>
      </bottom>
      <diagonal/>
    </border>
    <border>
      <left style="mediumDashDotDot">
        <color rgb="FFFF0000"/>
      </left>
      <right style="mediumDashDotDot">
        <color rgb="FFFF0000"/>
      </right>
      <top style="mediumDashDotDot">
        <color rgb="FFFF0000"/>
      </top>
      <bottom style="mediumDashDotDot">
        <color rgb="FFFF0000"/>
      </bottom>
      <diagonal/>
    </border>
    <border>
      <left/>
      <right style="thin">
        <color indexed="64"/>
      </right>
      <top style="thin">
        <color rgb="FFFFFFFF"/>
      </top>
      <bottom style="thin">
        <color rgb="FFFFFFFF"/>
      </bottom>
      <diagonal/>
    </border>
    <border>
      <left/>
      <right/>
      <top/>
      <bottom style="thin">
        <color rgb="FF808080"/>
      </bottom>
      <diagonal/>
    </border>
    <border>
      <left/>
      <right style="thin">
        <color rgb="FF808080"/>
      </right>
      <top/>
      <bottom style="thin">
        <color rgb="FF808080"/>
      </bottom>
      <diagonal/>
    </border>
    <border>
      <left/>
      <right/>
      <top style="thin">
        <color indexed="64"/>
      </top>
      <bottom style="thin">
        <color rgb="FFFFFFFF"/>
      </bottom>
      <diagonal/>
    </border>
    <border>
      <left style="thin">
        <color rgb="FF808080"/>
      </left>
      <right style="thin">
        <color rgb="FF808080"/>
      </right>
      <top style="thin">
        <color rgb="FF808080"/>
      </top>
      <bottom style="double">
        <color indexed="64"/>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right style="thin">
        <color rgb="FF808080"/>
      </right>
      <top style="thin">
        <color rgb="FF808080"/>
      </top>
      <bottom style="thin">
        <color rgb="FF808080"/>
      </bottom>
      <diagonal/>
    </border>
    <border>
      <left style="thin">
        <color rgb="FF808080"/>
      </left>
      <right/>
      <top/>
      <bottom/>
      <diagonal/>
    </border>
    <border>
      <left style="thin">
        <color rgb="FF808080"/>
      </left>
      <right style="thin">
        <color rgb="FF808080"/>
      </right>
      <top/>
      <bottom style="thin">
        <color rgb="FF808080"/>
      </bottom>
      <diagonal/>
    </border>
    <border>
      <left style="thin">
        <color rgb="FF808080"/>
      </left>
      <right style="thin">
        <color rgb="FF808080"/>
      </right>
      <top/>
      <bottom/>
      <diagonal/>
    </border>
    <border>
      <left style="thin">
        <color rgb="FF808080"/>
      </left>
      <right style="thin">
        <color rgb="FF808080"/>
      </right>
      <top style="thin">
        <color rgb="FF808080"/>
      </top>
      <bottom style="medium">
        <color auto="1"/>
      </bottom>
      <diagonal/>
    </border>
    <border>
      <left style="thin">
        <color rgb="FF808080"/>
      </left>
      <right style="thin">
        <color rgb="FF808080"/>
      </right>
      <top/>
      <bottom style="medium">
        <color auto="1"/>
      </bottom>
      <diagonal/>
    </border>
    <border>
      <left/>
      <right style="thin">
        <color rgb="FF808080"/>
      </right>
      <top style="thin">
        <color rgb="FF808080"/>
      </top>
      <bottom style="thin">
        <color indexed="64"/>
      </bottom>
      <diagonal/>
    </border>
    <border>
      <left style="thin">
        <color rgb="FF808080"/>
      </left>
      <right style="thin">
        <color rgb="FF808080"/>
      </right>
      <top style="thin">
        <color rgb="FF808080"/>
      </top>
      <bottom style="thin">
        <color indexed="64"/>
      </bottom>
      <diagonal/>
    </border>
    <border>
      <left/>
      <right style="thin">
        <color indexed="64"/>
      </right>
      <top style="medium">
        <color auto="1"/>
      </top>
      <bottom/>
      <diagonal/>
    </border>
    <border>
      <left/>
      <right style="thin">
        <color indexed="64"/>
      </right>
      <top style="medium">
        <color indexed="64"/>
      </top>
      <bottom style="double">
        <color indexed="64"/>
      </bottom>
      <diagonal/>
    </border>
    <border>
      <left/>
      <right/>
      <top style="double">
        <color indexed="64"/>
      </top>
      <bottom style="thin">
        <color indexed="64"/>
      </bottom>
      <diagonal/>
    </border>
    <border>
      <left/>
      <right/>
      <top style="medium">
        <color indexed="64"/>
      </top>
      <bottom style="thin">
        <color indexed="64"/>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39" fillId="0" borderId="0" applyNumberFormat="0" applyFill="0" applyBorder="0" applyAlignment="0" applyProtection="0"/>
    <xf numFmtId="172" fontId="1" fillId="0" borderId="0" applyFont="0" applyFill="0" applyBorder="0" applyAlignment="0" applyProtection="0"/>
    <xf numFmtId="0" fontId="84" fillId="30" borderId="0" applyNumberFormat="0" applyBorder="0" applyAlignment="0" applyProtection="0"/>
    <xf numFmtId="0" fontId="95" fillId="0" borderId="0" applyNumberFormat="0" applyFill="0" applyBorder="0" applyAlignment="0" applyProtection="0">
      <alignment vertical="top"/>
      <protection locked="0"/>
    </xf>
    <xf numFmtId="0" fontId="1" fillId="0" borderId="0"/>
    <xf numFmtId="0" fontId="96" fillId="0" borderId="0"/>
    <xf numFmtId="187" fontId="101" fillId="0" borderId="0" applyFill="0" applyBorder="0" applyAlignment="0" applyProtection="0"/>
    <xf numFmtId="0" fontId="104" fillId="0" borderId="0"/>
  </cellStyleXfs>
  <cellXfs count="2403">
    <xf numFmtId="0" fontId="0" fillId="0" borderId="0" xfId="0"/>
    <xf numFmtId="0" fontId="2" fillId="2" borderId="0" xfId="0" applyFont="1" applyFill="1"/>
    <xf numFmtId="0" fontId="3" fillId="3" borderId="1" xfId="0" applyFont="1" applyFill="1" applyBorder="1" applyAlignment="1">
      <alignment vertical="center" wrapText="1"/>
    </xf>
    <xf numFmtId="49" fontId="4" fillId="0" borderId="1" xfId="0" applyNumberFormat="1" applyFont="1" applyBorder="1"/>
    <xf numFmtId="0" fontId="2" fillId="0" borderId="0" xfId="0" applyFont="1"/>
    <xf numFmtId="14" fontId="2" fillId="0" borderId="0" xfId="0" applyNumberFormat="1" applyFont="1"/>
    <xf numFmtId="0" fontId="5" fillId="0" borderId="0" xfId="0" applyFont="1" applyAlignment="1">
      <alignment horizontal="left"/>
    </xf>
    <xf numFmtId="2" fontId="2" fillId="0" borderId="0" xfId="0" applyNumberFormat="1" applyFont="1"/>
    <xf numFmtId="0" fontId="4" fillId="0" borderId="1" xfId="0" applyFont="1" applyBorder="1"/>
    <xf numFmtId="4" fontId="2" fillId="0" borderId="0" xfId="0" applyNumberFormat="1" applyFont="1"/>
    <xf numFmtId="3" fontId="2" fillId="0" borderId="0" xfId="0" applyNumberFormat="1" applyFont="1"/>
    <xf numFmtId="0" fontId="3" fillId="3" borderId="1" xfId="0" applyFont="1" applyFill="1" applyBorder="1" applyAlignment="1">
      <alignment horizontal="center" vertical="center" wrapText="1"/>
    </xf>
    <xf numFmtId="0" fontId="3" fillId="3" borderId="1" xfId="0" quotePrefix="1" applyFont="1" applyFill="1" applyBorder="1" applyAlignment="1">
      <alignment vertical="center" wrapText="1"/>
    </xf>
    <xf numFmtId="4" fontId="4" fillId="0" borderId="1" xfId="0" applyNumberFormat="1" applyFont="1" applyBorder="1"/>
    <xf numFmtId="4" fontId="4" fillId="4" borderId="1" xfId="0" applyNumberFormat="1" applyFont="1" applyFill="1" applyBorder="1"/>
    <xf numFmtId="10" fontId="4" fillId="0" borderId="1" xfId="0" applyNumberFormat="1" applyFont="1" applyBorder="1"/>
    <xf numFmtId="0" fontId="6" fillId="0" borderId="0" xfId="0" applyFont="1"/>
    <xf numFmtId="0" fontId="7" fillId="0" borderId="0" xfId="0" applyFont="1"/>
    <xf numFmtId="0" fontId="8" fillId="0" borderId="0" xfId="0" applyFont="1"/>
    <xf numFmtId="0" fontId="4" fillId="0" borderId="0" xfId="0" applyFont="1"/>
    <xf numFmtId="4" fontId="4" fillId="2" borderId="1" xfId="0" applyNumberFormat="1" applyFont="1" applyFill="1" applyBorder="1"/>
    <xf numFmtId="49" fontId="3" fillId="3" borderId="1" xfId="0" applyNumberFormat="1" applyFont="1" applyFill="1" applyBorder="1" applyAlignment="1">
      <alignment vertical="center" wrapText="1"/>
    </xf>
    <xf numFmtId="49" fontId="3" fillId="3" borderId="1" xfId="0" quotePrefix="1" applyNumberFormat="1" applyFont="1" applyFill="1" applyBorder="1" applyAlignment="1">
      <alignment vertical="center" wrapText="1"/>
    </xf>
    <xf numFmtId="4" fontId="4" fillId="0" borderId="0" xfId="0" applyNumberFormat="1" applyFont="1"/>
    <xf numFmtId="0" fontId="9" fillId="0" borderId="0" xfId="0" applyFont="1"/>
    <xf numFmtId="4" fontId="10" fillId="0" borderId="0" xfId="0" applyNumberFormat="1" applyFont="1"/>
    <xf numFmtId="0" fontId="13" fillId="2" borderId="0" xfId="0" applyFont="1" applyFill="1" applyAlignment="1">
      <alignment horizontal="center"/>
    </xf>
    <xf numFmtId="164" fontId="14" fillId="2" borderId="0" xfId="1" applyNumberFormat="1" applyFont="1" applyFill="1" applyBorder="1" applyAlignment="1">
      <alignment horizontal="right"/>
    </xf>
    <xf numFmtId="0" fontId="13" fillId="2" borderId="2" xfId="0" applyFont="1" applyFill="1" applyBorder="1"/>
    <xf numFmtId="0" fontId="15" fillId="2" borderId="0" xfId="0" applyFont="1" applyFill="1"/>
    <xf numFmtId="0" fontId="15" fillId="6" borderId="3" xfId="0" applyFont="1" applyFill="1" applyBorder="1" applyAlignment="1">
      <alignment vertical="center"/>
    </xf>
    <xf numFmtId="0" fontId="13" fillId="2" borderId="0" xfId="0" applyFont="1" applyFill="1"/>
    <xf numFmtId="0" fontId="15" fillId="2" borderId="2" xfId="0" applyFont="1" applyFill="1" applyBorder="1"/>
    <xf numFmtId="0" fontId="17" fillId="6" borderId="0" xfId="0" applyFont="1" applyFill="1" applyAlignment="1">
      <alignment horizontal="right" vertical="center"/>
    </xf>
    <xf numFmtId="0" fontId="16" fillId="2" borderId="0" xfId="0" applyFont="1" applyFill="1" applyAlignment="1">
      <alignment vertical="center"/>
    </xf>
    <xf numFmtId="0" fontId="16" fillId="7" borderId="4" xfId="0" applyFont="1" applyFill="1" applyBorder="1" applyAlignment="1">
      <alignment vertical="center"/>
    </xf>
    <xf numFmtId="0" fontId="13" fillId="7" borderId="5" xfId="0" applyFont="1" applyFill="1" applyBorder="1"/>
    <xf numFmtId="165" fontId="17" fillId="8" borderId="4" xfId="0" applyNumberFormat="1" applyFont="1" applyFill="1" applyBorder="1" applyAlignment="1">
      <alignment vertical="center"/>
    </xf>
    <xf numFmtId="165" fontId="17" fillId="2" borderId="4" xfId="0" applyNumberFormat="1" applyFont="1" applyFill="1" applyBorder="1" applyAlignment="1">
      <alignment vertical="center"/>
    </xf>
    <xf numFmtId="165" fontId="17" fillId="2" borderId="5" xfId="0" applyNumberFormat="1" applyFont="1" applyFill="1" applyBorder="1" applyAlignment="1">
      <alignment vertical="center"/>
    </xf>
    <xf numFmtId="165" fontId="17" fillId="6" borderId="4" xfId="0" applyNumberFormat="1" applyFont="1" applyFill="1" applyBorder="1" applyAlignment="1">
      <alignment vertical="center"/>
    </xf>
    <xf numFmtId="0" fontId="17" fillId="2" borderId="0" xfId="0" applyFont="1" applyFill="1" applyAlignment="1">
      <alignment horizontal="center"/>
    </xf>
    <xf numFmtId="0" fontId="17" fillId="2" borderId="0" xfId="0" applyFont="1" applyFill="1"/>
    <xf numFmtId="0" fontId="17" fillId="2" borderId="2" xfId="0" applyFont="1" applyFill="1" applyBorder="1"/>
    <xf numFmtId="3" fontId="17" fillId="2" borderId="0" xfId="0" applyNumberFormat="1" applyFont="1" applyFill="1"/>
    <xf numFmtId="166" fontId="17" fillId="2" borderId="0" xfId="1" applyNumberFormat="1" applyFont="1" applyFill="1" applyBorder="1"/>
    <xf numFmtId="166" fontId="17" fillId="2" borderId="0" xfId="0" applyNumberFormat="1" applyFont="1" applyFill="1"/>
    <xf numFmtId="0" fontId="18" fillId="2" borderId="0" xfId="0" applyFont="1" applyFill="1" applyAlignment="1">
      <alignment horizontal="center"/>
    </xf>
    <xf numFmtId="0" fontId="18" fillId="2" borderId="0" xfId="0" applyFont="1" applyFill="1" applyAlignment="1">
      <alignment horizontal="left" indent="1"/>
    </xf>
    <xf numFmtId="0" fontId="18" fillId="2" borderId="2" xfId="0" applyFont="1" applyFill="1" applyBorder="1"/>
    <xf numFmtId="3" fontId="18" fillId="2" borderId="0" xfId="0" applyNumberFormat="1" applyFont="1" applyFill="1"/>
    <xf numFmtId="166" fontId="18" fillId="2" borderId="0" xfId="1" applyNumberFormat="1" applyFont="1" applyFill="1" applyBorder="1"/>
    <xf numFmtId="166" fontId="18" fillId="2" borderId="0" xfId="0" applyNumberFormat="1" applyFont="1" applyFill="1"/>
    <xf numFmtId="166" fontId="15" fillId="2" borderId="0" xfId="0" applyNumberFormat="1" applyFont="1" applyFill="1"/>
    <xf numFmtId="0" fontId="19" fillId="2" borderId="0" xfId="0" applyFont="1" applyFill="1" applyAlignment="1">
      <alignment horizontal="center"/>
    </xf>
    <xf numFmtId="0" fontId="19" fillId="2" borderId="0" xfId="0" quotePrefix="1" applyFont="1" applyFill="1" applyAlignment="1">
      <alignment horizontal="left" indent="2"/>
    </xf>
    <xf numFmtId="0" fontId="19" fillId="2" borderId="2" xfId="0" applyFont="1" applyFill="1" applyBorder="1"/>
    <xf numFmtId="3" fontId="19" fillId="2" borderId="0" xfId="0" applyNumberFormat="1" applyFont="1" applyFill="1"/>
    <xf numFmtId="166" fontId="19" fillId="9" borderId="0" xfId="0" applyNumberFormat="1" applyFont="1" applyFill="1"/>
    <xf numFmtId="166" fontId="19" fillId="9" borderId="0" xfId="1" applyNumberFormat="1" applyFont="1" applyFill="1" applyBorder="1"/>
    <xf numFmtId="166" fontId="19" fillId="9" borderId="2" xfId="1" applyNumberFormat="1" applyFont="1" applyFill="1" applyBorder="1"/>
    <xf numFmtId="166" fontId="19" fillId="2" borderId="0" xfId="0" applyNumberFormat="1" applyFont="1" applyFill="1"/>
    <xf numFmtId="0" fontId="19" fillId="2" borderId="0" xfId="0" applyFont="1" applyFill="1"/>
    <xf numFmtId="0" fontId="18" fillId="2" borderId="0" xfId="0" quotePrefix="1" applyFont="1" applyFill="1" applyAlignment="1">
      <alignment horizontal="left" indent="1"/>
    </xf>
    <xf numFmtId="0" fontId="15" fillId="2" borderId="0" xfId="0" applyFont="1" applyFill="1" applyAlignment="1">
      <alignment horizontal="center"/>
    </xf>
    <xf numFmtId="0" fontId="19" fillId="2" borderId="0" xfId="0" quotePrefix="1" applyFont="1" applyFill="1" applyAlignment="1">
      <alignment horizontal="left" indent="1"/>
    </xf>
    <xf numFmtId="3" fontId="15" fillId="2" borderId="0" xfId="0" applyNumberFormat="1" applyFont="1" applyFill="1"/>
    <xf numFmtId="166" fontId="15" fillId="9" borderId="0" xfId="0" applyNumberFormat="1" applyFont="1" applyFill="1"/>
    <xf numFmtId="166" fontId="15" fillId="9" borderId="0" xfId="1" applyNumberFormat="1" applyFont="1" applyFill="1" applyBorder="1"/>
    <xf numFmtId="0" fontId="20" fillId="2" borderId="0" xfId="0" applyFont="1" applyFill="1" applyAlignment="1">
      <alignment horizontal="center"/>
    </xf>
    <xf numFmtId="0" fontId="20" fillId="2" borderId="0" xfId="0" quotePrefix="1" applyFont="1" applyFill="1" applyAlignment="1">
      <alignment horizontal="left" indent="1"/>
    </xf>
    <xf numFmtId="0" fontId="20" fillId="2" borderId="2" xfId="0" applyFont="1" applyFill="1" applyBorder="1"/>
    <xf numFmtId="9" fontId="20" fillId="2" borderId="0" xfId="2" applyFont="1" applyFill="1" applyBorder="1"/>
    <xf numFmtId="166" fontId="20" fillId="9" borderId="0" xfId="2" applyNumberFormat="1" applyFont="1" applyFill="1" applyBorder="1"/>
    <xf numFmtId="166" fontId="20" fillId="2" borderId="0" xfId="2" applyNumberFormat="1" applyFont="1" applyFill="1" applyBorder="1"/>
    <xf numFmtId="166" fontId="20" fillId="2" borderId="0" xfId="0" applyNumberFormat="1" applyFont="1" applyFill="1"/>
    <xf numFmtId="0" fontId="20" fillId="2" borderId="0" xfId="0" applyFont="1" applyFill="1"/>
    <xf numFmtId="166" fontId="15" fillId="2" borderId="0" xfId="1" applyNumberFormat="1" applyFont="1" applyFill="1" applyBorder="1"/>
    <xf numFmtId="166" fontId="20" fillId="2" borderId="2" xfId="0" applyNumberFormat="1" applyFont="1" applyFill="1" applyBorder="1"/>
    <xf numFmtId="166" fontId="19" fillId="9" borderId="6" xfId="1" applyNumberFormat="1" applyFont="1" applyFill="1" applyBorder="1"/>
    <xf numFmtId="166" fontId="13" fillId="2" borderId="0" xfId="0" applyNumberFormat="1" applyFont="1" applyFill="1"/>
    <xf numFmtId="0" fontId="21" fillId="2" borderId="7" xfId="0" applyFont="1" applyFill="1" applyBorder="1" applyAlignment="1">
      <alignment horizontal="center"/>
    </xf>
    <xf numFmtId="0" fontId="21" fillId="2" borderId="7" xfId="0" applyFont="1" applyFill="1" applyBorder="1"/>
    <xf numFmtId="0" fontId="21" fillId="2" borderId="8" xfId="0" applyFont="1" applyFill="1" applyBorder="1"/>
    <xf numFmtId="166" fontId="21" fillId="2" borderId="7" xfId="0" applyNumberFormat="1" applyFont="1" applyFill="1" applyBorder="1"/>
    <xf numFmtId="166" fontId="13" fillId="2" borderId="2" xfId="0" applyNumberFormat="1" applyFont="1" applyFill="1" applyBorder="1"/>
    <xf numFmtId="0" fontId="16" fillId="7" borderId="0" xfId="0" applyFont="1" applyFill="1" applyAlignment="1">
      <alignment vertical="center"/>
    </xf>
    <xf numFmtId="0" fontId="13" fillId="7" borderId="2" xfId="0" applyFont="1" applyFill="1" applyBorder="1"/>
    <xf numFmtId="166" fontId="15" fillId="2" borderId="2" xfId="0" applyNumberFormat="1" applyFont="1" applyFill="1" applyBorder="1"/>
    <xf numFmtId="0" fontId="20" fillId="2" borderId="0" xfId="0" quotePrefix="1" applyFont="1" applyFill="1" applyAlignment="1">
      <alignment horizontal="left" indent="2"/>
    </xf>
    <xf numFmtId="166" fontId="20" fillId="9" borderId="0" xfId="0" applyNumberFormat="1" applyFont="1" applyFill="1"/>
    <xf numFmtId="166" fontId="20" fillId="9" borderId="0" xfId="1" applyNumberFormat="1" applyFont="1" applyFill="1" applyBorder="1"/>
    <xf numFmtId="0" fontId="15" fillId="2" borderId="7" xfId="0" applyFont="1" applyFill="1" applyBorder="1" applyAlignment="1">
      <alignment horizontal="center"/>
    </xf>
    <xf numFmtId="0" fontId="15" fillId="2" borderId="7" xfId="0" applyFont="1" applyFill="1" applyBorder="1"/>
    <xf numFmtId="0" fontId="15" fillId="2" borderId="8" xfId="0" applyFont="1" applyFill="1" applyBorder="1"/>
    <xf numFmtId="166" fontId="15" fillId="2" borderId="7" xfId="0" applyNumberFormat="1" applyFont="1" applyFill="1" applyBorder="1"/>
    <xf numFmtId="3" fontId="15" fillId="9" borderId="7" xfId="0" applyNumberFormat="1" applyFont="1" applyFill="1" applyBorder="1"/>
    <xf numFmtId="3" fontId="15" fillId="9" borderId="0" xfId="0" applyNumberFormat="1" applyFont="1" applyFill="1"/>
    <xf numFmtId="4" fontId="15" fillId="2" borderId="7" xfId="0" applyNumberFormat="1" applyFont="1" applyFill="1" applyBorder="1"/>
    <xf numFmtId="3" fontId="15" fillId="2" borderId="7" xfId="0" applyNumberFormat="1" applyFont="1" applyFill="1" applyBorder="1"/>
    <xf numFmtId="0" fontId="14" fillId="2" borderId="0" xfId="0" applyFont="1" applyFill="1" applyAlignment="1">
      <alignment horizontal="center"/>
    </xf>
    <xf numFmtId="0" fontId="16" fillId="5" borderId="0" xfId="0" applyFont="1" applyFill="1"/>
    <xf numFmtId="0" fontId="15" fillId="5" borderId="0" xfId="0" applyFont="1" applyFill="1" applyAlignment="1">
      <alignment vertical="center"/>
    </xf>
    <xf numFmtId="0" fontId="15" fillId="2" borderId="0" xfId="0" applyFont="1" applyFill="1" applyAlignment="1">
      <alignment vertical="center"/>
    </xf>
    <xf numFmtId="0" fontId="15" fillId="2" borderId="3" xfId="0" applyFont="1" applyFill="1" applyBorder="1" applyAlignment="1">
      <alignment vertical="center"/>
    </xf>
    <xf numFmtId="0" fontId="15" fillId="2" borderId="9" xfId="0" applyFont="1" applyFill="1" applyBorder="1" applyAlignment="1">
      <alignment vertical="center"/>
    </xf>
    <xf numFmtId="0" fontId="17" fillId="2" borderId="0" xfId="0" applyFont="1" applyFill="1" applyAlignment="1">
      <alignment horizontal="right" vertical="center"/>
    </xf>
    <xf numFmtId="0" fontId="17" fillId="2" borderId="2" xfId="0" applyFont="1" applyFill="1" applyBorder="1" applyAlignment="1">
      <alignment horizontal="right" vertical="center"/>
    </xf>
    <xf numFmtId="0" fontId="15" fillId="2" borderId="0" xfId="0" applyFont="1" applyFill="1" applyAlignment="1">
      <alignment horizontal="right" vertical="center"/>
    </xf>
    <xf numFmtId="0" fontId="22" fillId="10" borderId="4" xfId="0" applyFont="1" applyFill="1" applyBorder="1" applyAlignment="1">
      <alignment horizontal="center" vertical="center"/>
    </xf>
    <xf numFmtId="165" fontId="17" fillId="11" borderId="4" xfId="0" applyNumberFormat="1" applyFont="1" applyFill="1" applyBorder="1" applyAlignment="1">
      <alignment vertical="center"/>
    </xf>
    <xf numFmtId="0" fontId="17" fillId="2" borderId="4" xfId="0" applyFont="1" applyFill="1" applyBorder="1" applyAlignment="1">
      <alignment horizontal="center" vertical="center"/>
    </xf>
    <xf numFmtId="167" fontId="15" fillId="2" borderId="0" xfId="0" applyNumberFormat="1" applyFont="1" applyFill="1"/>
    <xf numFmtId="167" fontId="15" fillId="2" borderId="0" xfId="0" applyNumberFormat="1" applyFont="1" applyFill="1" applyAlignment="1">
      <alignment vertical="center"/>
    </xf>
    <xf numFmtId="167" fontId="15" fillId="2" borderId="10" xfId="0" applyNumberFormat="1" applyFont="1" applyFill="1" applyBorder="1" applyAlignment="1">
      <alignment vertical="center"/>
    </xf>
    <xf numFmtId="0" fontId="15" fillId="2" borderId="0" xfId="1" applyNumberFormat="1" applyFont="1" applyFill="1" applyBorder="1" applyAlignment="1">
      <alignment horizontal="center"/>
    </xf>
    <xf numFmtId="0" fontId="15" fillId="2" borderId="0" xfId="1" applyNumberFormat="1" applyFont="1" applyFill="1" applyBorder="1"/>
    <xf numFmtId="164" fontId="17" fillId="2" borderId="0" xfId="1" applyNumberFormat="1" applyFont="1" applyFill="1" applyBorder="1"/>
    <xf numFmtId="3" fontId="15" fillId="2" borderId="0" xfId="1" applyNumberFormat="1" applyFont="1" applyFill="1" applyBorder="1"/>
    <xf numFmtId="4" fontId="15" fillId="2" borderId="0" xfId="1" applyNumberFormat="1" applyFont="1" applyFill="1" applyBorder="1"/>
    <xf numFmtId="4" fontId="15" fillId="6" borderId="0" xfId="1" applyNumberFormat="1" applyFont="1" applyFill="1" applyBorder="1" applyAlignment="1">
      <alignment vertical="center"/>
    </xf>
    <xf numFmtId="3" fontId="15" fillId="6" borderId="0" xfId="1" applyNumberFormat="1" applyFont="1" applyFill="1" applyBorder="1" applyAlignment="1">
      <alignment vertical="center"/>
    </xf>
    <xf numFmtId="164" fontId="15" fillId="2" borderId="0" xfId="1" applyNumberFormat="1" applyFont="1" applyFill="1" applyBorder="1" applyAlignment="1">
      <alignment vertical="center"/>
    </xf>
    <xf numFmtId="0" fontId="15" fillId="2" borderId="0" xfId="1" applyNumberFormat="1" applyFont="1" applyFill="1" applyBorder="1" applyAlignment="1">
      <alignment vertical="center"/>
    </xf>
    <xf numFmtId="164" fontId="15" fillId="2" borderId="0" xfId="1" applyNumberFormat="1" applyFont="1" applyFill="1" applyBorder="1"/>
    <xf numFmtId="9" fontId="23" fillId="2" borderId="0" xfId="2" applyFont="1" applyFill="1" applyBorder="1" applyAlignment="1">
      <alignment horizontal="center"/>
    </xf>
    <xf numFmtId="9" fontId="23" fillId="2" borderId="0" xfId="2" applyFont="1" applyFill="1" applyBorder="1" applyAlignment="1">
      <alignment horizontal="left" indent="2"/>
    </xf>
    <xf numFmtId="9" fontId="23" fillId="2" borderId="0" xfId="2" applyFont="1" applyFill="1" applyBorder="1" applyAlignment="1">
      <alignment horizontal="right" vertical="center"/>
    </xf>
    <xf numFmtId="168" fontId="23" fillId="2" borderId="0" xfId="2" applyNumberFormat="1" applyFont="1" applyFill="1" applyBorder="1" applyAlignment="1">
      <alignment horizontal="right" vertical="center"/>
    </xf>
    <xf numFmtId="168" fontId="23" fillId="6" borderId="0" xfId="2" applyNumberFormat="1" applyFont="1" applyFill="1" applyBorder="1" applyAlignment="1">
      <alignment horizontal="right" vertical="center"/>
    </xf>
    <xf numFmtId="0" fontId="23" fillId="2" borderId="0" xfId="2" applyNumberFormat="1" applyFont="1" applyFill="1" applyBorder="1" applyAlignment="1">
      <alignment vertical="center"/>
    </xf>
    <xf numFmtId="9" fontId="23" fillId="2" borderId="0" xfId="2" applyFont="1" applyFill="1" applyBorder="1"/>
    <xf numFmtId="0" fontId="17" fillId="2" borderId="0" xfId="1" applyNumberFormat="1" applyFont="1" applyFill="1" applyBorder="1" applyAlignment="1">
      <alignment horizontal="center"/>
    </xf>
    <xf numFmtId="0" fontId="17" fillId="2" borderId="7" xfId="1" applyNumberFormat="1" applyFont="1" applyFill="1" applyBorder="1"/>
    <xf numFmtId="164" fontId="17" fillId="2" borderId="7" xfId="1" applyNumberFormat="1" applyFont="1" applyFill="1" applyBorder="1"/>
    <xf numFmtId="3" fontId="17" fillId="2" borderId="7" xfId="1" applyNumberFormat="1" applyFont="1" applyFill="1" applyBorder="1" applyAlignment="1">
      <alignment vertical="center"/>
    </xf>
    <xf numFmtId="4" fontId="17" fillId="2" borderId="7" xfId="1" applyNumberFormat="1" applyFont="1" applyFill="1" applyBorder="1" applyAlignment="1">
      <alignment vertical="center"/>
    </xf>
    <xf numFmtId="4" fontId="17" fillId="6" borderId="7" xfId="1" applyNumberFormat="1" applyFont="1" applyFill="1" applyBorder="1" applyAlignment="1">
      <alignment vertical="center"/>
    </xf>
    <xf numFmtId="3" fontId="17" fillId="6" borderId="7" xfId="1" applyNumberFormat="1" applyFont="1" applyFill="1" applyBorder="1" applyAlignment="1">
      <alignment vertical="center"/>
    </xf>
    <xf numFmtId="164" fontId="17" fillId="2" borderId="7" xfId="1" applyNumberFormat="1" applyFont="1" applyFill="1" applyBorder="1" applyAlignment="1">
      <alignment vertical="center"/>
    </xf>
    <xf numFmtId="0" fontId="15" fillId="2" borderId="7" xfId="1" applyNumberFormat="1" applyFont="1" applyFill="1" applyBorder="1" applyAlignment="1">
      <alignment vertical="center"/>
    </xf>
    <xf numFmtId="0" fontId="15" fillId="2" borderId="0" xfId="0" applyFont="1" applyFill="1" applyAlignment="1">
      <alignment horizontal="left" indent="3"/>
    </xf>
    <xf numFmtId="167" fontId="15" fillId="2" borderId="0" xfId="0" applyNumberFormat="1" applyFont="1" applyFill="1" applyAlignment="1">
      <alignment horizontal="left" indent="3"/>
    </xf>
    <xf numFmtId="3" fontId="15" fillId="2" borderId="0" xfId="2" applyNumberFormat="1" applyFont="1" applyFill="1" applyBorder="1" applyAlignment="1">
      <alignment vertical="center"/>
    </xf>
    <xf numFmtId="3" fontId="15" fillId="2" borderId="2" xfId="2" applyNumberFormat="1" applyFont="1" applyFill="1" applyBorder="1" applyAlignment="1">
      <alignment vertical="center"/>
    </xf>
    <xf numFmtId="167" fontId="15" fillId="2" borderId="0" xfId="2" applyNumberFormat="1" applyFont="1" applyFill="1" applyBorder="1" applyAlignment="1">
      <alignment vertical="center"/>
    </xf>
    <xf numFmtId="0" fontId="15" fillId="2" borderId="0" xfId="2" applyNumberFormat="1" applyFont="1" applyFill="1" applyBorder="1" applyAlignment="1">
      <alignment vertical="center"/>
    </xf>
    <xf numFmtId="0" fontId="15" fillId="2" borderId="0" xfId="0" applyFont="1" applyFill="1" applyAlignment="1">
      <alignment horizontal="left" indent="2"/>
    </xf>
    <xf numFmtId="168" fontId="15" fillId="2" borderId="0" xfId="2" applyNumberFormat="1" applyFont="1" applyFill="1" applyBorder="1" applyAlignment="1">
      <alignment vertical="center"/>
    </xf>
    <xf numFmtId="10" fontId="15" fillId="6" borderId="0" xfId="2" applyNumberFormat="1" applyFont="1" applyFill="1" applyBorder="1" applyAlignment="1">
      <alignment vertical="center"/>
    </xf>
    <xf numFmtId="168" fontId="15" fillId="6" borderId="0" xfId="2" applyNumberFormat="1" applyFont="1" applyFill="1" applyBorder="1" applyAlignment="1">
      <alignment vertical="center"/>
    </xf>
    <xf numFmtId="0" fontId="17" fillId="2" borderId="0" xfId="1" applyNumberFormat="1" applyFont="1" applyFill="1" applyBorder="1"/>
    <xf numFmtId="3" fontId="17" fillId="2" borderId="0" xfId="1" applyNumberFormat="1" applyFont="1" applyFill="1" applyBorder="1"/>
    <xf numFmtId="3" fontId="17" fillId="2" borderId="0" xfId="1" applyNumberFormat="1" applyFont="1" applyFill="1" applyBorder="1" applyAlignment="1">
      <alignment vertical="center"/>
    </xf>
    <xf numFmtId="3" fontId="17" fillId="2" borderId="2" xfId="1" applyNumberFormat="1" applyFont="1" applyFill="1" applyBorder="1" applyAlignment="1">
      <alignment vertical="center"/>
    </xf>
    <xf numFmtId="164" fontId="17" fillId="2" borderId="0" xfId="1" applyNumberFormat="1" applyFont="1" applyFill="1" applyBorder="1" applyAlignment="1">
      <alignment vertical="center"/>
    </xf>
    <xf numFmtId="0" fontId="15" fillId="2" borderId="0" xfId="1" applyNumberFormat="1" applyFont="1" applyFill="1" applyBorder="1" applyAlignment="1">
      <alignment horizontal="left"/>
    </xf>
    <xf numFmtId="3" fontId="15" fillId="2" borderId="0" xfId="1" applyNumberFormat="1" applyFont="1" applyFill="1" applyBorder="1" applyAlignment="1">
      <alignment vertical="center"/>
    </xf>
    <xf numFmtId="4" fontId="15" fillId="2" borderId="0" xfId="1" applyNumberFormat="1" applyFont="1" applyFill="1" applyBorder="1" applyAlignment="1">
      <alignment vertical="center"/>
    </xf>
    <xf numFmtId="0" fontId="23" fillId="2" borderId="0" xfId="0" applyFont="1" applyFill="1" applyAlignment="1">
      <alignment horizontal="center"/>
    </xf>
    <xf numFmtId="0" fontId="23" fillId="2" borderId="0" xfId="0" applyFont="1" applyFill="1" applyAlignment="1">
      <alignment horizontal="left" indent="2"/>
    </xf>
    <xf numFmtId="168" fontId="23" fillId="2" borderId="0" xfId="2" applyNumberFormat="1" applyFont="1" applyFill="1" applyBorder="1"/>
    <xf numFmtId="10" fontId="23" fillId="6" borderId="0" xfId="2" applyNumberFormat="1" applyFont="1" applyFill="1" applyBorder="1"/>
    <xf numFmtId="168" fontId="23" fillId="6" borderId="0" xfId="2" applyNumberFormat="1" applyFont="1" applyFill="1" applyBorder="1"/>
    <xf numFmtId="167" fontId="23" fillId="2" borderId="0" xfId="0" applyNumberFormat="1" applyFont="1" applyFill="1"/>
    <xf numFmtId="0" fontId="23" fillId="2" borderId="0" xfId="0" applyFont="1" applyFill="1"/>
    <xf numFmtId="3" fontId="17" fillId="2" borderId="7" xfId="1" applyNumberFormat="1" applyFont="1" applyFill="1" applyBorder="1"/>
    <xf numFmtId="4" fontId="17" fillId="2" borderId="7" xfId="1" applyNumberFormat="1" applyFont="1" applyFill="1" applyBorder="1"/>
    <xf numFmtId="4" fontId="17" fillId="6" borderId="7" xfId="1" applyNumberFormat="1" applyFont="1" applyFill="1" applyBorder="1"/>
    <xf numFmtId="3" fontId="17" fillId="6" borderId="7" xfId="1" applyNumberFormat="1" applyFont="1" applyFill="1" applyBorder="1"/>
    <xf numFmtId="3" fontId="15" fillId="2" borderId="0" xfId="0" applyNumberFormat="1" applyFont="1" applyFill="1" applyAlignment="1">
      <alignment vertical="center"/>
    </xf>
    <xf numFmtId="3" fontId="15" fillId="2" borderId="2" xfId="0" applyNumberFormat="1" applyFont="1" applyFill="1" applyBorder="1" applyAlignment="1">
      <alignment vertical="center"/>
    </xf>
    <xf numFmtId="4" fontId="15" fillId="6" borderId="0" xfId="1" applyNumberFormat="1" applyFont="1" applyFill="1" applyBorder="1"/>
    <xf numFmtId="3" fontId="15" fillId="6" borderId="0" xfId="1" applyNumberFormat="1" applyFont="1" applyFill="1" applyBorder="1"/>
    <xf numFmtId="9" fontId="14" fillId="2" borderId="0" xfId="2" applyFont="1" applyFill="1" applyBorder="1" applyAlignment="1">
      <alignment horizontal="center"/>
    </xf>
    <xf numFmtId="9" fontId="15" fillId="2" borderId="0" xfId="2" applyFont="1" applyFill="1" applyBorder="1" applyAlignment="1">
      <alignment horizontal="left" indent="2"/>
    </xf>
    <xf numFmtId="9" fontId="15" fillId="2" borderId="0" xfId="2" applyFont="1" applyFill="1" applyBorder="1" applyAlignment="1"/>
    <xf numFmtId="168" fontId="15" fillId="2" borderId="0" xfId="2" applyNumberFormat="1" applyFont="1" applyFill="1" applyBorder="1" applyAlignment="1"/>
    <xf numFmtId="10" fontId="15" fillId="6" borderId="0" xfId="2" applyNumberFormat="1" applyFont="1" applyFill="1" applyBorder="1" applyAlignment="1"/>
    <xf numFmtId="168" fontId="15" fillId="6" borderId="0" xfId="2" applyNumberFormat="1" applyFont="1" applyFill="1" applyBorder="1" applyAlignment="1"/>
    <xf numFmtId="9" fontId="15" fillId="2" borderId="0" xfId="2" applyFont="1" applyFill="1" applyBorder="1"/>
    <xf numFmtId="167" fontId="17" fillId="2" borderId="0" xfId="0" applyNumberFormat="1" applyFont="1" applyFill="1"/>
    <xf numFmtId="3" fontId="17" fillId="2" borderId="0" xfId="0" applyNumberFormat="1" applyFont="1" applyFill="1" applyAlignment="1">
      <alignment vertical="center"/>
    </xf>
    <xf numFmtId="3" fontId="17" fillId="2" borderId="2" xfId="0" applyNumberFormat="1" applyFont="1" applyFill="1" applyBorder="1" applyAlignment="1">
      <alignment vertical="center"/>
    </xf>
    <xf numFmtId="167" fontId="17" fillId="2" borderId="0" xfId="0" applyNumberFormat="1" applyFont="1" applyFill="1" applyAlignment="1">
      <alignment vertical="center"/>
    </xf>
    <xf numFmtId="0" fontId="15" fillId="2" borderId="0" xfId="1" applyNumberFormat="1" applyFont="1" applyFill="1" applyBorder="1" applyAlignment="1">
      <alignment horizontal="left" indent="2"/>
    </xf>
    <xf numFmtId="164" fontId="15" fillId="2" borderId="0" xfId="1" applyNumberFormat="1" applyFont="1" applyFill="1" applyBorder="1" applyAlignment="1"/>
    <xf numFmtId="3" fontId="15" fillId="2" borderId="0" xfId="1" applyNumberFormat="1" applyFont="1" applyFill="1" applyBorder="1" applyAlignment="1"/>
    <xf numFmtId="4" fontId="15" fillId="2" borderId="0" xfId="1" applyNumberFormat="1" applyFont="1" applyFill="1" applyBorder="1" applyAlignment="1"/>
    <xf numFmtId="9" fontId="15" fillId="2" borderId="0" xfId="2" applyFont="1" applyFill="1" applyBorder="1" applyAlignment="1">
      <alignment horizontal="center"/>
    </xf>
    <xf numFmtId="9" fontId="15" fillId="2" borderId="0" xfId="2" applyFont="1" applyFill="1" applyBorder="1" applyAlignment="1">
      <alignment horizontal="left" indent="5"/>
    </xf>
    <xf numFmtId="0" fontId="17" fillId="2" borderId="7" xfId="1" applyNumberFormat="1" applyFont="1" applyFill="1" applyBorder="1" applyAlignment="1">
      <alignment horizontal="left" indent="2"/>
    </xf>
    <xf numFmtId="0" fontId="15" fillId="2" borderId="0" xfId="2" applyNumberFormat="1" applyFont="1" applyFill="1" applyBorder="1" applyAlignment="1">
      <alignment horizontal="center"/>
    </xf>
    <xf numFmtId="0" fontId="15" fillId="2" borderId="0" xfId="2" applyNumberFormat="1" applyFont="1" applyFill="1" applyBorder="1" applyAlignment="1">
      <alignment horizontal="left" indent="6"/>
    </xf>
    <xf numFmtId="3" fontId="15" fillId="2" borderId="0" xfId="2" applyNumberFormat="1" applyFont="1" applyFill="1" applyBorder="1" applyAlignment="1"/>
    <xf numFmtId="3" fontId="15" fillId="2" borderId="2" xfId="2" applyNumberFormat="1" applyFont="1" applyFill="1" applyBorder="1" applyAlignment="1"/>
    <xf numFmtId="168" fontId="15" fillId="2" borderId="0" xfId="2" applyNumberFormat="1" applyFont="1" applyFill="1" applyBorder="1"/>
    <xf numFmtId="9" fontId="15" fillId="2" borderId="0" xfId="2" applyFont="1" applyFill="1" applyBorder="1" applyAlignment="1">
      <alignment horizontal="left" indent="3"/>
    </xf>
    <xf numFmtId="9" fontId="15" fillId="2" borderId="0" xfId="2" applyFont="1" applyFill="1" applyBorder="1" applyAlignment="1">
      <alignment vertical="center"/>
    </xf>
    <xf numFmtId="10" fontId="15" fillId="2" borderId="0" xfId="2" applyNumberFormat="1" applyFont="1" applyFill="1" applyBorder="1" applyAlignment="1">
      <alignment vertical="center"/>
    </xf>
    <xf numFmtId="3" fontId="15" fillId="2" borderId="0" xfId="2" applyNumberFormat="1" applyFont="1" applyFill="1" applyBorder="1" applyAlignment="1">
      <alignment horizontal="right" vertical="center"/>
    </xf>
    <xf numFmtId="3" fontId="15" fillId="2" borderId="2" xfId="2" applyNumberFormat="1" applyFont="1" applyFill="1" applyBorder="1" applyAlignment="1">
      <alignment horizontal="right" vertical="center"/>
    </xf>
    <xf numFmtId="167" fontId="15" fillId="2" borderId="0" xfId="2" applyNumberFormat="1" applyFont="1" applyFill="1" applyBorder="1" applyAlignment="1">
      <alignment horizontal="right" vertical="center"/>
    </xf>
    <xf numFmtId="0" fontId="15" fillId="2" borderId="0" xfId="2" applyNumberFormat="1" applyFont="1" applyFill="1" applyBorder="1" applyAlignment="1">
      <alignment horizontal="right" vertical="center"/>
    </xf>
    <xf numFmtId="43" fontId="15" fillId="2" borderId="0" xfId="1" applyFont="1" applyFill="1" applyBorder="1"/>
    <xf numFmtId="10" fontId="23" fillId="2" borderId="0" xfId="2" applyNumberFormat="1" applyFont="1" applyFill="1" applyBorder="1"/>
    <xf numFmtId="168" fontId="15" fillId="6" borderId="0" xfId="2" applyNumberFormat="1" applyFont="1" applyFill="1" applyBorder="1"/>
    <xf numFmtId="4" fontId="15" fillId="6" borderId="0" xfId="0" applyNumberFormat="1" applyFont="1" applyFill="1"/>
    <xf numFmtId="3" fontId="15" fillId="6" borderId="0" xfId="0" applyNumberFormat="1" applyFont="1" applyFill="1"/>
    <xf numFmtId="10" fontId="15" fillId="6" borderId="0" xfId="2" applyNumberFormat="1" applyFont="1" applyFill="1" applyBorder="1"/>
    <xf numFmtId="9" fontId="15" fillId="6" borderId="0" xfId="2" applyFont="1" applyFill="1" applyBorder="1"/>
    <xf numFmtId="9" fontId="15" fillId="2" borderId="2" xfId="2" applyFont="1" applyFill="1" applyBorder="1"/>
    <xf numFmtId="0" fontId="17" fillId="2" borderId="7" xfId="0" applyFont="1" applyFill="1" applyBorder="1"/>
    <xf numFmtId="167" fontId="17" fillId="2" borderId="7" xfId="0" applyNumberFormat="1" applyFont="1" applyFill="1" applyBorder="1"/>
    <xf numFmtId="3" fontId="17" fillId="2" borderId="7" xfId="0" applyNumberFormat="1" applyFont="1" applyFill="1" applyBorder="1"/>
    <xf numFmtId="4" fontId="17" fillId="2" borderId="7" xfId="0" applyNumberFormat="1" applyFont="1" applyFill="1" applyBorder="1"/>
    <xf numFmtId="167" fontId="17" fillId="2" borderId="7" xfId="1" applyNumberFormat="1" applyFont="1" applyFill="1" applyBorder="1" applyAlignment="1">
      <alignment vertical="center"/>
    </xf>
    <xf numFmtId="167" fontId="15" fillId="2" borderId="0" xfId="1" applyNumberFormat="1" applyFont="1" applyFill="1" applyBorder="1"/>
    <xf numFmtId="3" fontId="15" fillId="2" borderId="2" xfId="1" applyNumberFormat="1" applyFont="1" applyFill="1" applyBorder="1"/>
    <xf numFmtId="4" fontId="15" fillId="2" borderId="0" xfId="0" applyNumberFormat="1" applyFont="1" applyFill="1" applyAlignment="1">
      <alignment vertical="center"/>
    </xf>
    <xf numFmtId="4" fontId="15" fillId="2" borderId="0" xfId="0" applyNumberFormat="1" applyFont="1" applyFill="1"/>
    <xf numFmtId="4" fontId="15" fillId="8" borderId="0" xfId="0" applyNumberFormat="1" applyFont="1" applyFill="1" applyAlignment="1">
      <alignment vertical="center"/>
    </xf>
    <xf numFmtId="3" fontId="15" fillId="8" borderId="0" xfId="0" applyNumberFormat="1" applyFont="1" applyFill="1" applyAlignment="1">
      <alignment vertical="center"/>
    </xf>
    <xf numFmtId="0" fontId="15" fillId="2" borderId="0" xfId="0" applyFont="1" applyFill="1" applyAlignment="1">
      <alignment wrapText="1"/>
    </xf>
    <xf numFmtId="3" fontId="15" fillId="6" borderId="0" xfId="0" applyNumberFormat="1" applyFont="1" applyFill="1" applyAlignment="1">
      <alignment vertical="center"/>
    </xf>
    <xf numFmtId="0" fontId="15" fillId="2" borderId="7" xfId="1" applyNumberFormat="1" applyFont="1" applyFill="1" applyBorder="1" applyAlignment="1">
      <alignment wrapText="1"/>
    </xf>
    <xf numFmtId="0" fontId="24" fillId="2" borderId="0" xfId="0" applyFont="1" applyFill="1"/>
    <xf numFmtId="10" fontId="15" fillId="2" borderId="0" xfId="2" applyNumberFormat="1" applyFont="1" applyFill="1" applyBorder="1" applyAlignment="1"/>
    <xf numFmtId="4" fontId="15" fillId="6" borderId="0" xfId="0" applyNumberFormat="1" applyFont="1" applyFill="1" applyAlignment="1">
      <alignment vertical="center"/>
    </xf>
    <xf numFmtId="4" fontId="25" fillId="2" borderId="0" xfId="1" applyNumberFormat="1" applyFont="1" applyFill="1" applyBorder="1" applyAlignment="1">
      <alignment vertical="center"/>
    </xf>
    <xf numFmtId="167" fontId="15" fillId="2" borderId="0" xfId="1" applyNumberFormat="1" applyFont="1" applyFill="1" applyBorder="1" applyAlignment="1">
      <alignment vertical="center"/>
    </xf>
    <xf numFmtId="0" fontId="26" fillId="2" borderId="0" xfId="0" applyFont="1" applyFill="1" applyAlignment="1">
      <alignment horizontal="left" indent="5"/>
    </xf>
    <xf numFmtId="0" fontId="20" fillId="2" borderId="0" xfId="0" applyFont="1" applyFill="1" applyAlignment="1">
      <alignment horizontal="left" indent="5"/>
    </xf>
    <xf numFmtId="167" fontId="20" fillId="2" borderId="0" xfId="0" applyNumberFormat="1" applyFont="1" applyFill="1"/>
    <xf numFmtId="3" fontId="20" fillId="2" borderId="0" xfId="2" applyNumberFormat="1" applyFont="1" applyFill="1" applyBorder="1" applyAlignment="1">
      <alignment vertical="center"/>
    </xf>
    <xf numFmtId="4" fontId="20" fillId="2" borderId="0" xfId="2" applyNumberFormat="1" applyFont="1" applyFill="1" applyBorder="1" applyAlignment="1">
      <alignment vertical="center"/>
    </xf>
    <xf numFmtId="4" fontId="20" fillId="6" borderId="0" xfId="1" applyNumberFormat="1" applyFont="1" applyFill="1" applyBorder="1" applyAlignment="1">
      <alignment vertical="center"/>
    </xf>
    <xf numFmtId="3" fontId="20" fillId="6" borderId="0" xfId="1" applyNumberFormat="1" applyFont="1" applyFill="1" applyBorder="1" applyAlignment="1">
      <alignment vertical="center"/>
    </xf>
    <xf numFmtId="167" fontId="20" fillId="2" borderId="0" xfId="1" applyNumberFormat="1" applyFont="1" applyFill="1" applyBorder="1" applyAlignment="1">
      <alignment vertical="center"/>
    </xf>
    <xf numFmtId="0" fontId="20" fillId="2" borderId="0" xfId="0" applyFont="1" applyFill="1" applyAlignment="1">
      <alignment vertical="center"/>
    </xf>
    <xf numFmtId="3" fontId="20" fillId="2" borderId="0" xfId="1" applyNumberFormat="1" applyFont="1" applyFill="1" applyBorder="1" applyAlignment="1">
      <alignment vertical="center"/>
    </xf>
    <xf numFmtId="4" fontId="20" fillId="2" borderId="0" xfId="1" applyNumberFormat="1" applyFont="1" applyFill="1" applyBorder="1" applyAlignment="1">
      <alignment vertical="center"/>
    </xf>
    <xf numFmtId="4" fontId="15" fillId="2" borderId="0" xfId="2" applyNumberFormat="1" applyFont="1" applyFill="1" applyBorder="1" applyAlignment="1">
      <alignment vertical="center"/>
    </xf>
    <xf numFmtId="4" fontId="15" fillId="8" borderId="0" xfId="1" applyNumberFormat="1" applyFont="1" applyFill="1" applyBorder="1" applyAlignment="1">
      <alignment vertical="center"/>
    </xf>
    <xf numFmtId="3" fontId="15" fillId="8" borderId="0" xfId="1" applyNumberFormat="1" applyFont="1" applyFill="1" applyBorder="1" applyAlignment="1">
      <alignment vertical="center"/>
    </xf>
    <xf numFmtId="3" fontId="17" fillId="2" borderId="0" xfId="2" applyNumberFormat="1" applyFont="1" applyFill="1" applyBorder="1" applyAlignment="1">
      <alignment vertical="center"/>
    </xf>
    <xf numFmtId="0" fontId="15" fillId="2" borderId="0" xfId="0" applyFont="1" applyFill="1" applyAlignment="1">
      <alignment horizontal="left" indent="1"/>
    </xf>
    <xf numFmtId="0" fontId="25" fillId="2" borderId="0" xfId="1" applyNumberFormat="1" applyFont="1" applyFill="1" applyBorder="1" applyAlignment="1">
      <alignment wrapText="1"/>
    </xf>
    <xf numFmtId="0" fontId="20" fillId="2" borderId="0" xfId="0" applyFont="1" applyFill="1" applyAlignment="1">
      <alignment horizontal="left" indent="3"/>
    </xf>
    <xf numFmtId="3" fontId="20" fillId="2" borderId="0" xfId="0" applyNumberFormat="1" applyFont="1" applyFill="1" applyAlignment="1">
      <alignment vertical="center"/>
    </xf>
    <xf numFmtId="3" fontId="20" fillId="2" borderId="2" xfId="1" applyNumberFormat="1" applyFont="1" applyFill="1" applyBorder="1" applyAlignment="1">
      <alignment vertical="center"/>
    </xf>
    <xf numFmtId="4" fontId="20" fillId="2" borderId="0" xfId="0" applyNumberFormat="1" applyFont="1" applyFill="1" applyAlignment="1">
      <alignment vertical="center"/>
    </xf>
    <xf numFmtId="169" fontId="20" fillId="2" borderId="0" xfId="1" applyNumberFormat="1" applyFont="1" applyFill="1" applyBorder="1" applyAlignment="1">
      <alignment vertical="center"/>
    </xf>
    <xf numFmtId="169" fontId="20" fillId="2" borderId="2" xfId="1" applyNumberFormat="1" applyFont="1" applyFill="1" applyBorder="1" applyAlignment="1">
      <alignment vertical="center"/>
    </xf>
    <xf numFmtId="169" fontId="20" fillId="6" borderId="0" xfId="1" applyNumberFormat="1" applyFont="1" applyFill="1" applyBorder="1" applyAlignment="1">
      <alignment vertical="center"/>
    </xf>
    <xf numFmtId="0" fontId="15" fillId="2" borderId="11" xfId="0" applyFont="1" applyFill="1" applyBorder="1" applyAlignment="1">
      <alignment vertical="center"/>
    </xf>
    <xf numFmtId="10" fontId="17" fillId="2" borderId="0" xfId="1" applyNumberFormat="1" applyFont="1" applyFill="1" applyBorder="1" applyAlignment="1">
      <alignment vertical="center"/>
    </xf>
    <xf numFmtId="167" fontId="17" fillId="2" borderId="0" xfId="1" applyNumberFormat="1" applyFont="1" applyFill="1" applyBorder="1" applyAlignment="1">
      <alignment vertical="center"/>
    </xf>
    <xf numFmtId="170" fontId="15" fillId="2" borderId="0" xfId="1" applyNumberFormat="1" applyFont="1" applyFill="1" applyBorder="1"/>
    <xf numFmtId="10" fontId="15" fillId="2" borderId="0" xfId="2" applyNumberFormat="1" applyFont="1" applyFill="1" applyBorder="1"/>
    <xf numFmtId="10" fontId="15" fillId="8" borderId="0" xfId="2" applyNumberFormat="1" applyFont="1" applyFill="1" applyBorder="1" applyAlignment="1">
      <alignment vertical="center"/>
    </xf>
    <xf numFmtId="9" fontId="15" fillId="6" borderId="0" xfId="2" applyFont="1" applyFill="1" applyBorder="1" applyAlignment="1">
      <alignment vertical="center"/>
    </xf>
    <xf numFmtId="0" fontId="14" fillId="2" borderId="0" xfId="1" applyNumberFormat="1" applyFont="1" applyFill="1" applyBorder="1" applyAlignment="1">
      <alignment horizontal="center"/>
    </xf>
    <xf numFmtId="171" fontId="15" fillId="2" borderId="0" xfId="0" applyNumberFormat="1" applyFont="1" applyFill="1"/>
    <xf numFmtId="10" fontId="23" fillId="2" borderId="0" xfId="2" applyNumberFormat="1" applyFont="1" applyFill="1" applyBorder="1" applyAlignment="1">
      <alignment vertical="center"/>
    </xf>
    <xf numFmtId="10" fontId="23" fillId="6" borderId="0" xfId="2" applyNumberFormat="1" applyFont="1" applyFill="1" applyBorder="1" applyAlignment="1">
      <alignment vertical="center"/>
    </xf>
    <xf numFmtId="164" fontId="15" fillId="2" borderId="7" xfId="1" applyNumberFormat="1" applyFont="1" applyFill="1" applyBorder="1"/>
    <xf numFmtId="3" fontId="15" fillId="2" borderId="7" xfId="1" applyNumberFormat="1" applyFont="1" applyFill="1" applyBorder="1"/>
    <xf numFmtId="3" fontId="15" fillId="6" borderId="7" xfId="1" applyNumberFormat="1" applyFont="1" applyFill="1" applyBorder="1"/>
    <xf numFmtId="0" fontId="19" fillId="2" borderId="0" xfId="1" applyNumberFormat="1" applyFont="1" applyFill="1" applyBorder="1" applyAlignment="1">
      <alignment horizontal="left" indent="2"/>
    </xf>
    <xf numFmtId="9" fontId="19" fillId="2" borderId="0" xfId="2" applyFont="1" applyFill="1" applyBorder="1"/>
    <xf numFmtId="2" fontId="15" fillId="2" borderId="0" xfId="0" applyNumberFormat="1" applyFont="1" applyFill="1"/>
    <xf numFmtId="0" fontId="15" fillId="2" borderId="0" xfId="0" applyFont="1" applyFill="1" applyAlignment="1">
      <alignment vertical="center" wrapText="1"/>
    </xf>
    <xf numFmtId="10" fontId="15" fillId="8" borderId="0" xfId="2" applyNumberFormat="1" applyFont="1" applyFill="1" applyBorder="1"/>
    <xf numFmtId="168" fontId="15" fillId="8" borderId="0" xfId="2" applyNumberFormat="1" applyFont="1" applyFill="1" applyBorder="1"/>
    <xf numFmtId="0" fontId="15" fillId="2" borderId="11" xfId="2" applyNumberFormat="1" applyFont="1" applyFill="1" applyBorder="1" applyAlignment="1">
      <alignment vertical="center" wrapText="1"/>
    </xf>
    <xf numFmtId="168" fontId="23" fillId="2" borderId="0" xfId="2" applyNumberFormat="1" applyFont="1" applyFill="1" applyBorder="1" applyAlignment="1">
      <alignment vertical="center"/>
    </xf>
    <xf numFmtId="168" fontId="23" fillId="6" borderId="0" xfId="2" applyNumberFormat="1" applyFont="1" applyFill="1" applyBorder="1" applyAlignment="1">
      <alignment vertical="center"/>
    </xf>
    <xf numFmtId="9" fontId="23" fillId="2" borderId="0" xfId="2" applyFont="1" applyFill="1" applyBorder="1" applyAlignment="1">
      <alignment vertical="center"/>
    </xf>
    <xf numFmtId="167" fontId="17" fillId="2" borderId="7" xfId="1" applyNumberFormat="1" applyFont="1" applyFill="1" applyBorder="1"/>
    <xf numFmtId="167" fontId="17" fillId="2" borderId="0" xfId="1" applyNumberFormat="1" applyFont="1" applyFill="1" applyBorder="1"/>
    <xf numFmtId="170" fontId="17" fillId="2" borderId="0" xfId="1" applyNumberFormat="1" applyFont="1" applyFill="1" applyBorder="1"/>
    <xf numFmtId="0" fontId="19" fillId="2" borderId="0" xfId="1" applyNumberFormat="1" applyFont="1" applyFill="1" applyBorder="1" applyAlignment="1">
      <alignment horizontal="center"/>
    </xf>
    <xf numFmtId="0" fontId="19" fillId="2" borderId="0" xfId="1" applyNumberFormat="1" applyFont="1" applyFill="1" applyBorder="1"/>
    <xf numFmtId="167" fontId="19" fillId="2" borderId="0" xfId="1" applyNumberFormat="1" applyFont="1" applyFill="1" applyBorder="1"/>
    <xf numFmtId="3" fontId="19" fillId="2" borderId="0" xfId="1" applyNumberFormat="1" applyFont="1" applyFill="1" applyBorder="1"/>
    <xf numFmtId="9" fontId="19" fillId="2" borderId="2" xfId="2" applyFont="1" applyFill="1" applyBorder="1"/>
    <xf numFmtId="9" fontId="19" fillId="6" borderId="0" xfId="2" applyFont="1" applyFill="1" applyBorder="1"/>
    <xf numFmtId="0" fontId="19" fillId="2" borderId="0" xfId="1" applyNumberFormat="1" applyFont="1" applyFill="1" applyBorder="1" applyAlignment="1">
      <alignment vertical="center"/>
    </xf>
    <xf numFmtId="170" fontId="19" fillId="2" borderId="0" xfId="1" applyNumberFormat="1" applyFont="1" applyFill="1" applyBorder="1"/>
    <xf numFmtId="0" fontId="27" fillId="2" borderId="0" xfId="2" applyNumberFormat="1" applyFont="1" applyFill="1" applyBorder="1" applyAlignment="1">
      <alignment horizontal="center"/>
    </xf>
    <xf numFmtId="0" fontId="27" fillId="2" borderId="0" xfId="2" applyNumberFormat="1" applyFont="1" applyFill="1" applyBorder="1"/>
    <xf numFmtId="167" fontId="27" fillId="2" borderId="0" xfId="2" applyNumberFormat="1" applyFont="1" applyFill="1" applyBorder="1"/>
    <xf numFmtId="3" fontId="27" fillId="2" borderId="0" xfId="2" applyNumberFormat="1" applyFont="1" applyFill="1" applyBorder="1"/>
    <xf numFmtId="4" fontId="27" fillId="6" borderId="0" xfId="2" applyNumberFormat="1" applyFont="1" applyFill="1" applyBorder="1"/>
    <xf numFmtId="4" fontId="27" fillId="2" borderId="0" xfId="2" applyNumberFormat="1" applyFont="1" applyFill="1" applyBorder="1"/>
    <xf numFmtId="0" fontId="27" fillId="2" borderId="0" xfId="2" applyNumberFormat="1" applyFont="1" applyFill="1" applyBorder="1" applyAlignment="1">
      <alignment vertical="center"/>
    </xf>
    <xf numFmtId="168" fontId="27" fillId="2" borderId="0" xfId="2" applyNumberFormat="1" applyFont="1" applyFill="1" applyBorder="1"/>
    <xf numFmtId="167" fontId="17" fillId="2" borderId="2" xfId="1" applyNumberFormat="1" applyFont="1" applyFill="1" applyBorder="1"/>
    <xf numFmtId="167" fontId="15" fillId="2" borderId="2" xfId="0" applyNumberFormat="1" applyFont="1" applyFill="1" applyBorder="1" applyAlignment="1">
      <alignment vertical="center"/>
    </xf>
    <xf numFmtId="3" fontId="15" fillId="2" borderId="2" xfId="1" applyNumberFormat="1" applyFont="1" applyFill="1" applyBorder="1" applyAlignment="1">
      <alignment vertical="center"/>
    </xf>
    <xf numFmtId="0" fontId="28" fillId="2" borderId="0" xfId="0" applyFont="1" applyFill="1" applyAlignment="1">
      <alignment horizontal="center"/>
    </xf>
    <xf numFmtId="0" fontId="17" fillId="2" borderId="0" xfId="0" applyFont="1" applyFill="1" applyAlignment="1">
      <alignment vertical="center"/>
    </xf>
    <xf numFmtId="3" fontId="15" fillId="2" borderId="2" xfId="0" applyNumberFormat="1" applyFont="1" applyFill="1" applyBorder="1"/>
    <xf numFmtId="3" fontId="17" fillId="2" borderId="7" xfId="0" applyNumberFormat="1" applyFont="1" applyFill="1" applyBorder="1" applyAlignment="1">
      <alignment vertical="center"/>
    </xf>
    <xf numFmtId="3" fontId="17" fillId="2" borderId="8" xfId="0" applyNumberFormat="1" applyFont="1" applyFill="1" applyBorder="1" applyAlignment="1">
      <alignment vertical="center"/>
    </xf>
    <xf numFmtId="3" fontId="17" fillId="6" borderId="7" xfId="0" applyNumberFormat="1" applyFont="1" applyFill="1" applyBorder="1" applyAlignment="1">
      <alignment vertical="center"/>
    </xf>
    <xf numFmtId="167" fontId="17" fillId="2" borderId="7" xfId="0" applyNumberFormat="1" applyFont="1" applyFill="1" applyBorder="1" applyAlignment="1">
      <alignment vertical="center"/>
    </xf>
    <xf numFmtId="0" fontId="17" fillId="2" borderId="7" xfId="0" applyFont="1" applyFill="1" applyBorder="1" applyAlignment="1">
      <alignment vertical="center"/>
    </xf>
    <xf numFmtId="0" fontId="17" fillId="2" borderId="0" xfId="0" applyFont="1" applyFill="1" applyAlignment="1">
      <alignment horizontal="left" indent="2"/>
    </xf>
    <xf numFmtId="3" fontId="17" fillId="2" borderId="0" xfId="1" applyNumberFormat="1" applyFont="1" applyFill="1" applyBorder="1" applyAlignment="1">
      <alignment horizontal="center" vertical="center"/>
    </xf>
    <xf numFmtId="3" fontId="17" fillId="2" borderId="0" xfId="1" applyNumberFormat="1" applyFont="1" applyFill="1" applyBorder="1" applyAlignment="1">
      <alignment horizontal="right" vertical="center"/>
    </xf>
    <xf numFmtId="166" fontId="17" fillId="2" borderId="0" xfId="1" applyNumberFormat="1" applyFont="1" applyFill="1" applyBorder="1" applyAlignment="1">
      <alignment horizontal="right" vertical="center"/>
    </xf>
    <xf numFmtId="3" fontId="17" fillId="6" borderId="0" xfId="1" applyNumberFormat="1" applyFont="1" applyFill="1" applyBorder="1" applyAlignment="1">
      <alignment horizontal="right" vertical="center"/>
    </xf>
    <xf numFmtId="0" fontId="17" fillId="2" borderId="0" xfId="0" applyFont="1" applyFill="1" applyAlignment="1">
      <alignment horizontal="center" vertical="center"/>
    </xf>
    <xf numFmtId="0" fontId="29" fillId="2" borderId="0" xfId="0" applyFont="1" applyFill="1" applyAlignment="1">
      <alignment horizontal="center"/>
    </xf>
    <xf numFmtId="0" fontId="29" fillId="2" borderId="0" xfId="0" applyFont="1" applyFill="1" applyAlignment="1">
      <alignment horizontal="left" indent="2"/>
    </xf>
    <xf numFmtId="0" fontId="29" fillId="2" borderId="0" xfId="0" applyFont="1" applyFill="1"/>
    <xf numFmtId="167" fontId="29" fillId="2" borderId="0" xfId="0" applyNumberFormat="1" applyFont="1" applyFill="1"/>
    <xf numFmtId="9" fontId="29" fillId="2" borderId="0" xfId="2" applyFont="1" applyFill="1" applyBorder="1" applyAlignment="1">
      <alignment vertical="center"/>
    </xf>
    <xf numFmtId="9" fontId="29" fillId="2" borderId="2" xfId="2" applyFont="1" applyFill="1" applyBorder="1" applyAlignment="1">
      <alignment vertical="center"/>
    </xf>
    <xf numFmtId="167" fontId="29" fillId="2" borderId="0" xfId="0" applyNumberFormat="1" applyFont="1" applyFill="1" applyAlignment="1">
      <alignment vertical="center"/>
    </xf>
    <xf numFmtId="0" fontId="29" fillId="2" borderId="0" xfId="0" applyFont="1" applyFill="1" applyAlignment="1">
      <alignment vertical="center"/>
    </xf>
    <xf numFmtId="0" fontId="15" fillId="2" borderId="0" xfId="2" applyNumberFormat="1" applyFont="1" applyFill="1" applyBorder="1" applyAlignment="1">
      <alignment vertical="center" wrapText="1"/>
    </xf>
    <xf numFmtId="9" fontId="15" fillId="8" borderId="0" xfId="2" applyFont="1" applyFill="1" applyBorder="1" applyAlignment="1">
      <alignment vertical="center"/>
    </xf>
    <xf numFmtId="167" fontId="15" fillId="2" borderId="2" xfId="1" applyNumberFormat="1" applyFont="1" applyFill="1" applyBorder="1" applyAlignment="1">
      <alignment vertical="center"/>
    </xf>
    <xf numFmtId="167" fontId="15" fillId="6" borderId="0" xfId="1" applyNumberFormat="1" applyFont="1" applyFill="1" applyBorder="1" applyAlignment="1">
      <alignment vertical="center"/>
    </xf>
    <xf numFmtId="167" fontId="17" fillId="2" borderId="8" xfId="0" applyNumberFormat="1" applyFont="1" applyFill="1" applyBorder="1" applyAlignment="1">
      <alignment vertical="center"/>
    </xf>
    <xf numFmtId="167" fontId="17" fillId="6" borderId="7" xfId="0" applyNumberFormat="1" applyFont="1" applyFill="1" applyBorder="1" applyAlignment="1">
      <alignment vertical="center"/>
    </xf>
    <xf numFmtId="0" fontId="15" fillId="2" borderId="7" xfId="0" applyFont="1" applyFill="1" applyBorder="1" applyAlignment="1">
      <alignment vertical="center"/>
    </xf>
    <xf numFmtId="167" fontId="15" fillId="6" borderId="0" xfId="0" applyNumberFormat="1" applyFont="1" applyFill="1" applyAlignment="1">
      <alignment vertical="center"/>
    </xf>
    <xf numFmtId="167" fontId="17" fillId="2" borderId="8" xfId="1" applyNumberFormat="1" applyFont="1" applyFill="1" applyBorder="1" applyAlignment="1">
      <alignment vertical="center"/>
    </xf>
    <xf numFmtId="167" fontId="17" fillId="6" borderId="7" xfId="1" applyNumberFormat="1" applyFont="1" applyFill="1" applyBorder="1" applyAlignment="1">
      <alignment vertical="center"/>
    </xf>
    <xf numFmtId="167" fontId="17" fillId="2" borderId="2" xfId="1" applyNumberFormat="1" applyFont="1" applyFill="1" applyBorder="1" applyAlignment="1">
      <alignment vertical="center"/>
    </xf>
    <xf numFmtId="168" fontId="15" fillId="8" borderId="0" xfId="2" applyNumberFormat="1" applyFont="1" applyFill="1" applyBorder="1" applyAlignment="1">
      <alignment vertical="center"/>
    </xf>
    <xf numFmtId="4" fontId="17" fillId="2" borderId="7" xfId="0" applyNumberFormat="1" applyFont="1" applyFill="1" applyBorder="1" applyAlignment="1">
      <alignment vertical="center"/>
    </xf>
    <xf numFmtId="4" fontId="17" fillId="6" borderId="7" xfId="0" applyNumberFormat="1" applyFont="1" applyFill="1" applyBorder="1" applyAlignment="1">
      <alignment vertical="center"/>
    </xf>
    <xf numFmtId="0" fontId="15" fillId="2" borderId="7" xfId="2" applyNumberFormat="1" applyFont="1" applyFill="1" applyBorder="1" applyAlignment="1">
      <alignment vertical="center" wrapText="1"/>
    </xf>
    <xf numFmtId="167" fontId="17" fillId="2" borderId="2" xfId="0" applyNumberFormat="1" applyFont="1" applyFill="1" applyBorder="1" applyAlignment="1">
      <alignment vertical="center"/>
    </xf>
    <xf numFmtId="0" fontId="15" fillId="2" borderId="0" xfId="2" applyNumberFormat="1" applyFont="1" applyFill="1" applyBorder="1" applyAlignment="1">
      <alignment horizontal="left" vertical="center" wrapText="1"/>
    </xf>
    <xf numFmtId="3" fontId="17" fillId="2" borderId="8" xfId="1" applyNumberFormat="1" applyFont="1" applyFill="1" applyBorder="1" applyAlignment="1">
      <alignment vertical="center"/>
    </xf>
    <xf numFmtId="3" fontId="23" fillId="2" borderId="0" xfId="1" applyNumberFormat="1" applyFont="1" applyFill="1" applyBorder="1" applyAlignment="1">
      <alignment vertical="center"/>
    </xf>
    <xf numFmtId="4" fontId="23" fillId="2" borderId="0" xfId="1" applyNumberFormat="1" applyFont="1" applyFill="1" applyBorder="1" applyAlignment="1">
      <alignment vertical="center"/>
    </xf>
    <xf numFmtId="4" fontId="23" fillId="6" borderId="0" xfId="1" applyNumberFormat="1" applyFont="1" applyFill="1" applyBorder="1" applyAlignment="1">
      <alignment vertical="center"/>
    </xf>
    <xf numFmtId="167" fontId="23" fillId="2" borderId="0" xfId="1" applyNumberFormat="1" applyFont="1" applyFill="1" applyBorder="1" applyAlignment="1">
      <alignment vertical="center"/>
    </xf>
    <xf numFmtId="167" fontId="23" fillId="2" borderId="0" xfId="0" applyNumberFormat="1" applyFont="1" applyFill="1" applyAlignment="1">
      <alignment horizontal="right"/>
    </xf>
    <xf numFmtId="10" fontId="29" fillId="2" borderId="0" xfId="2" applyNumberFormat="1" applyFont="1" applyFill="1" applyBorder="1" applyAlignment="1">
      <alignment vertical="center"/>
    </xf>
    <xf numFmtId="167" fontId="17" fillId="2" borderId="0" xfId="0" applyNumberFormat="1" applyFont="1" applyFill="1" applyAlignment="1">
      <alignment horizontal="right" vertical="center"/>
    </xf>
    <xf numFmtId="167" fontId="17" fillId="2" borderId="2" xfId="0" applyNumberFormat="1" applyFont="1" applyFill="1" applyBorder="1" applyAlignment="1">
      <alignment horizontal="right" vertical="center"/>
    </xf>
    <xf numFmtId="2" fontId="17" fillId="2" borderId="0" xfId="0" applyNumberFormat="1" applyFont="1" applyFill="1" applyAlignment="1">
      <alignment horizontal="right" vertical="center"/>
    </xf>
    <xf numFmtId="0" fontId="22" fillId="10" borderId="12" xfId="0" applyFont="1" applyFill="1" applyBorder="1" applyAlignment="1">
      <alignment horizontal="center" vertical="center"/>
    </xf>
    <xf numFmtId="167" fontId="17" fillId="2" borderId="12" xfId="0" applyNumberFormat="1" applyFont="1" applyFill="1" applyBorder="1"/>
    <xf numFmtId="167" fontId="17" fillId="2" borderId="12" xfId="0" applyNumberFormat="1" applyFont="1" applyFill="1" applyBorder="1" applyAlignment="1">
      <alignment vertical="center"/>
    </xf>
    <xf numFmtId="167" fontId="17" fillId="2" borderId="13" xfId="0" applyNumberFormat="1" applyFont="1" applyFill="1" applyBorder="1" applyAlignment="1">
      <alignment vertical="center"/>
    </xf>
    <xf numFmtId="167" fontId="22" fillId="2" borderId="12" xfId="0" applyNumberFormat="1" applyFont="1" applyFill="1" applyBorder="1" applyAlignment="1">
      <alignment vertical="center"/>
    </xf>
    <xf numFmtId="0" fontId="15" fillId="2" borderId="12" xfId="0" applyFont="1" applyFill="1" applyBorder="1" applyAlignment="1">
      <alignment horizontal="center" vertical="center"/>
    </xf>
    <xf numFmtId="0" fontId="30" fillId="2" borderId="0" xfId="0" applyFont="1" applyFill="1"/>
    <xf numFmtId="167" fontId="15" fillId="2" borderId="14" xfId="0" applyNumberFormat="1" applyFont="1" applyFill="1" applyBorder="1"/>
    <xf numFmtId="0" fontId="16" fillId="12" borderId="0" xfId="1" applyNumberFormat="1" applyFont="1" applyFill="1" applyBorder="1"/>
    <xf numFmtId="164" fontId="15" fillId="11" borderId="15" xfId="1" applyNumberFormat="1" applyFont="1" applyFill="1" applyBorder="1"/>
    <xf numFmtId="9" fontId="16" fillId="12" borderId="0" xfId="2" applyFont="1" applyFill="1" applyBorder="1" applyAlignment="1">
      <alignment horizontal="left" indent="2"/>
    </xf>
    <xf numFmtId="9" fontId="25" fillId="2" borderId="16" xfId="2" applyFont="1" applyFill="1" applyBorder="1"/>
    <xf numFmtId="0" fontId="31" fillId="2" borderId="0" xfId="2" applyNumberFormat="1" applyFont="1" applyFill="1" applyBorder="1" applyAlignment="1">
      <alignment vertical="center"/>
    </xf>
    <xf numFmtId="0" fontId="16" fillId="12" borderId="0" xfId="0" applyFont="1" applyFill="1" applyAlignment="1">
      <alignment horizontal="left" indent="2"/>
    </xf>
    <xf numFmtId="167" fontId="25" fillId="2" borderId="0" xfId="0" applyNumberFormat="1" applyFont="1" applyFill="1"/>
    <xf numFmtId="4" fontId="22" fillId="12" borderId="7" xfId="1" applyNumberFormat="1" applyFont="1" applyFill="1" applyBorder="1"/>
    <xf numFmtId="4" fontId="22" fillId="12" borderId="8" xfId="1" applyNumberFormat="1" applyFont="1" applyFill="1" applyBorder="1"/>
    <xf numFmtId="4" fontId="25" fillId="2" borderId="0" xfId="0" applyNumberFormat="1" applyFont="1" applyFill="1" applyAlignment="1">
      <alignment vertical="center"/>
    </xf>
    <xf numFmtId="9" fontId="15" fillId="2" borderId="0" xfId="2" applyFont="1" applyFill="1" applyBorder="1" applyAlignment="1">
      <alignment horizontal="right" vertical="center"/>
    </xf>
    <xf numFmtId="10" fontId="15" fillId="2" borderId="0" xfId="2" applyNumberFormat="1" applyFont="1" applyFill="1" applyBorder="1" applyAlignment="1">
      <alignment horizontal="right" vertical="center"/>
    </xf>
    <xf numFmtId="10" fontId="15" fillId="2" borderId="2" xfId="2" applyNumberFormat="1" applyFont="1" applyFill="1" applyBorder="1" applyAlignment="1">
      <alignment vertical="center"/>
    </xf>
    <xf numFmtId="2" fontId="15" fillId="2" borderId="0" xfId="2" applyNumberFormat="1" applyFont="1" applyFill="1" applyBorder="1" applyAlignment="1">
      <alignment vertical="center"/>
    </xf>
    <xf numFmtId="2" fontId="15" fillId="2" borderId="2" xfId="2" applyNumberFormat="1" applyFont="1" applyFill="1" applyBorder="1" applyAlignment="1">
      <alignment vertical="center"/>
    </xf>
    <xf numFmtId="2" fontId="15" fillId="6" borderId="0" xfId="2" applyNumberFormat="1" applyFont="1" applyFill="1" applyBorder="1" applyAlignment="1">
      <alignment vertical="center"/>
    </xf>
    <xf numFmtId="4" fontId="17" fillId="2" borderId="0" xfId="1" applyNumberFormat="1" applyFont="1" applyFill="1" applyBorder="1"/>
    <xf numFmtId="4" fontId="17" fillId="6" borderId="0" xfId="1" applyNumberFormat="1" applyFont="1" applyFill="1" applyBorder="1"/>
    <xf numFmtId="3" fontId="17" fillId="6" borderId="0" xfId="1" applyNumberFormat="1" applyFont="1" applyFill="1" applyBorder="1"/>
    <xf numFmtId="3" fontId="15" fillId="9" borderId="0" xfId="0" applyNumberFormat="1" applyFont="1" applyFill="1" applyAlignment="1">
      <alignment vertical="center"/>
    </xf>
    <xf numFmtId="3" fontId="17" fillId="9" borderId="0" xfId="0" applyNumberFormat="1" applyFont="1" applyFill="1" applyAlignment="1">
      <alignment vertical="center"/>
    </xf>
    <xf numFmtId="3" fontId="17" fillId="9" borderId="2" xfId="0" applyNumberFormat="1" applyFont="1" applyFill="1" applyBorder="1" applyAlignment="1">
      <alignment horizontal="right" vertical="center"/>
    </xf>
    <xf numFmtId="4" fontId="16" fillId="13" borderId="0" xfId="0" applyNumberFormat="1" applyFont="1" applyFill="1" applyAlignment="1">
      <alignment vertical="center"/>
    </xf>
    <xf numFmtId="9" fontId="15" fillId="2" borderId="2" xfId="2" applyFont="1" applyFill="1" applyBorder="1" applyAlignment="1">
      <alignment vertical="center"/>
    </xf>
    <xf numFmtId="0" fontId="15" fillId="2" borderId="0" xfId="1" applyNumberFormat="1" applyFont="1" applyFill="1" applyBorder="1" applyAlignment="1">
      <alignment vertical="center" wrapText="1"/>
    </xf>
    <xf numFmtId="9" fontId="20" fillId="2" borderId="0" xfId="2" applyFont="1" applyFill="1" applyBorder="1" applyAlignment="1">
      <alignment horizontal="center"/>
    </xf>
    <xf numFmtId="9" fontId="20" fillId="2" borderId="0" xfId="2" applyFont="1" applyFill="1" applyBorder="1" applyAlignment="1">
      <alignment horizontal="left" indent="5"/>
    </xf>
    <xf numFmtId="9" fontId="20" fillId="2" borderId="0" xfId="2" applyFont="1" applyFill="1" applyBorder="1" applyAlignment="1">
      <alignment vertical="center"/>
    </xf>
    <xf numFmtId="10" fontId="20" fillId="2" borderId="2" xfId="2" applyNumberFormat="1" applyFont="1" applyFill="1" applyBorder="1" applyAlignment="1">
      <alignment vertical="center"/>
    </xf>
    <xf numFmtId="10" fontId="20" fillId="6" borderId="0" xfId="2" applyNumberFormat="1" applyFont="1" applyFill="1" applyBorder="1" applyAlignment="1">
      <alignment vertical="center"/>
    </xf>
    <xf numFmtId="9" fontId="20" fillId="6" borderId="0" xfId="2" applyFont="1" applyFill="1" applyBorder="1" applyAlignment="1">
      <alignment vertical="center"/>
    </xf>
    <xf numFmtId="0" fontId="20" fillId="2" borderId="0" xfId="2" applyNumberFormat="1" applyFont="1" applyFill="1" applyBorder="1" applyAlignment="1">
      <alignment vertical="center" wrapText="1"/>
    </xf>
    <xf numFmtId="3" fontId="20" fillId="2" borderId="2" xfId="0" applyNumberFormat="1" applyFont="1" applyFill="1" applyBorder="1" applyAlignment="1">
      <alignment vertical="center"/>
    </xf>
    <xf numFmtId="4" fontId="20" fillId="6" borderId="0" xfId="0" applyNumberFormat="1" applyFont="1" applyFill="1" applyAlignment="1">
      <alignment vertical="center"/>
    </xf>
    <xf numFmtId="3" fontId="20" fillId="6" borderId="0" xfId="0" applyNumberFormat="1" applyFont="1" applyFill="1" applyAlignment="1">
      <alignment vertical="center"/>
    </xf>
    <xf numFmtId="167" fontId="20" fillId="2" borderId="0" xfId="0" applyNumberFormat="1" applyFont="1" applyFill="1" applyAlignment="1">
      <alignment vertical="center"/>
    </xf>
    <xf numFmtId="0" fontId="20" fillId="2" borderId="0" xfId="1" applyNumberFormat="1" applyFont="1" applyFill="1" applyBorder="1" applyAlignment="1">
      <alignment vertical="center" wrapText="1"/>
    </xf>
    <xf numFmtId="0" fontId="15" fillId="2" borderId="7" xfId="1" applyNumberFormat="1" applyFont="1" applyFill="1" applyBorder="1" applyAlignment="1">
      <alignment vertical="center" wrapText="1"/>
    </xf>
    <xf numFmtId="0" fontId="15" fillId="2" borderId="2" xfId="0" applyFont="1" applyFill="1" applyBorder="1" applyAlignment="1">
      <alignment vertical="center"/>
    </xf>
    <xf numFmtId="0" fontId="32" fillId="2" borderId="0" xfId="1" applyNumberFormat="1" applyFont="1" applyFill="1" applyBorder="1"/>
    <xf numFmtId="164" fontId="24" fillId="2" borderId="0" xfId="1" applyNumberFormat="1" applyFont="1" applyFill="1" applyBorder="1"/>
    <xf numFmtId="3" fontId="24" fillId="2" borderId="0" xfId="1" applyNumberFormat="1" applyFont="1" applyFill="1" applyBorder="1"/>
    <xf numFmtId="4" fontId="24" fillId="2" borderId="0" xfId="1" applyNumberFormat="1" applyFont="1" applyFill="1" applyBorder="1"/>
    <xf numFmtId="167" fontId="20" fillId="2" borderId="0" xfId="2" applyNumberFormat="1" applyFont="1" applyFill="1" applyBorder="1"/>
    <xf numFmtId="3" fontId="20" fillId="2" borderId="0" xfId="2" applyNumberFormat="1" applyFont="1" applyFill="1" applyBorder="1"/>
    <xf numFmtId="3" fontId="20" fillId="8" borderId="0" xfId="0" applyNumberFormat="1" applyFont="1" applyFill="1" applyAlignment="1">
      <alignment vertical="center"/>
    </xf>
    <xf numFmtId="0" fontId="20" fillId="2" borderId="0" xfId="2" applyNumberFormat="1" applyFont="1" applyFill="1" applyBorder="1" applyAlignment="1">
      <alignment vertical="center"/>
    </xf>
    <xf numFmtId="10" fontId="20" fillId="2" borderId="0" xfId="2" applyNumberFormat="1" applyFont="1" applyFill="1" applyBorder="1"/>
    <xf numFmtId="10" fontId="20" fillId="8" borderId="0" xfId="2" applyNumberFormat="1" applyFont="1" applyFill="1" applyBorder="1" applyAlignment="1">
      <alignment vertical="center"/>
    </xf>
    <xf numFmtId="9" fontId="20" fillId="8" borderId="0" xfId="2" applyFont="1" applyFill="1" applyBorder="1" applyAlignment="1">
      <alignment vertical="center"/>
    </xf>
    <xf numFmtId="10" fontId="34" fillId="6" borderId="0" xfId="2" applyNumberFormat="1" applyFont="1" applyFill="1" applyBorder="1" applyAlignment="1">
      <alignment vertical="center"/>
    </xf>
    <xf numFmtId="10" fontId="26" fillId="8" borderId="0" xfId="2" applyNumberFormat="1" applyFont="1" applyFill="1" applyBorder="1" applyAlignment="1">
      <alignment vertical="center"/>
    </xf>
    <xf numFmtId="10" fontId="15" fillId="2" borderId="0" xfId="0" applyNumberFormat="1" applyFont="1" applyFill="1" applyAlignment="1">
      <alignment vertical="center" wrapText="1"/>
    </xf>
    <xf numFmtId="0" fontId="15" fillId="2" borderId="11" xfId="0" applyFont="1" applyFill="1" applyBorder="1" applyAlignment="1">
      <alignment vertical="center" wrapText="1"/>
    </xf>
    <xf numFmtId="0" fontId="14" fillId="2" borderId="0" xfId="1" applyNumberFormat="1" applyFont="1" applyFill="1" applyBorder="1" applyAlignment="1">
      <alignment horizontal="center" vertical="center"/>
    </xf>
    <xf numFmtId="9" fontId="19" fillId="2" borderId="0" xfId="2" applyFont="1" applyFill="1" applyBorder="1" applyAlignment="1">
      <alignment horizontal="center"/>
    </xf>
    <xf numFmtId="9" fontId="19" fillId="2" borderId="0" xfId="2" applyFont="1" applyFill="1" applyBorder="1" applyAlignment="1">
      <alignment horizontal="left" indent="2"/>
    </xf>
    <xf numFmtId="10" fontId="19" fillId="2" borderId="0" xfId="2" applyNumberFormat="1" applyFont="1" applyFill="1" applyBorder="1"/>
    <xf numFmtId="10" fontId="19" fillId="6" borderId="0" xfId="2" applyNumberFormat="1" applyFont="1" applyFill="1" applyBorder="1"/>
    <xf numFmtId="9" fontId="19" fillId="2" borderId="0" xfId="2" applyFont="1" applyFill="1" applyBorder="1" applyAlignment="1">
      <alignment vertical="center"/>
    </xf>
    <xf numFmtId="0" fontId="19" fillId="2" borderId="0" xfId="2" applyNumberFormat="1" applyFont="1" applyFill="1" applyBorder="1" applyAlignment="1">
      <alignment vertical="center" wrapText="1"/>
    </xf>
    <xf numFmtId="0" fontId="19" fillId="2" borderId="0" xfId="0" applyFont="1" applyFill="1" applyAlignment="1">
      <alignment horizontal="left" indent="2"/>
    </xf>
    <xf numFmtId="167" fontId="19" fillId="2" borderId="0" xfId="0" applyNumberFormat="1" applyFont="1" applyFill="1"/>
    <xf numFmtId="3" fontId="19" fillId="8" borderId="0" xfId="0" applyNumberFormat="1" applyFont="1" applyFill="1"/>
    <xf numFmtId="3" fontId="19" fillId="2" borderId="0" xfId="0" applyNumberFormat="1" applyFont="1" applyFill="1" applyAlignment="1">
      <alignment vertical="center" wrapText="1"/>
    </xf>
    <xf numFmtId="0" fontId="14" fillId="2" borderId="0" xfId="1" applyNumberFormat="1" applyFont="1" applyFill="1" applyBorder="1"/>
    <xf numFmtId="0" fontId="17" fillId="2" borderId="7" xfId="1" applyNumberFormat="1" applyFont="1" applyFill="1" applyBorder="1" applyAlignment="1">
      <alignment vertical="center"/>
    </xf>
    <xf numFmtId="0" fontId="27" fillId="2" borderId="0" xfId="0" applyFont="1" applyFill="1" applyAlignment="1">
      <alignment horizontal="center"/>
    </xf>
    <xf numFmtId="0" fontId="27" fillId="2" borderId="0" xfId="0" applyFont="1" applyFill="1"/>
    <xf numFmtId="167" fontId="27" fillId="2" borderId="0" xfId="0" applyNumberFormat="1" applyFont="1" applyFill="1"/>
    <xf numFmtId="3" fontId="27" fillId="2" borderId="0" xfId="0" applyNumberFormat="1" applyFont="1" applyFill="1"/>
    <xf numFmtId="4" fontId="27" fillId="2" borderId="0" xfId="0" applyNumberFormat="1" applyFont="1" applyFill="1"/>
    <xf numFmtId="0" fontId="27" fillId="2" borderId="0" xfId="0" applyFont="1" applyFill="1" applyAlignment="1">
      <alignment vertical="center"/>
    </xf>
    <xf numFmtId="9" fontId="17" fillId="2" borderId="0" xfId="2" applyFont="1" applyFill="1" applyBorder="1" applyAlignment="1">
      <alignment horizontal="center"/>
    </xf>
    <xf numFmtId="9" fontId="17" fillId="2" borderId="0" xfId="2" applyFont="1" applyFill="1" applyBorder="1"/>
    <xf numFmtId="9" fontId="17" fillId="2" borderId="11" xfId="2" applyFont="1" applyFill="1" applyBorder="1"/>
    <xf numFmtId="9" fontId="17" fillId="2" borderId="0" xfId="2" applyFont="1" applyFill="1" applyBorder="1" applyAlignment="1">
      <alignment vertical="center"/>
    </xf>
    <xf numFmtId="9" fontId="17" fillId="2" borderId="2" xfId="2" applyFont="1" applyFill="1" applyBorder="1" applyAlignment="1">
      <alignment vertical="center"/>
    </xf>
    <xf numFmtId="9" fontId="17" fillId="6" borderId="0" xfId="2" applyFont="1" applyFill="1" applyBorder="1" applyAlignment="1">
      <alignment vertical="center"/>
    </xf>
    <xf numFmtId="168" fontId="20" fillId="2" borderId="0" xfId="2" applyNumberFormat="1" applyFont="1" applyFill="1" applyBorder="1"/>
    <xf numFmtId="10" fontId="20" fillId="6" borderId="0" xfId="2" applyNumberFormat="1" applyFont="1" applyFill="1" applyBorder="1"/>
    <xf numFmtId="9" fontId="20" fillId="6" borderId="0" xfId="2" applyFont="1" applyFill="1" applyBorder="1"/>
    <xf numFmtId="3" fontId="15" fillId="2" borderId="6" xfId="0" applyNumberFormat="1" applyFont="1" applyFill="1" applyBorder="1" applyAlignment="1">
      <alignment vertical="center"/>
    </xf>
    <xf numFmtId="3" fontId="10" fillId="2" borderId="0" xfId="0" applyNumberFormat="1" applyFont="1" applyFill="1" applyAlignment="1">
      <alignment vertical="center"/>
    </xf>
    <xf numFmtId="3" fontId="10" fillId="2" borderId="2" xfId="0" applyNumberFormat="1" applyFont="1" applyFill="1" applyBorder="1" applyAlignment="1">
      <alignment vertical="center"/>
    </xf>
    <xf numFmtId="4" fontId="10" fillId="6" borderId="0" xfId="0" applyNumberFormat="1" applyFont="1" applyFill="1" applyAlignment="1">
      <alignment vertical="center"/>
    </xf>
    <xf numFmtId="3" fontId="10" fillId="6" borderId="0" xfId="0" applyNumberFormat="1" applyFont="1" applyFill="1" applyAlignment="1">
      <alignment vertical="center"/>
    </xf>
    <xf numFmtId="170" fontId="17" fillId="2" borderId="7" xfId="1" applyNumberFormat="1" applyFont="1" applyFill="1" applyBorder="1"/>
    <xf numFmtId="170" fontId="17" fillId="2" borderId="7" xfId="1" applyNumberFormat="1" applyFont="1" applyFill="1" applyBorder="1" applyAlignment="1">
      <alignment vertical="center"/>
    </xf>
    <xf numFmtId="0" fontId="17" fillId="2" borderId="0" xfId="1" applyNumberFormat="1" applyFont="1" applyFill="1" applyBorder="1" applyAlignment="1">
      <alignment vertical="center"/>
    </xf>
    <xf numFmtId="0" fontId="17" fillId="2" borderId="17" xfId="1" applyNumberFormat="1" applyFont="1" applyFill="1" applyBorder="1"/>
    <xf numFmtId="164" fontId="17" fillId="2" borderId="17" xfId="1" applyNumberFormat="1" applyFont="1" applyFill="1" applyBorder="1"/>
    <xf numFmtId="3" fontId="17" fillId="2" borderId="17" xfId="1" applyNumberFormat="1" applyFont="1" applyFill="1" applyBorder="1"/>
    <xf numFmtId="4" fontId="17" fillId="2" borderId="17" xfId="1" applyNumberFormat="1" applyFont="1" applyFill="1" applyBorder="1"/>
    <xf numFmtId="4" fontId="17" fillId="6" borderId="17" xfId="1" applyNumberFormat="1" applyFont="1" applyFill="1" applyBorder="1"/>
    <xf numFmtId="3" fontId="17" fillId="6" borderId="17" xfId="1" applyNumberFormat="1" applyFont="1" applyFill="1" applyBorder="1"/>
    <xf numFmtId="0" fontId="15" fillId="2" borderId="17" xfId="1" applyNumberFormat="1" applyFont="1" applyFill="1" applyBorder="1" applyAlignment="1">
      <alignment vertical="center"/>
    </xf>
    <xf numFmtId="167" fontId="27" fillId="2" borderId="0" xfId="0" applyNumberFormat="1" applyFont="1" applyFill="1" applyAlignment="1">
      <alignment horizontal="center" vertical="center"/>
    </xf>
    <xf numFmtId="0" fontId="27" fillId="2" borderId="0" xfId="0" applyFont="1" applyFill="1" applyAlignment="1">
      <alignment horizontal="center" vertical="center"/>
    </xf>
    <xf numFmtId="0" fontId="27" fillId="2" borderId="0" xfId="1" applyNumberFormat="1" applyFont="1" applyFill="1" applyBorder="1" applyAlignment="1">
      <alignment horizontal="center"/>
    </xf>
    <xf numFmtId="0" fontId="27" fillId="2" borderId="0" xfId="1" applyNumberFormat="1" applyFont="1" applyFill="1" applyBorder="1"/>
    <xf numFmtId="170" fontId="27" fillId="2" borderId="0" xfId="1" applyNumberFormat="1" applyFont="1" applyFill="1" applyBorder="1"/>
    <xf numFmtId="3" fontId="27" fillId="2" borderId="0" xfId="1" applyNumberFormat="1" applyFont="1" applyFill="1" applyBorder="1" applyAlignment="1">
      <alignment vertical="center"/>
    </xf>
    <xf numFmtId="4" fontId="27" fillId="2" borderId="0" xfId="1" applyNumberFormat="1" applyFont="1" applyFill="1" applyBorder="1" applyAlignment="1">
      <alignment vertical="center"/>
    </xf>
    <xf numFmtId="170" fontId="27" fillId="2" borderId="0" xfId="1" applyNumberFormat="1" applyFont="1" applyFill="1" applyBorder="1" applyAlignment="1">
      <alignment vertical="center"/>
    </xf>
    <xf numFmtId="0" fontId="27" fillId="2" borderId="0" xfId="1" applyNumberFormat="1" applyFont="1" applyFill="1" applyBorder="1" applyAlignment="1">
      <alignment vertical="center"/>
    </xf>
    <xf numFmtId="10" fontId="15" fillId="2" borderId="0" xfId="1" applyNumberFormat="1" applyFont="1" applyFill="1" applyBorder="1" applyAlignment="1">
      <alignment vertical="center"/>
    </xf>
    <xf numFmtId="3" fontId="15" fillId="2" borderId="0" xfId="1" applyNumberFormat="1" applyFont="1" applyFill="1" applyBorder="1" applyAlignment="1">
      <alignment horizontal="right" vertical="center"/>
    </xf>
    <xf numFmtId="43" fontId="15" fillId="2" borderId="0" xfId="1" applyFont="1" applyFill="1" applyBorder="1" applyAlignment="1">
      <alignment vertical="center"/>
    </xf>
    <xf numFmtId="10" fontId="15" fillId="6" borderId="0" xfId="1" applyNumberFormat="1" applyFont="1" applyFill="1" applyBorder="1" applyAlignment="1">
      <alignment vertical="center"/>
    </xf>
    <xf numFmtId="0" fontId="15" fillId="2" borderId="0" xfId="0" applyFont="1" applyFill="1" applyAlignment="1">
      <alignment horizontal="left" indent="5"/>
    </xf>
    <xf numFmtId="3" fontId="15" fillId="2" borderId="11" xfId="1" applyNumberFormat="1" applyFont="1" applyFill="1" applyBorder="1"/>
    <xf numFmtId="3" fontId="15" fillId="6" borderId="11" xfId="1" applyNumberFormat="1" applyFont="1" applyFill="1" applyBorder="1"/>
    <xf numFmtId="168" fontId="15" fillId="2" borderId="11" xfId="2" applyNumberFormat="1" applyFont="1" applyFill="1" applyBorder="1"/>
    <xf numFmtId="10" fontId="15" fillId="2" borderId="11" xfId="2" applyNumberFormat="1" applyFont="1" applyFill="1" applyBorder="1"/>
    <xf numFmtId="3" fontId="27" fillId="2" borderId="0" xfId="2" applyNumberFormat="1" applyFont="1" applyFill="1" applyBorder="1" applyAlignment="1">
      <alignment vertical="center"/>
    </xf>
    <xf numFmtId="4" fontId="27" fillId="2" borderId="0" xfId="2" applyNumberFormat="1" applyFont="1" applyFill="1" applyBorder="1" applyAlignment="1">
      <alignment vertical="center"/>
    </xf>
    <xf numFmtId="167" fontId="27" fillId="2" borderId="0" xfId="2" applyNumberFormat="1" applyFont="1" applyFill="1" applyBorder="1" applyAlignment="1">
      <alignment vertical="center"/>
    </xf>
    <xf numFmtId="0" fontId="15" fillId="4" borderId="0" xfId="0" applyFont="1" applyFill="1" applyAlignment="1">
      <alignment horizontal="center"/>
    </xf>
    <xf numFmtId="0" fontId="15" fillId="4" borderId="0" xfId="0" applyFont="1" applyFill="1"/>
    <xf numFmtId="167" fontId="15" fillId="4" borderId="0" xfId="0" applyNumberFormat="1" applyFont="1" applyFill="1"/>
    <xf numFmtId="3" fontId="15" fillId="4" borderId="0" xfId="0" applyNumberFormat="1" applyFont="1" applyFill="1" applyAlignment="1">
      <alignment vertical="center"/>
    </xf>
    <xf numFmtId="3" fontId="15" fillId="4" borderId="2" xfId="0" applyNumberFormat="1" applyFont="1" applyFill="1" applyBorder="1" applyAlignment="1">
      <alignment vertical="center"/>
    </xf>
    <xf numFmtId="167" fontId="15" fillId="4" borderId="0" xfId="0" applyNumberFormat="1" applyFont="1" applyFill="1" applyAlignment="1">
      <alignment vertical="center"/>
    </xf>
    <xf numFmtId="0" fontId="15" fillId="4" borderId="0" xfId="0" applyFont="1" applyFill="1" applyAlignment="1">
      <alignment vertical="center"/>
    </xf>
    <xf numFmtId="0" fontId="22" fillId="14" borderId="0" xfId="0" applyFont="1" applyFill="1" applyAlignment="1">
      <alignment horizontal="left" indent="2"/>
    </xf>
    <xf numFmtId="164" fontId="10" fillId="2" borderId="0" xfId="1" applyNumberFormat="1" applyFont="1" applyFill="1" applyBorder="1" applyAlignment="1">
      <alignment vertical="center"/>
    </xf>
    <xf numFmtId="43" fontId="10" fillId="2" borderId="0" xfId="1" applyFont="1" applyFill="1" applyBorder="1" applyAlignment="1">
      <alignment vertical="center"/>
    </xf>
    <xf numFmtId="43" fontId="10" fillId="6" borderId="0" xfId="1" applyFont="1" applyFill="1" applyBorder="1" applyAlignment="1">
      <alignment vertical="center"/>
    </xf>
    <xf numFmtId="164" fontId="10" fillId="6" borderId="0" xfId="1" applyNumberFormat="1" applyFont="1" applyFill="1" applyBorder="1" applyAlignment="1">
      <alignment vertical="center"/>
    </xf>
    <xf numFmtId="0" fontId="15" fillId="2" borderId="0" xfId="0" applyFont="1" applyFill="1" applyAlignment="1">
      <alignment horizontal="left" indent="4"/>
    </xf>
    <xf numFmtId="0" fontId="15" fillId="2" borderId="7" xfId="0" applyFont="1" applyFill="1" applyBorder="1" applyAlignment="1">
      <alignment horizontal="left" indent="2"/>
    </xf>
    <xf numFmtId="167" fontId="15" fillId="2" borderId="7" xfId="0" applyNumberFormat="1" applyFont="1" applyFill="1" applyBorder="1"/>
    <xf numFmtId="3" fontId="15" fillId="2" borderId="7" xfId="0" applyNumberFormat="1" applyFont="1" applyFill="1" applyBorder="1" applyAlignment="1">
      <alignment vertical="center"/>
    </xf>
    <xf numFmtId="4" fontId="15" fillId="2" borderId="7" xfId="0" applyNumberFormat="1" applyFont="1" applyFill="1" applyBorder="1" applyAlignment="1">
      <alignment vertical="center"/>
    </xf>
    <xf numFmtId="4" fontId="15" fillId="6" borderId="7" xfId="0" applyNumberFormat="1" applyFont="1" applyFill="1" applyBorder="1" applyAlignment="1">
      <alignment vertical="center"/>
    </xf>
    <xf numFmtId="3" fontId="15" fillId="6" borderId="7" xfId="0" applyNumberFormat="1" applyFont="1" applyFill="1" applyBorder="1" applyAlignment="1">
      <alignment vertical="center"/>
    </xf>
    <xf numFmtId="0" fontId="17" fillId="2" borderId="7" xfId="0" applyFont="1" applyFill="1" applyBorder="1" applyAlignment="1">
      <alignment horizontal="left" indent="2"/>
    </xf>
    <xf numFmtId="9" fontId="15" fillId="2" borderId="0" xfId="2" applyFont="1" applyFill="1" applyBorder="1" applyAlignment="1">
      <alignment horizontal="left" indent="4"/>
    </xf>
    <xf numFmtId="168" fontId="15" fillId="2" borderId="2" xfId="2" applyNumberFormat="1" applyFont="1" applyFill="1" applyBorder="1" applyAlignment="1">
      <alignment vertical="center"/>
    </xf>
    <xf numFmtId="169" fontId="15" fillId="6" borderId="0" xfId="0" applyNumberFormat="1" applyFont="1" applyFill="1" applyAlignment="1">
      <alignment vertical="center"/>
    </xf>
    <xf numFmtId="0" fontId="15" fillId="4" borderId="0" xfId="0" applyFont="1" applyFill="1" applyAlignment="1">
      <alignment horizontal="left" indent="2"/>
    </xf>
    <xf numFmtId="3" fontId="15" fillId="2" borderId="7" xfId="1" applyNumberFormat="1" applyFont="1" applyFill="1" applyBorder="1" applyAlignment="1">
      <alignment vertical="center"/>
    </xf>
    <xf numFmtId="3" fontId="15" fillId="2" borderId="8" xfId="1" applyNumberFormat="1" applyFont="1" applyFill="1" applyBorder="1" applyAlignment="1">
      <alignment vertical="center"/>
    </xf>
    <xf numFmtId="3" fontId="15" fillId="6" borderId="7" xfId="1" applyNumberFormat="1" applyFont="1" applyFill="1" applyBorder="1" applyAlignment="1">
      <alignment vertical="center"/>
    </xf>
    <xf numFmtId="3" fontId="15" fillId="2" borderId="11" xfId="1" applyNumberFormat="1" applyFont="1" applyFill="1" applyBorder="1" applyAlignment="1">
      <alignment vertical="center"/>
    </xf>
    <xf numFmtId="167" fontId="15" fillId="2" borderId="2" xfId="2" applyNumberFormat="1" applyFont="1" applyFill="1" applyBorder="1" applyAlignment="1">
      <alignment vertical="center"/>
    </xf>
    <xf numFmtId="167" fontId="15" fillId="6" borderId="0" xfId="2" applyNumberFormat="1" applyFont="1" applyFill="1" applyBorder="1" applyAlignment="1">
      <alignment vertical="center"/>
    </xf>
    <xf numFmtId="169" fontId="15" fillId="2" borderId="0" xfId="0" applyNumberFormat="1" applyFont="1" applyFill="1" applyAlignment="1">
      <alignment vertical="center"/>
    </xf>
    <xf numFmtId="169" fontId="15" fillId="2" borderId="2" xfId="0" applyNumberFormat="1" applyFont="1" applyFill="1" applyBorder="1" applyAlignment="1">
      <alignment vertical="center"/>
    </xf>
    <xf numFmtId="4" fontId="15" fillId="6" borderId="11" xfId="0" applyNumberFormat="1" applyFont="1" applyFill="1" applyBorder="1" applyAlignment="1">
      <alignment vertical="center"/>
    </xf>
    <xf numFmtId="3" fontId="15" fillId="6" borderId="11" xfId="0" applyNumberFormat="1" applyFont="1" applyFill="1" applyBorder="1" applyAlignment="1">
      <alignment vertical="center"/>
    </xf>
    <xf numFmtId="0" fontId="15" fillId="2" borderId="11" xfId="0" applyFont="1" applyFill="1" applyBorder="1" applyAlignment="1">
      <alignment horizontal="left" indent="2"/>
    </xf>
    <xf numFmtId="167" fontId="15" fillId="2" borderId="11" xfId="0" applyNumberFormat="1" applyFont="1" applyFill="1" applyBorder="1"/>
    <xf numFmtId="3" fontId="15" fillId="2" borderId="11" xfId="0" applyNumberFormat="1" applyFont="1" applyFill="1" applyBorder="1" applyAlignment="1">
      <alignment vertical="center"/>
    </xf>
    <xf numFmtId="3" fontId="15" fillId="8" borderId="11" xfId="0" applyNumberFormat="1" applyFont="1" applyFill="1" applyBorder="1" applyAlignment="1">
      <alignment vertical="center"/>
    </xf>
    <xf numFmtId="167" fontId="15" fillId="2" borderId="11" xfId="0" applyNumberFormat="1" applyFont="1" applyFill="1" applyBorder="1" applyAlignment="1">
      <alignment vertical="center"/>
    </xf>
    <xf numFmtId="4" fontId="17" fillId="2" borderId="0" xfId="1" applyNumberFormat="1" applyFont="1" applyFill="1" applyBorder="1" applyAlignment="1">
      <alignment vertical="center"/>
    </xf>
    <xf numFmtId="4" fontId="17" fillId="6" borderId="0" xfId="1" applyNumberFormat="1" applyFont="1" applyFill="1" applyBorder="1" applyAlignment="1">
      <alignment vertical="center"/>
    </xf>
    <xf numFmtId="3" fontId="17" fillId="6" borderId="0" xfId="1" applyNumberFormat="1" applyFont="1" applyFill="1" applyBorder="1" applyAlignment="1">
      <alignment vertical="center"/>
    </xf>
    <xf numFmtId="0" fontId="25" fillId="2" borderId="0" xfId="0" applyFont="1" applyFill="1"/>
    <xf numFmtId="4" fontId="17" fillId="6" borderId="7" xfId="0" applyNumberFormat="1" applyFont="1" applyFill="1" applyBorder="1"/>
    <xf numFmtId="3" fontId="17" fillId="6" borderId="7" xfId="0" applyNumberFormat="1" applyFont="1" applyFill="1" applyBorder="1"/>
    <xf numFmtId="3" fontId="17" fillId="2" borderId="2" xfId="0" applyNumberFormat="1" applyFont="1" applyFill="1" applyBorder="1"/>
    <xf numFmtId="170" fontId="15" fillId="2" borderId="0" xfId="1" applyNumberFormat="1" applyFont="1" applyFill="1" applyBorder="1" applyAlignment="1">
      <alignment vertical="center"/>
    </xf>
    <xf numFmtId="170" fontId="35" fillId="2" borderId="7" xfId="1" applyNumberFormat="1" applyFont="1" applyFill="1" applyBorder="1"/>
    <xf numFmtId="3" fontId="35" fillId="2" borderId="7" xfId="1" applyNumberFormat="1" applyFont="1" applyFill="1" applyBorder="1"/>
    <xf numFmtId="3" fontId="25" fillId="2" borderId="0" xfId="0" applyNumberFormat="1" applyFont="1" applyFill="1" applyAlignment="1">
      <alignment vertical="center"/>
    </xf>
    <xf numFmtId="3" fontId="25" fillId="2" borderId="0" xfId="0" applyNumberFormat="1" applyFont="1" applyFill="1"/>
    <xf numFmtId="0" fontId="35" fillId="2" borderId="7" xfId="1" applyNumberFormat="1" applyFont="1" applyFill="1" applyBorder="1"/>
    <xf numFmtId="170" fontId="36" fillId="2" borderId="7" xfId="1" applyNumberFormat="1" applyFont="1" applyFill="1" applyBorder="1"/>
    <xf numFmtId="3" fontId="36" fillId="2" borderId="7" xfId="1" applyNumberFormat="1" applyFont="1" applyFill="1" applyBorder="1"/>
    <xf numFmtId="4" fontId="36" fillId="2" borderId="7" xfId="1" applyNumberFormat="1" applyFont="1" applyFill="1" applyBorder="1"/>
    <xf numFmtId="4" fontId="36" fillId="6" borderId="7" xfId="1" applyNumberFormat="1" applyFont="1" applyFill="1" applyBorder="1"/>
    <xf numFmtId="3" fontId="36" fillId="6" borderId="7" xfId="1" applyNumberFormat="1" applyFont="1" applyFill="1" applyBorder="1"/>
    <xf numFmtId="170" fontId="36" fillId="2" borderId="0" xfId="1" applyNumberFormat="1" applyFont="1" applyFill="1" applyBorder="1"/>
    <xf numFmtId="0" fontId="17" fillId="2" borderId="18" xfId="1" applyNumberFormat="1" applyFont="1" applyFill="1" applyBorder="1"/>
    <xf numFmtId="170" fontId="17" fillId="2" borderId="18" xfId="1" applyNumberFormat="1" applyFont="1" applyFill="1" applyBorder="1"/>
    <xf numFmtId="3" fontId="17" fillId="2" borderId="18" xfId="1" applyNumberFormat="1" applyFont="1" applyFill="1" applyBorder="1"/>
    <xf numFmtId="4" fontId="17" fillId="2" borderId="18" xfId="1" applyNumberFormat="1" applyFont="1" applyFill="1" applyBorder="1"/>
    <xf numFmtId="4" fontId="17" fillId="6" borderId="18" xfId="1" applyNumberFormat="1" applyFont="1" applyFill="1" applyBorder="1"/>
    <xf numFmtId="3" fontId="17" fillId="6" borderId="18" xfId="1" applyNumberFormat="1" applyFont="1" applyFill="1" applyBorder="1"/>
    <xf numFmtId="0" fontId="15" fillId="2" borderId="18" xfId="1" applyNumberFormat="1" applyFont="1" applyFill="1" applyBorder="1" applyAlignment="1">
      <alignment vertical="center"/>
    </xf>
    <xf numFmtId="167" fontId="27" fillId="2" borderId="0" xfId="0" applyNumberFormat="1" applyFont="1" applyFill="1" applyAlignment="1">
      <alignment vertical="center"/>
    </xf>
    <xf numFmtId="3" fontId="27" fillId="2" borderId="0" xfId="1" applyNumberFormat="1" applyFont="1" applyFill="1" applyBorder="1"/>
    <xf numFmtId="4" fontId="27" fillId="2" borderId="0" xfId="1" applyNumberFormat="1" applyFont="1" applyFill="1" applyBorder="1"/>
    <xf numFmtId="167" fontId="15" fillId="2" borderId="0" xfId="0" applyNumberFormat="1" applyFont="1" applyFill="1" applyAlignment="1">
      <alignment horizontal="center" vertical="center"/>
    </xf>
    <xf numFmtId="167" fontId="15" fillId="2" borderId="2" xfId="0" applyNumberFormat="1" applyFont="1" applyFill="1" applyBorder="1" applyAlignment="1">
      <alignment horizontal="center" vertical="center"/>
    </xf>
    <xf numFmtId="0" fontId="15" fillId="2" borderId="0" xfId="0" applyFont="1" applyFill="1" applyAlignment="1">
      <alignment horizontal="center" vertical="center"/>
    </xf>
    <xf numFmtId="0" fontId="15" fillId="2" borderId="19" xfId="0" applyFont="1" applyFill="1" applyBorder="1"/>
    <xf numFmtId="3" fontId="15" fillId="6" borderId="7" xfId="0" applyNumberFormat="1" applyFont="1" applyFill="1" applyBorder="1"/>
    <xf numFmtId="0" fontId="31" fillId="2" borderId="0" xfId="0" applyFont="1" applyFill="1" applyAlignment="1">
      <alignment horizontal="center" vertical="center"/>
    </xf>
    <xf numFmtId="0" fontId="15" fillId="2" borderId="15" xfId="0" applyFont="1" applyFill="1" applyBorder="1"/>
    <xf numFmtId="0" fontId="17" fillId="2" borderId="15" xfId="0" applyFont="1" applyFill="1" applyBorder="1"/>
    <xf numFmtId="4" fontId="17" fillId="6" borderId="0" xfId="0" applyNumberFormat="1" applyFont="1" applyFill="1"/>
    <xf numFmtId="3" fontId="17" fillId="6" borderId="0" xfId="0" applyNumberFormat="1" applyFont="1" applyFill="1"/>
    <xf numFmtId="3" fontId="17" fillId="2" borderId="0" xfId="0" applyNumberFormat="1" applyFont="1" applyFill="1" applyAlignment="1">
      <alignment horizontal="center" vertical="center"/>
    </xf>
    <xf numFmtId="3" fontId="15" fillId="8" borderId="4" xfId="1" applyNumberFormat="1" applyFont="1" applyFill="1" applyBorder="1" applyAlignment="1">
      <alignment horizontal="center" vertical="center"/>
    </xf>
    <xf numFmtId="3" fontId="15" fillId="2" borderId="0" xfId="0" applyNumberFormat="1" applyFont="1" applyFill="1" applyAlignment="1">
      <alignment horizontal="right" vertical="center"/>
    </xf>
    <xf numFmtId="3" fontId="15" fillId="2" borderId="2" xfId="1" applyNumberFormat="1" applyFont="1" applyFill="1" applyBorder="1" applyAlignment="1">
      <alignment horizontal="right" vertical="center"/>
    </xf>
    <xf numFmtId="4" fontId="15" fillId="6" borderId="0" xfId="1" applyNumberFormat="1" applyFont="1" applyFill="1" applyBorder="1" applyAlignment="1">
      <alignment horizontal="right" vertical="center"/>
    </xf>
    <xf numFmtId="3" fontId="15" fillId="6" borderId="0" xfId="1" applyNumberFormat="1" applyFont="1" applyFill="1" applyBorder="1" applyAlignment="1">
      <alignment horizontal="right" vertical="center"/>
    </xf>
    <xf numFmtId="167" fontId="15" fillId="2" borderId="0" xfId="1" applyNumberFormat="1" applyFont="1" applyFill="1" applyBorder="1" applyAlignment="1">
      <alignment horizontal="right" vertical="center"/>
    </xf>
    <xf numFmtId="3" fontId="15" fillId="2" borderId="0" xfId="1" quotePrefix="1" applyNumberFormat="1" applyFont="1" applyFill="1" applyBorder="1" applyAlignment="1">
      <alignment vertical="center"/>
    </xf>
    <xf numFmtId="0" fontId="35" fillId="2" borderId="0" xfId="0" applyFont="1" applyFill="1"/>
    <xf numFmtId="3" fontId="25" fillId="2" borderId="0" xfId="0" applyNumberFormat="1" applyFont="1" applyFill="1" applyAlignment="1">
      <alignment horizontal="right" vertical="center"/>
    </xf>
    <xf numFmtId="3" fontId="25" fillId="2" borderId="0" xfId="1" applyNumberFormat="1" applyFont="1" applyFill="1" applyBorder="1" applyAlignment="1">
      <alignment horizontal="right" vertical="center"/>
    </xf>
    <xf numFmtId="0" fontId="17" fillId="2" borderId="20" xfId="1" applyNumberFormat="1" applyFont="1" applyFill="1" applyBorder="1"/>
    <xf numFmtId="0" fontId="17" fillId="2" borderId="11" xfId="1" applyNumberFormat="1" applyFont="1" applyFill="1" applyBorder="1"/>
    <xf numFmtId="3" fontId="35" fillId="2" borderId="11" xfId="1" applyNumberFormat="1" applyFont="1" applyFill="1" applyBorder="1"/>
    <xf numFmtId="3" fontId="17" fillId="2" borderId="11" xfId="1" applyNumberFormat="1" applyFont="1" applyFill="1" applyBorder="1" applyAlignment="1">
      <alignment vertical="center"/>
    </xf>
    <xf numFmtId="3" fontId="17" fillId="2" borderId="6" xfId="1" applyNumberFormat="1" applyFont="1" applyFill="1" applyBorder="1" applyAlignment="1">
      <alignment vertical="center"/>
    </xf>
    <xf numFmtId="4" fontId="17" fillId="6" borderId="11" xfId="1" applyNumberFormat="1" applyFont="1" applyFill="1" applyBorder="1" applyAlignment="1">
      <alignment vertical="center"/>
    </xf>
    <xf numFmtId="3" fontId="17" fillId="6" borderId="11" xfId="1" applyNumberFormat="1" applyFont="1" applyFill="1" applyBorder="1" applyAlignment="1">
      <alignment vertical="center"/>
    </xf>
    <xf numFmtId="0" fontId="15" fillId="2" borderId="0" xfId="1" applyNumberFormat="1" applyFont="1" applyFill="1" applyBorder="1" applyAlignment="1">
      <alignment horizontal="center" vertical="center"/>
    </xf>
    <xf numFmtId="10" fontId="15" fillId="2" borderId="0" xfId="0" applyNumberFormat="1" applyFont="1" applyFill="1" applyAlignment="1">
      <alignment vertical="center"/>
    </xf>
    <xf numFmtId="2" fontId="15" fillId="2" borderId="0" xfId="0" applyNumberFormat="1" applyFont="1" applyFill="1" applyAlignment="1">
      <alignment vertical="center"/>
    </xf>
    <xf numFmtId="168" fontId="15" fillId="2" borderId="0" xfId="0" applyNumberFormat="1" applyFont="1" applyFill="1" applyAlignment="1">
      <alignment vertical="center"/>
    </xf>
    <xf numFmtId="9" fontId="15" fillId="2" borderId="0" xfId="0" applyNumberFormat="1" applyFont="1" applyFill="1" applyAlignment="1">
      <alignment vertical="center"/>
    </xf>
    <xf numFmtId="0" fontId="3" fillId="15" borderId="21" xfId="0" applyFont="1" applyFill="1" applyBorder="1"/>
    <xf numFmtId="0" fontId="3" fillId="15" borderId="22" xfId="0" applyFont="1" applyFill="1" applyBorder="1"/>
    <xf numFmtId="0" fontId="40" fillId="16" borderId="22" xfId="0" applyFont="1" applyFill="1" applyBorder="1" applyAlignment="1">
      <alignment horizontal="center" vertical="center"/>
    </xf>
    <xf numFmtId="0" fontId="40" fillId="16" borderId="23" xfId="0" applyFont="1" applyFill="1" applyBorder="1" applyAlignment="1">
      <alignment horizontal="center" vertical="center"/>
    </xf>
    <xf numFmtId="0" fontId="41" fillId="17" borderId="21" xfId="0" applyFont="1" applyFill="1" applyBorder="1" applyAlignment="1">
      <alignment horizontal="center"/>
    </xf>
    <xf numFmtId="0" fontId="41" fillId="17" borderId="22" xfId="0" applyFont="1" applyFill="1" applyBorder="1" applyAlignment="1">
      <alignment horizontal="center"/>
    </xf>
    <xf numFmtId="0" fontId="42" fillId="16" borderId="22" xfId="0" applyFont="1" applyFill="1" applyBorder="1" applyAlignment="1">
      <alignment horizontal="center" vertical="center"/>
    </xf>
    <xf numFmtId="0" fontId="42" fillId="16" borderId="23" xfId="0" applyFont="1" applyFill="1" applyBorder="1" applyAlignment="1">
      <alignment horizontal="center" vertical="center"/>
    </xf>
    <xf numFmtId="0" fontId="42" fillId="0" borderId="0" xfId="0" applyFont="1" applyAlignment="1">
      <alignment horizontal="center"/>
    </xf>
    <xf numFmtId="0" fontId="4" fillId="0" borderId="21" xfId="0" applyFont="1" applyBorder="1" applyAlignment="1">
      <alignment horizontal="center"/>
    </xf>
    <xf numFmtId="0" fontId="43" fillId="0" borderId="22" xfId="0" applyFont="1" applyBorder="1"/>
    <xf numFmtId="0" fontId="44" fillId="0" borderId="22" xfId="0" applyFont="1" applyBorder="1"/>
    <xf numFmtId="0" fontId="4" fillId="0" borderId="22" xfId="0" applyFont="1" applyBorder="1"/>
    <xf numFmtId="0" fontId="4" fillId="0" borderId="22" xfId="0" applyFont="1" applyBorder="1" applyAlignment="1">
      <alignment horizontal="center"/>
    </xf>
    <xf numFmtId="14" fontId="45" fillId="0" borderId="22" xfId="0" applyNumberFormat="1" applyFont="1" applyBorder="1"/>
    <xf numFmtId="3" fontId="45" fillId="0" borderId="22" xfId="0" applyNumberFormat="1" applyFont="1" applyBorder="1"/>
    <xf numFmtId="10" fontId="45" fillId="0" borderId="22" xfId="0" applyNumberFormat="1" applyFont="1" applyBorder="1"/>
    <xf numFmtId="3" fontId="45" fillId="0" borderId="23" xfId="0" applyNumberFormat="1" applyFont="1" applyBorder="1"/>
    <xf numFmtId="0" fontId="4" fillId="18" borderId="21" xfId="0" applyFont="1" applyFill="1" applyBorder="1" applyAlignment="1">
      <alignment horizontal="center"/>
    </xf>
    <xf numFmtId="0" fontId="43" fillId="18" borderId="22" xfId="0" applyFont="1" applyFill="1" applyBorder="1"/>
    <xf numFmtId="0" fontId="44" fillId="18" borderId="22" xfId="0" applyFont="1" applyFill="1" applyBorder="1"/>
    <xf numFmtId="0" fontId="4" fillId="18" borderId="22" xfId="0" applyFont="1" applyFill="1" applyBorder="1"/>
    <xf numFmtId="0" fontId="4" fillId="18" borderId="22" xfId="0" applyFont="1" applyFill="1" applyBorder="1" applyAlignment="1">
      <alignment horizontal="center"/>
    </xf>
    <xf numFmtId="14" fontId="45" fillId="18" borderId="22" xfId="0" applyNumberFormat="1" applyFont="1" applyFill="1" applyBorder="1"/>
    <xf numFmtId="3" fontId="45" fillId="18" borderId="22" xfId="0" applyNumberFormat="1" applyFont="1" applyFill="1" applyBorder="1"/>
    <xf numFmtId="10" fontId="45" fillId="18" borderId="22" xfId="0" applyNumberFormat="1" applyFont="1" applyFill="1" applyBorder="1"/>
    <xf numFmtId="3" fontId="45" fillId="18" borderId="23" xfId="0" applyNumberFormat="1" applyFont="1" applyFill="1" applyBorder="1"/>
    <xf numFmtId="0" fontId="46" fillId="0" borderId="22" xfId="0" applyFont="1" applyBorder="1"/>
    <xf numFmtId="0" fontId="4" fillId="0" borderId="24" xfId="0" applyFont="1" applyBorder="1" applyAlignment="1">
      <alignment horizontal="center"/>
    </xf>
    <xf numFmtId="0" fontId="43" fillId="0" borderId="25" xfId="0" applyFont="1" applyBorder="1"/>
    <xf numFmtId="0" fontId="44" fillId="0" borderId="25" xfId="0" applyFont="1" applyBorder="1"/>
    <xf numFmtId="0" fontId="4" fillId="0" borderId="25" xfId="0" applyFont="1" applyBorder="1"/>
    <xf numFmtId="0" fontId="4" fillId="0" borderId="25" xfId="0" applyFont="1" applyBorder="1" applyAlignment="1">
      <alignment horizontal="center"/>
    </xf>
    <xf numFmtId="14" fontId="45" fillId="0" borderId="25" xfId="0" applyNumberFormat="1" applyFont="1" applyBorder="1"/>
    <xf numFmtId="3" fontId="45" fillId="0" borderId="25" xfId="0" applyNumberFormat="1" applyFont="1" applyBorder="1"/>
    <xf numFmtId="10" fontId="45" fillId="0" borderId="25" xfId="0" applyNumberFormat="1" applyFont="1" applyBorder="1"/>
    <xf numFmtId="3" fontId="45" fillId="0" borderId="26" xfId="0" applyNumberFormat="1" applyFont="1" applyBorder="1"/>
    <xf numFmtId="0" fontId="4" fillId="0" borderId="0" xfId="0" applyFont="1" applyAlignment="1">
      <alignment horizontal="center"/>
    </xf>
    <xf numFmtId="3" fontId="45" fillId="0" borderId="0" xfId="0" applyNumberFormat="1" applyFont="1"/>
    <xf numFmtId="10" fontId="45" fillId="0" borderId="0" xfId="0" applyNumberFormat="1" applyFont="1"/>
    <xf numFmtId="0" fontId="41" fillId="15" borderId="0" xfId="0" applyFont="1" applyFill="1"/>
    <xf numFmtId="0" fontId="41" fillId="17" borderId="0" xfId="0" applyFont="1" applyFill="1" applyAlignment="1">
      <alignment horizontal="center"/>
    </xf>
    <xf numFmtId="0" fontId="43" fillId="0" borderId="0" xfId="0" applyFont="1"/>
    <xf numFmtId="0" fontId="47" fillId="0" borderId="0" xfId="0" applyFont="1"/>
    <xf numFmtId="0" fontId="4" fillId="0" borderId="0" xfId="0" quotePrefix="1" applyFont="1" applyAlignment="1">
      <alignment horizontal="center"/>
    </xf>
    <xf numFmtId="14" fontId="45" fillId="0" borderId="0" xfId="0" applyNumberFormat="1" applyFont="1"/>
    <xf numFmtId="0" fontId="44" fillId="0" borderId="0" xfId="0" applyFont="1"/>
    <xf numFmtId="3" fontId="48" fillId="0" borderId="0" xfId="0" applyNumberFormat="1" applyFont="1"/>
    <xf numFmtId="0" fontId="4" fillId="0" borderId="0" xfId="0" applyFont="1" applyAlignment="1">
      <alignment horizontal="center" vertical="center"/>
    </xf>
    <xf numFmtId="0" fontId="43" fillId="0" borderId="0" xfId="0" applyFont="1" applyAlignment="1">
      <alignment vertical="center"/>
    </xf>
    <xf numFmtId="0" fontId="4" fillId="0" borderId="0" xfId="0" applyFont="1" applyAlignment="1">
      <alignment vertical="center" wrapText="1"/>
    </xf>
    <xf numFmtId="0" fontId="44" fillId="0" borderId="0" xfId="0" applyFont="1" applyAlignment="1">
      <alignment vertical="center"/>
    </xf>
    <xf numFmtId="0" fontId="4" fillId="0" borderId="0" xfId="0" quotePrefix="1" applyFont="1" applyAlignment="1">
      <alignment horizontal="center" vertical="center"/>
    </xf>
    <xf numFmtId="0" fontId="45" fillId="0" borderId="0" xfId="0" applyFont="1"/>
    <xf numFmtId="0" fontId="48" fillId="0" borderId="0" xfId="0" applyFont="1"/>
    <xf numFmtId="10" fontId="4" fillId="0" borderId="1" xfId="2" applyNumberFormat="1" applyFont="1" applyFill="1" applyBorder="1"/>
    <xf numFmtId="2" fontId="4" fillId="0" borderId="1" xfId="0" applyNumberFormat="1" applyFont="1" applyBorder="1"/>
    <xf numFmtId="0" fontId="4" fillId="0" borderId="0" xfId="0" applyFont="1" applyAlignment="1">
      <alignment horizontal="right" vertical="center"/>
    </xf>
    <xf numFmtId="2" fontId="4" fillId="0" borderId="0" xfId="0" applyNumberFormat="1" applyFont="1"/>
    <xf numFmtId="3" fontId="4" fillId="0" borderId="1" xfId="0" applyNumberFormat="1" applyFont="1" applyBorder="1"/>
    <xf numFmtId="3" fontId="4" fillId="0" borderId="0" xfId="0" applyNumberFormat="1" applyFont="1"/>
    <xf numFmtId="167" fontId="4" fillId="0" borderId="1" xfId="0" applyNumberFormat="1" applyFont="1" applyBorder="1"/>
    <xf numFmtId="0" fontId="15" fillId="2" borderId="3" xfId="0" applyFont="1" applyFill="1" applyBorder="1"/>
    <xf numFmtId="0" fontId="15" fillId="2" borderId="9" xfId="0" applyFont="1" applyFill="1" applyBorder="1"/>
    <xf numFmtId="0" fontId="15" fillId="6" borderId="3" xfId="0" applyFont="1" applyFill="1" applyBorder="1"/>
    <xf numFmtId="0" fontId="14" fillId="2" borderId="0" xfId="0" applyFont="1" applyFill="1"/>
    <xf numFmtId="0" fontId="17" fillId="2" borderId="0" xfId="0" applyFont="1" applyFill="1" applyAlignment="1">
      <alignment horizontal="right"/>
    </xf>
    <xf numFmtId="0" fontId="17" fillId="2" borderId="2" xfId="0" applyFont="1" applyFill="1" applyBorder="1" applyAlignment="1">
      <alignment horizontal="right"/>
    </xf>
    <xf numFmtId="0" fontId="17" fillId="6" borderId="0" xfId="0" applyFont="1" applyFill="1" applyAlignment="1">
      <alignment horizontal="right"/>
    </xf>
    <xf numFmtId="0" fontId="35" fillId="2" borderId="0" xfId="0" applyFont="1" applyFill="1" applyAlignment="1">
      <alignment horizontal="right"/>
    </xf>
    <xf numFmtId="165" fontId="17" fillId="11" borderId="27" xfId="0" applyNumberFormat="1" applyFont="1" applyFill="1" applyBorder="1" applyAlignment="1">
      <alignment vertical="center"/>
    </xf>
    <xf numFmtId="165" fontId="17" fillId="2" borderId="27" xfId="0" applyNumberFormat="1" applyFont="1" applyFill="1" applyBorder="1"/>
    <xf numFmtId="165" fontId="17" fillId="2" borderId="28" xfId="0" applyNumberFormat="1" applyFont="1" applyFill="1" applyBorder="1"/>
    <xf numFmtId="165" fontId="17" fillId="6" borderId="27" xfId="0" applyNumberFormat="1" applyFont="1" applyFill="1" applyBorder="1"/>
    <xf numFmtId="165" fontId="17" fillId="2" borderId="0" xfId="0" applyNumberFormat="1" applyFont="1" applyFill="1"/>
    <xf numFmtId="165" fontId="17" fillId="2" borderId="0" xfId="0" applyNumberFormat="1" applyFont="1" applyFill="1" applyAlignment="1">
      <alignment horizontal="center"/>
    </xf>
    <xf numFmtId="0" fontId="25" fillId="2" borderId="14" xfId="0" applyFont="1" applyFill="1" applyBorder="1" applyAlignment="1">
      <alignment vertical="center"/>
    </xf>
    <xf numFmtId="167" fontId="25" fillId="2" borderId="29" xfId="0" applyNumberFormat="1" applyFont="1" applyFill="1" applyBorder="1"/>
    <xf numFmtId="167" fontId="25" fillId="2" borderId="30" xfId="0" applyNumberFormat="1" applyFont="1" applyFill="1" applyBorder="1"/>
    <xf numFmtId="4" fontId="15" fillId="2" borderId="7" xfId="1" applyNumberFormat="1" applyFont="1" applyFill="1" applyBorder="1"/>
    <xf numFmtId="4" fontId="15" fillId="6" borderId="7" xfId="1" applyNumberFormat="1" applyFont="1" applyFill="1" applyBorder="1"/>
    <xf numFmtId="0" fontId="53" fillId="2" borderId="0" xfId="1" applyNumberFormat="1" applyFont="1" applyFill="1" applyBorder="1" applyAlignment="1">
      <alignment horizontal="center"/>
    </xf>
    <xf numFmtId="0" fontId="54" fillId="2" borderId="0" xfId="1" applyNumberFormat="1" applyFont="1" applyFill="1" applyBorder="1" applyAlignment="1">
      <alignment horizontal="left" vertical="center" indent="2"/>
    </xf>
    <xf numFmtId="3" fontId="54" fillId="2" borderId="0" xfId="1" applyNumberFormat="1" applyFont="1" applyFill="1" applyBorder="1"/>
    <xf numFmtId="10" fontId="54" fillId="2" borderId="0" xfId="2" applyNumberFormat="1" applyFont="1" applyFill="1" applyBorder="1"/>
    <xf numFmtId="10" fontId="54" fillId="6" borderId="0" xfId="2" applyNumberFormat="1" applyFont="1" applyFill="1" applyBorder="1"/>
    <xf numFmtId="168" fontId="54" fillId="6" borderId="0" xfId="2" applyNumberFormat="1" applyFont="1" applyFill="1" applyBorder="1"/>
    <xf numFmtId="164" fontId="54" fillId="2" borderId="0" xfId="1" applyNumberFormat="1" applyFont="1" applyFill="1" applyBorder="1"/>
    <xf numFmtId="164" fontId="53" fillId="2" borderId="0" xfId="1" applyNumberFormat="1" applyFont="1" applyFill="1" applyBorder="1"/>
    <xf numFmtId="0" fontId="17" fillId="2" borderId="11" xfId="1" applyNumberFormat="1" applyFont="1" applyFill="1" applyBorder="1" applyAlignment="1">
      <alignment vertical="center"/>
    </xf>
    <xf numFmtId="4" fontId="15" fillId="2" borderId="11" xfId="1" applyNumberFormat="1" applyFont="1" applyFill="1" applyBorder="1"/>
    <xf numFmtId="4" fontId="15" fillId="6" borderId="11" xfId="1" applyNumberFormat="1" applyFont="1" applyFill="1" applyBorder="1"/>
    <xf numFmtId="0" fontId="15" fillId="2" borderId="11" xfId="1" applyNumberFormat="1" applyFont="1" applyFill="1" applyBorder="1" applyAlignment="1">
      <alignment vertical="center"/>
    </xf>
    <xf numFmtId="3" fontId="15" fillId="2" borderId="6" xfId="1" applyNumberFormat="1" applyFont="1" applyFill="1" applyBorder="1"/>
    <xf numFmtId="4" fontId="15" fillId="2" borderId="2" xfId="1" applyNumberFormat="1" applyFont="1" applyFill="1" applyBorder="1"/>
    <xf numFmtId="0" fontId="53" fillId="2" borderId="0" xfId="2" applyNumberFormat="1" applyFont="1" applyFill="1" applyBorder="1" applyAlignment="1">
      <alignment horizontal="left" vertical="center" indent="2"/>
    </xf>
    <xf numFmtId="3" fontId="53" fillId="2" borderId="0" xfId="2" applyNumberFormat="1" applyFont="1" applyFill="1" applyBorder="1"/>
    <xf numFmtId="10" fontId="54" fillId="2" borderId="2" xfId="2" applyNumberFormat="1" applyFont="1" applyFill="1" applyBorder="1"/>
    <xf numFmtId="168" fontId="53" fillId="2" borderId="0" xfId="2" applyNumberFormat="1" applyFont="1" applyFill="1" applyBorder="1"/>
    <xf numFmtId="0" fontId="55" fillId="2" borderId="0" xfId="1" applyNumberFormat="1" applyFont="1" applyFill="1" applyBorder="1" applyAlignment="1">
      <alignment horizontal="center"/>
    </xf>
    <xf numFmtId="0" fontId="55" fillId="2" borderId="0" xfId="0" applyFont="1" applyFill="1"/>
    <xf numFmtId="0" fontId="55" fillId="2" borderId="0" xfId="0" applyFont="1" applyFill="1" applyAlignment="1">
      <alignment horizontal="left" vertical="center" indent="2"/>
    </xf>
    <xf numFmtId="3" fontId="55" fillId="2" borderId="0" xfId="0" applyNumberFormat="1" applyFont="1" applyFill="1"/>
    <xf numFmtId="3" fontId="55" fillId="2" borderId="2" xfId="0" applyNumberFormat="1" applyFont="1" applyFill="1" applyBorder="1"/>
    <xf numFmtId="3" fontId="55" fillId="6" borderId="0" xfId="0" applyNumberFormat="1" applyFont="1" applyFill="1"/>
    <xf numFmtId="167" fontId="55" fillId="2" borderId="0" xfId="0" applyNumberFormat="1" applyFont="1" applyFill="1"/>
    <xf numFmtId="0" fontId="55" fillId="2" borderId="0" xfId="0" applyFont="1" applyFill="1" applyAlignment="1">
      <alignment vertical="center"/>
    </xf>
    <xf numFmtId="4" fontId="15" fillId="2" borderId="8" xfId="1" applyNumberFormat="1" applyFont="1" applyFill="1" applyBorder="1"/>
    <xf numFmtId="0" fontId="53" fillId="2" borderId="0" xfId="1" applyNumberFormat="1" applyFont="1" applyFill="1" applyBorder="1" applyAlignment="1">
      <alignment horizontal="left" vertical="center" indent="2"/>
    </xf>
    <xf numFmtId="3" fontId="53" fillId="2" borderId="0" xfId="1" applyNumberFormat="1" applyFont="1" applyFill="1" applyBorder="1"/>
    <xf numFmtId="0" fontId="19" fillId="2" borderId="0" xfId="1" applyNumberFormat="1" applyFont="1" applyFill="1" applyBorder="1" applyAlignment="1">
      <alignment horizontal="left" vertical="center" indent="2"/>
    </xf>
    <xf numFmtId="4" fontId="19" fillId="2" borderId="0" xfId="1" applyNumberFormat="1" applyFont="1" applyFill="1" applyBorder="1"/>
    <xf numFmtId="4" fontId="19" fillId="2" borderId="2" xfId="1" applyNumberFormat="1" applyFont="1" applyFill="1" applyBorder="1"/>
    <xf numFmtId="4" fontId="19" fillId="6" borderId="0" xfId="1" applyNumberFormat="1" applyFont="1" applyFill="1" applyBorder="1"/>
    <xf numFmtId="3" fontId="19" fillId="6" borderId="0" xfId="1" applyNumberFormat="1" applyFont="1" applyFill="1" applyBorder="1"/>
    <xf numFmtId="164" fontId="19" fillId="2" borderId="0" xfId="1" applyNumberFormat="1" applyFont="1" applyFill="1" applyBorder="1"/>
    <xf numFmtId="4" fontId="15" fillId="2" borderId="6" xfId="1" applyNumberFormat="1" applyFont="1" applyFill="1" applyBorder="1"/>
    <xf numFmtId="0" fontId="55" fillId="2" borderId="0" xfId="1" applyNumberFormat="1" applyFont="1" applyFill="1" applyBorder="1" applyAlignment="1">
      <alignment vertical="center"/>
    </xf>
    <xf numFmtId="0" fontId="55" fillId="2" borderId="0" xfId="1" applyNumberFormat="1" applyFont="1" applyFill="1" applyBorder="1" applyAlignment="1">
      <alignment horizontal="left" vertical="center" indent="2"/>
    </xf>
    <xf numFmtId="3" fontId="55" fillId="2" borderId="0" xfId="1" applyNumberFormat="1" applyFont="1" applyFill="1" applyBorder="1"/>
    <xf numFmtId="4" fontId="55" fillId="2" borderId="0" xfId="1" applyNumberFormat="1" applyFont="1" applyFill="1" applyBorder="1"/>
    <xf numFmtId="4" fontId="55" fillId="2" borderId="2" xfId="1" applyNumberFormat="1" applyFont="1" applyFill="1" applyBorder="1"/>
    <xf numFmtId="4" fontId="55" fillId="6" borderId="0" xfId="1" applyNumberFormat="1" applyFont="1" applyFill="1" applyBorder="1"/>
    <xf numFmtId="3" fontId="55" fillId="6" borderId="0" xfId="1" applyNumberFormat="1" applyFont="1" applyFill="1" applyBorder="1"/>
    <xf numFmtId="164" fontId="55" fillId="2" borderId="0" xfId="1" applyNumberFormat="1" applyFont="1" applyFill="1" applyBorder="1"/>
    <xf numFmtId="0" fontId="55" fillId="2" borderId="11" xfId="1" applyNumberFormat="1" applyFont="1" applyFill="1" applyBorder="1" applyAlignment="1">
      <alignment horizontal="left" vertical="center" indent="2"/>
    </xf>
    <xf numFmtId="3" fontId="55" fillId="2" borderId="11" xfId="1" applyNumberFormat="1" applyFont="1" applyFill="1" applyBorder="1"/>
    <xf numFmtId="4" fontId="55" fillId="2" borderId="11" xfId="1" applyNumberFormat="1" applyFont="1" applyFill="1" applyBorder="1"/>
    <xf numFmtId="4" fontId="55" fillId="2" borderId="6" xfId="1" applyNumberFormat="1" applyFont="1" applyFill="1" applyBorder="1"/>
    <xf numFmtId="4" fontId="55" fillId="6" borderId="11" xfId="1" applyNumberFormat="1" applyFont="1" applyFill="1" applyBorder="1"/>
    <xf numFmtId="3" fontId="55" fillId="6" borderId="11" xfId="1" applyNumberFormat="1" applyFont="1" applyFill="1" applyBorder="1"/>
    <xf numFmtId="0" fontId="53" fillId="2" borderId="0" xfId="0" applyFont="1" applyFill="1" applyAlignment="1">
      <alignment horizontal="left" vertical="center" indent="2"/>
    </xf>
    <xf numFmtId="0" fontId="53" fillId="2" borderId="0" xfId="0" applyFont="1" applyFill="1"/>
    <xf numFmtId="0" fontId="54" fillId="2" borderId="4" xfId="1" applyNumberFormat="1" applyFont="1" applyFill="1" applyBorder="1" applyAlignment="1">
      <alignment horizontal="left" vertical="center" indent="2"/>
    </xf>
    <xf numFmtId="0" fontId="53" fillId="2" borderId="4" xfId="0" applyFont="1" applyFill="1" applyBorder="1" applyAlignment="1">
      <alignment horizontal="left" vertical="center" indent="2"/>
    </xf>
    <xf numFmtId="3" fontId="53" fillId="2" borderId="4" xfId="2" applyNumberFormat="1" applyFont="1" applyFill="1" applyBorder="1"/>
    <xf numFmtId="10" fontId="54" fillId="2" borderId="4" xfId="2" applyNumberFormat="1" applyFont="1" applyFill="1" applyBorder="1"/>
    <xf numFmtId="10" fontId="54" fillId="2" borderId="5" xfId="2" applyNumberFormat="1" applyFont="1" applyFill="1" applyBorder="1"/>
    <xf numFmtId="10" fontId="54" fillId="6" borderId="4" xfId="2" applyNumberFormat="1" applyFont="1" applyFill="1" applyBorder="1"/>
    <xf numFmtId="168" fontId="54" fillId="6" borderId="31" xfId="2" applyNumberFormat="1" applyFont="1" applyFill="1" applyBorder="1"/>
    <xf numFmtId="0" fontId="15" fillId="2" borderId="31" xfId="1" applyNumberFormat="1" applyFont="1" applyFill="1" applyBorder="1" applyAlignment="1">
      <alignment vertical="center"/>
    </xf>
    <xf numFmtId="3" fontId="15" fillId="2" borderId="31" xfId="1" applyNumberFormat="1" applyFont="1" applyFill="1" applyBorder="1"/>
    <xf numFmtId="4" fontId="15" fillId="2" borderId="31" xfId="1" applyNumberFormat="1" applyFont="1" applyFill="1" applyBorder="1"/>
    <xf numFmtId="4" fontId="15" fillId="2" borderId="10" xfId="1" applyNumberFormat="1" applyFont="1" applyFill="1" applyBorder="1"/>
    <xf numFmtId="4" fontId="15" fillId="6" borderId="31" xfId="1" applyNumberFormat="1" applyFont="1" applyFill="1" applyBorder="1"/>
    <xf numFmtId="0" fontId="15" fillId="2" borderId="4" xfId="1" applyNumberFormat="1" applyFont="1" applyFill="1" applyBorder="1" applyAlignment="1">
      <alignment vertical="center"/>
    </xf>
    <xf numFmtId="3" fontId="15" fillId="2" borderId="4" xfId="1" applyNumberFormat="1" applyFont="1" applyFill="1" applyBorder="1"/>
    <xf numFmtId="4" fontId="15" fillId="2" borderId="4" xfId="1" applyNumberFormat="1" applyFont="1" applyFill="1" applyBorder="1"/>
    <xf numFmtId="4" fontId="15" fillId="2" borderId="5" xfId="1" applyNumberFormat="1" applyFont="1" applyFill="1" applyBorder="1"/>
    <xf numFmtId="4" fontId="15" fillId="6" borderId="4" xfId="1" applyNumberFormat="1" applyFont="1" applyFill="1" applyBorder="1"/>
    <xf numFmtId="3" fontId="15" fillId="6" borderId="4" xfId="1" applyNumberFormat="1" applyFont="1" applyFill="1" applyBorder="1"/>
    <xf numFmtId="4" fontId="27" fillId="2" borderId="10" xfId="1" applyNumberFormat="1" applyFont="1" applyFill="1" applyBorder="1"/>
    <xf numFmtId="164" fontId="27" fillId="2" borderId="0" xfId="1" applyNumberFormat="1" applyFont="1" applyFill="1" applyBorder="1"/>
    <xf numFmtId="0" fontId="31" fillId="2" borderId="0" xfId="1" applyNumberFormat="1" applyFont="1" applyFill="1" applyBorder="1"/>
    <xf numFmtId="3" fontId="31" fillId="2" borderId="0" xfId="1" applyNumberFormat="1" applyFont="1" applyFill="1" applyBorder="1"/>
    <xf numFmtId="3" fontId="31" fillId="2" borderId="2" xfId="1" applyNumberFormat="1" applyFont="1" applyFill="1" applyBorder="1"/>
    <xf numFmtId="3" fontId="56" fillId="2" borderId="0" xfId="1" applyNumberFormat="1" applyFont="1" applyFill="1" applyBorder="1"/>
    <xf numFmtId="164" fontId="31" fillId="2" borderId="0" xfId="1" applyNumberFormat="1" applyFont="1" applyFill="1" applyBorder="1"/>
    <xf numFmtId="4" fontId="31" fillId="2" borderId="0" xfId="1" applyNumberFormat="1" applyFont="1" applyFill="1" applyBorder="1"/>
    <xf numFmtId="0" fontId="25" fillId="2" borderId="0" xfId="0" applyFont="1" applyFill="1" applyAlignment="1">
      <alignment vertical="center"/>
    </xf>
    <xf numFmtId="0" fontId="14" fillId="2" borderId="2" xfId="0" applyFont="1" applyFill="1" applyBorder="1"/>
    <xf numFmtId="0" fontId="53" fillId="2" borderId="0" xfId="0" applyFont="1" applyFill="1" applyAlignment="1">
      <alignment horizontal="center"/>
    </xf>
    <xf numFmtId="165" fontId="17" fillId="11" borderId="0" xfId="0" applyNumberFormat="1" applyFont="1" applyFill="1" applyAlignment="1">
      <alignment vertical="center"/>
    </xf>
    <xf numFmtId="167" fontId="25" fillId="2" borderId="2" xfId="0" applyNumberFormat="1" applyFont="1" applyFill="1" applyBorder="1"/>
    <xf numFmtId="0" fontId="55" fillId="2" borderId="0" xfId="1" applyNumberFormat="1" applyFont="1" applyFill="1" applyBorder="1" applyAlignment="1">
      <alignment horizontal="left" indent="2"/>
    </xf>
    <xf numFmtId="0" fontId="55" fillId="2" borderId="0" xfId="1" applyNumberFormat="1" applyFont="1" applyFill="1" applyBorder="1"/>
    <xf numFmtId="4" fontId="17" fillId="2" borderId="8" xfId="1" applyNumberFormat="1" applyFont="1" applyFill="1" applyBorder="1"/>
    <xf numFmtId="0" fontId="26" fillId="2" borderId="0" xfId="1" applyNumberFormat="1" applyFont="1" applyFill="1" applyBorder="1"/>
    <xf numFmtId="4" fontId="27" fillId="2" borderId="2" xfId="1" applyNumberFormat="1" applyFont="1" applyFill="1" applyBorder="1"/>
    <xf numFmtId="0" fontId="57" fillId="2" borderId="0" xfId="0" applyFont="1" applyFill="1"/>
    <xf numFmtId="0" fontId="25" fillId="2" borderId="0" xfId="1" applyNumberFormat="1" applyFont="1" applyFill="1" applyBorder="1"/>
    <xf numFmtId="164" fontId="25" fillId="2" borderId="0" xfId="1" applyNumberFormat="1" applyFont="1" applyFill="1" applyBorder="1"/>
    <xf numFmtId="164" fontId="25" fillId="2" borderId="2" xfId="1" applyNumberFormat="1" applyFont="1" applyFill="1" applyBorder="1"/>
    <xf numFmtId="3" fontId="14" fillId="2" borderId="0" xfId="0" applyNumberFormat="1" applyFont="1" applyFill="1"/>
    <xf numFmtId="4" fontId="17" fillId="2" borderId="32" xfId="1" applyNumberFormat="1" applyFont="1" applyFill="1" applyBorder="1"/>
    <xf numFmtId="0" fontId="55" fillId="2" borderId="0" xfId="0" applyFont="1" applyFill="1" applyAlignment="1">
      <alignment horizontal="center"/>
    </xf>
    <xf numFmtId="3" fontId="25" fillId="2" borderId="0" xfId="1" applyNumberFormat="1" applyFont="1" applyFill="1" applyBorder="1" applyAlignment="1">
      <alignment horizontal="center"/>
    </xf>
    <xf numFmtId="3" fontId="25" fillId="2" borderId="2" xfId="1" applyNumberFormat="1" applyFont="1" applyFill="1" applyBorder="1" applyAlignment="1">
      <alignment horizontal="center"/>
    </xf>
    <xf numFmtId="3" fontId="55" fillId="2" borderId="2" xfId="1" applyNumberFormat="1" applyFont="1" applyFill="1" applyBorder="1"/>
    <xf numFmtId="0" fontId="53" fillId="2" borderId="0" xfId="1" applyNumberFormat="1" applyFont="1" applyFill="1" applyBorder="1"/>
    <xf numFmtId="0" fontId="15" fillId="0" borderId="0" xfId="1" applyNumberFormat="1" applyFont="1" applyFill="1" applyBorder="1"/>
    <xf numFmtId="0" fontId="17" fillId="2" borderId="33" xfId="1" applyNumberFormat="1" applyFont="1" applyFill="1" applyBorder="1"/>
    <xf numFmtId="3" fontId="17" fillId="2" borderId="33" xfId="1" applyNumberFormat="1" applyFont="1" applyFill="1" applyBorder="1"/>
    <xf numFmtId="4" fontId="17" fillId="2" borderId="33" xfId="1" applyNumberFormat="1" applyFont="1" applyFill="1" applyBorder="1"/>
    <xf numFmtId="4" fontId="17" fillId="2" borderId="34" xfId="1" applyNumberFormat="1" applyFont="1" applyFill="1" applyBorder="1"/>
    <xf numFmtId="4" fontId="17" fillId="6" borderId="33" xfId="1" applyNumberFormat="1" applyFont="1" applyFill="1" applyBorder="1"/>
    <xf numFmtId="3" fontId="17" fillId="6" borderId="33" xfId="1" applyNumberFormat="1" applyFont="1" applyFill="1" applyBorder="1"/>
    <xf numFmtId="0" fontId="35" fillId="2" borderId="0" xfId="1" applyNumberFormat="1" applyFont="1" applyFill="1" applyBorder="1"/>
    <xf numFmtId="3" fontId="25" fillId="2" borderId="0" xfId="1" applyNumberFormat="1" applyFont="1" applyFill="1" applyBorder="1"/>
    <xf numFmtId="3" fontId="25" fillId="2" borderId="2" xfId="1" applyNumberFormat="1" applyFont="1" applyFill="1" applyBorder="1"/>
    <xf numFmtId="4" fontId="17" fillId="2" borderId="2" xfId="1" applyNumberFormat="1" applyFont="1" applyFill="1" applyBorder="1"/>
    <xf numFmtId="0" fontId="14" fillId="20" borderId="0" xfId="0" applyFont="1" applyFill="1"/>
    <xf numFmtId="3" fontId="15" fillId="2" borderId="29" xfId="0" applyNumberFormat="1" applyFont="1" applyFill="1" applyBorder="1"/>
    <xf numFmtId="0" fontId="15" fillId="2" borderId="0" xfId="0" applyFont="1" applyFill="1" applyAlignment="1">
      <alignment horizontal="left"/>
    </xf>
    <xf numFmtId="0" fontId="17" fillId="2" borderId="0" xfId="0" applyFont="1" applyFill="1" applyAlignment="1">
      <alignment horizontal="left"/>
    </xf>
    <xf numFmtId="0" fontId="55" fillId="2" borderId="0" xfId="0" applyFont="1" applyFill="1" applyAlignment="1">
      <alignment horizontal="left"/>
    </xf>
    <xf numFmtId="0" fontId="58" fillId="2" borderId="0" xfId="0" applyFont="1" applyFill="1"/>
    <xf numFmtId="0" fontId="58" fillId="2" borderId="0" xfId="0" applyFont="1" applyFill="1" applyAlignment="1">
      <alignment horizontal="left"/>
    </xf>
    <xf numFmtId="3" fontId="58" fillId="2" borderId="0" xfId="0" applyNumberFormat="1" applyFont="1" applyFill="1"/>
    <xf numFmtId="3" fontId="58" fillId="2" borderId="0" xfId="1" applyNumberFormat="1" applyFont="1" applyFill="1" applyBorder="1"/>
    <xf numFmtId="4" fontId="58" fillId="6" borderId="0" xfId="1" applyNumberFormat="1" applyFont="1" applyFill="1" applyBorder="1"/>
    <xf numFmtId="3" fontId="58" fillId="6" borderId="0" xfId="1" applyNumberFormat="1" applyFont="1" applyFill="1" applyBorder="1"/>
    <xf numFmtId="0" fontId="59" fillId="2" borderId="0" xfId="0" applyFont="1" applyFill="1"/>
    <xf numFmtId="0" fontId="28" fillId="2" borderId="0" xfId="0" applyFont="1" applyFill="1"/>
    <xf numFmtId="0" fontId="16" fillId="2" borderId="0" xfId="0" applyFont="1" applyFill="1"/>
    <xf numFmtId="0" fontId="16" fillId="12" borderId="0" xfId="0" applyFont="1" applyFill="1"/>
    <xf numFmtId="0" fontId="17" fillId="2" borderId="33" xfId="0" applyFont="1" applyFill="1" applyBorder="1" applyAlignment="1">
      <alignment horizontal="left"/>
    </xf>
    <xf numFmtId="3" fontId="17" fillId="2" borderId="33" xfId="0" applyNumberFormat="1" applyFont="1" applyFill="1" applyBorder="1"/>
    <xf numFmtId="0" fontId="27" fillId="2" borderId="0" xfId="0" applyFont="1" applyFill="1" applyAlignment="1">
      <alignment horizontal="left"/>
    </xf>
    <xf numFmtId="4" fontId="27" fillId="2" borderId="2" xfId="0" applyNumberFormat="1" applyFont="1" applyFill="1" applyBorder="1"/>
    <xf numFmtId="3" fontId="27" fillId="21" borderId="0" xfId="0" applyNumberFormat="1" applyFont="1" applyFill="1"/>
    <xf numFmtId="0" fontId="55" fillId="2" borderId="0" xfId="0" applyFont="1" applyFill="1" applyAlignment="1">
      <alignment horizontal="left" indent="2"/>
    </xf>
    <xf numFmtId="0" fontId="17" fillId="2" borderId="33" xfId="0" applyFont="1" applyFill="1" applyBorder="1"/>
    <xf numFmtId="0" fontId="31" fillId="2" borderId="0" xfId="0" applyFont="1" applyFill="1"/>
    <xf numFmtId="0" fontId="17" fillId="2" borderId="4" xfId="0" applyFont="1" applyFill="1" applyBorder="1"/>
    <xf numFmtId="3" fontId="17" fillId="2" borderId="4" xfId="0" applyNumberFormat="1" applyFont="1" applyFill="1" applyBorder="1"/>
    <xf numFmtId="3" fontId="17" fillId="2" borderId="4" xfId="1" applyNumberFormat="1" applyFont="1" applyFill="1" applyBorder="1"/>
    <xf numFmtId="4" fontId="17" fillId="2" borderId="4" xfId="1" applyNumberFormat="1" applyFont="1" applyFill="1" applyBorder="1"/>
    <xf numFmtId="4" fontId="17" fillId="2" borderId="5" xfId="1" applyNumberFormat="1" applyFont="1" applyFill="1" applyBorder="1"/>
    <xf numFmtId="4" fontId="17" fillId="6" borderId="4" xfId="1" applyNumberFormat="1" applyFont="1" applyFill="1" applyBorder="1"/>
    <xf numFmtId="172" fontId="27" fillId="2" borderId="0" xfId="0" applyNumberFormat="1" applyFont="1" applyFill="1"/>
    <xf numFmtId="3" fontId="27" fillId="2" borderId="31" xfId="1" applyNumberFormat="1" applyFont="1" applyFill="1" applyBorder="1"/>
    <xf numFmtId="0" fontId="10" fillId="2" borderId="0" xfId="0" applyFont="1" applyFill="1" applyAlignment="1">
      <alignment horizontal="center"/>
    </xf>
    <xf numFmtId="0" fontId="10" fillId="2" borderId="0" xfId="0" applyFont="1" applyFill="1"/>
    <xf numFmtId="0" fontId="60" fillId="2" borderId="0" xfId="0" applyFont="1" applyFill="1" applyAlignment="1">
      <alignment horizontal="right"/>
    </xf>
    <xf numFmtId="0" fontId="10" fillId="0" borderId="3" xfId="0" applyFont="1" applyBorder="1"/>
    <xf numFmtId="0" fontId="10" fillId="6" borderId="3" xfId="0" applyFont="1" applyFill="1" applyBorder="1"/>
    <xf numFmtId="0" fontId="60" fillId="0" borderId="0" xfId="0" applyFont="1" applyAlignment="1">
      <alignment horizontal="right"/>
    </xf>
    <xf numFmtId="0" fontId="60" fillId="6" borderId="0" xfId="0" applyFont="1" applyFill="1" applyAlignment="1">
      <alignment horizontal="right"/>
    </xf>
    <xf numFmtId="0" fontId="60" fillId="2" borderId="0" xfId="0" applyFont="1" applyFill="1" applyAlignment="1">
      <alignment horizontal="center"/>
    </xf>
    <xf numFmtId="165" fontId="60" fillId="2" borderId="27" xfId="0" quotePrefix="1" applyNumberFormat="1" applyFont="1" applyFill="1" applyBorder="1" applyAlignment="1">
      <alignment horizontal="center"/>
    </xf>
    <xf numFmtId="165" fontId="60" fillId="8" borderId="27" xfId="0" applyNumberFormat="1" applyFont="1" applyFill="1" applyBorder="1" applyAlignment="1">
      <alignment horizontal="center"/>
    </xf>
    <xf numFmtId="165" fontId="60" fillId="2" borderId="27" xfId="0" applyNumberFormat="1" applyFont="1" applyFill="1" applyBorder="1" applyAlignment="1">
      <alignment horizontal="center"/>
    </xf>
    <xf numFmtId="165" fontId="60" fillId="0" borderId="27" xfId="0" applyNumberFormat="1" applyFont="1" applyBorder="1" applyAlignment="1">
      <alignment horizontal="center"/>
    </xf>
    <xf numFmtId="165" fontId="60" fillId="0" borderId="28" xfId="0" applyNumberFormat="1" applyFont="1" applyBorder="1" applyAlignment="1">
      <alignment horizontal="center"/>
    </xf>
    <xf numFmtId="165" fontId="60" fillId="6" borderId="27" xfId="0" applyNumberFormat="1" applyFont="1" applyFill="1" applyBorder="1" applyAlignment="1">
      <alignment horizontal="center"/>
    </xf>
    <xf numFmtId="0" fontId="61" fillId="2" borderId="0" xfId="0" applyFont="1" applyFill="1" applyAlignment="1">
      <alignment horizontal="center"/>
    </xf>
    <xf numFmtId="165" fontId="61" fillId="2" borderId="0" xfId="0" quotePrefix="1" applyNumberFormat="1" applyFont="1" applyFill="1" applyAlignment="1">
      <alignment horizontal="center"/>
    </xf>
    <xf numFmtId="165" fontId="62" fillId="2" borderId="0" xfId="0" applyNumberFormat="1" applyFont="1" applyFill="1" applyAlignment="1">
      <alignment horizontal="center"/>
    </xf>
    <xf numFmtId="165" fontId="62" fillId="2" borderId="2" xfId="0" applyNumberFormat="1" applyFont="1" applyFill="1" applyBorder="1" applyAlignment="1">
      <alignment horizontal="center"/>
    </xf>
    <xf numFmtId="0" fontId="9" fillId="2" borderId="0" xfId="0" applyFont="1" applyFill="1" applyAlignment="1">
      <alignment horizontal="center"/>
    </xf>
    <xf numFmtId="0" fontId="63" fillId="10" borderId="0" xfId="0" applyFont="1" applyFill="1"/>
    <xf numFmtId="0" fontId="9" fillId="10" borderId="0" xfId="0" applyFont="1" applyFill="1"/>
    <xf numFmtId="0" fontId="9" fillId="10" borderId="2" xfId="0" applyFont="1" applyFill="1" applyBorder="1"/>
    <xf numFmtId="0" fontId="9" fillId="2" borderId="0" xfId="0" applyFont="1" applyFill="1"/>
    <xf numFmtId="0" fontId="9" fillId="2" borderId="2" xfId="0" applyFont="1" applyFill="1" applyBorder="1"/>
    <xf numFmtId="0" fontId="9" fillId="22" borderId="0" xfId="0" applyFont="1" applyFill="1" applyAlignment="1">
      <alignment horizontal="center"/>
    </xf>
    <xf numFmtId="0" fontId="63" fillId="22" borderId="0" xfId="0" applyFont="1" applyFill="1"/>
    <xf numFmtId="0" fontId="9" fillId="22" borderId="0" xfId="0" applyFont="1" applyFill="1"/>
    <xf numFmtId="0" fontId="61" fillId="22" borderId="0" xfId="0" quotePrefix="1" applyFont="1" applyFill="1" applyAlignment="1">
      <alignment horizontal="right"/>
    </xf>
    <xf numFmtId="0" fontId="61" fillId="22" borderId="2" xfId="0" quotePrefix="1" applyFont="1" applyFill="1" applyBorder="1" applyAlignment="1">
      <alignment horizontal="right"/>
    </xf>
    <xf numFmtId="0" fontId="10" fillId="2" borderId="0" xfId="0" applyFont="1" applyFill="1" applyAlignment="1">
      <alignment horizontal="left" indent="2"/>
    </xf>
    <xf numFmtId="0" fontId="10" fillId="2" borderId="0" xfId="0" quotePrefix="1" applyFont="1" applyFill="1" applyAlignment="1">
      <alignment horizontal="left" indent="2"/>
    </xf>
    <xf numFmtId="3" fontId="10" fillId="2" borderId="2" xfId="0" applyNumberFormat="1" applyFont="1" applyFill="1" applyBorder="1"/>
    <xf numFmtId="0" fontId="60" fillId="2" borderId="0" xfId="0" quotePrefix="1" applyFont="1" applyFill="1" applyAlignment="1">
      <alignment horizontal="right"/>
    </xf>
    <xf numFmtId="1" fontId="60" fillId="2" borderId="0" xfId="0" quotePrefix="1" applyNumberFormat="1" applyFont="1" applyFill="1" applyAlignment="1">
      <alignment horizontal="right"/>
    </xf>
    <xf numFmtId="3" fontId="10" fillId="2" borderId="0" xfId="0" applyNumberFormat="1" applyFont="1" applyFill="1"/>
    <xf numFmtId="173" fontId="60" fillId="21" borderId="0" xfId="0" quotePrefix="1" applyNumberFormat="1" applyFont="1" applyFill="1" applyAlignment="1">
      <alignment horizontal="right"/>
    </xf>
    <xf numFmtId="3" fontId="10" fillId="2" borderId="0" xfId="0" applyNumberFormat="1" applyFont="1" applyFill="1" applyAlignment="1">
      <alignment horizontal="center"/>
    </xf>
    <xf numFmtId="3" fontId="10" fillId="2" borderId="0" xfId="1" applyNumberFormat="1" applyFont="1" applyFill="1" applyBorder="1"/>
    <xf numFmtId="1" fontId="10" fillId="2" borderId="0" xfId="0" applyNumberFormat="1" applyFont="1" applyFill="1"/>
    <xf numFmtId="3" fontId="10" fillId="21" borderId="0" xfId="0" applyNumberFormat="1" applyFont="1" applyFill="1"/>
    <xf numFmtId="173" fontId="10" fillId="2" borderId="0" xfId="0" applyNumberFormat="1" applyFont="1" applyFill="1"/>
    <xf numFmtId="0" fontId="10" fillId="2" borderId="0" xfId="0" applyFont="1" applyFill="1" applyAlignment="1">
      <alignment horizontal="left" wrapText="1" indent="2"/>
    </xf>
    <xf numFmtId="0" fontId="10" fillId="2" borderId="0" xfId="0" quotePrefix="1" applyFont="1" applyFill="1" applyAlignment="1">
      <alignment horizontal="left" wrapText="1" indent="2"/>
    </xf>
    <xf numFmtId="3" fontId="10" fillId="0" borderId="0" xfId="0" applyNumberFormat="1" applyFont="1"/>
    <xf numFmtId="3" fontId="10" fillId="0" borderId="6" xfId="0" applyNumberFormat="1" applyFont="1" applyBorder="1"/>
    <xf numFmtId="0" fontId="60" fillId="2" borderId="7" xfId="0" applyFont="1" applyFill="1" applyBorder="1"/>
    <xf numFmtId="3" fontId="60" fillId="2" borderId="7" xfId="0" applyNumberFormat="1" applyFont="1" applyFill="1" applyBorder="1"/>
    <xf numFmtId="1" fontId="60" fillId="2" borderId="7" xfId="0" applyNumberFormat="1" applyFont="1" applyFill="1" applyBorder="1"/>
    <xf numFmtId="1" fontId="60" fillId="2" borderId="7" xfId="2" applyNumberFormat="1" applyFont="1" applyFill="1" applyBorder="1"/>
    <xf numFmtId="2" fontId="60" fillId="2" borderId="7" xfId="2" applyNumberFormat="1" applyFont="1" applyFill="1" applyBorder="1"/>
    <xf numFmtId="2" fontId="60" fillId="2" borderId="8" xfId="2" applyNumberFormat="1" applyFont="1" applyFill="1" applyBorder="1"/>
    <xf numFmtId="3" fontId="60" fillId="21" borderId="7" xfId="2" applyNumberFormat="1" applyFont="1" applyFill="1" applyBorder="1"/>
    <xf numFmtId="0" fontId="60" fillId="2" borderId="0" xfId="0" applyFont="1" applyFill="1"/>
    <xf numFmtId="3" fontId="60" fillId="2" borderId="0" xfId="0" applyNumberFormat="1" applyFont="1" applyFill="1"/>
    <xf numFmtId="1" fontId="60" fillId="2" borderId="0" xfId="0" applyNumberFormat="1" applyFont="1" applyFill="1"/>
    <xf numFmtId="1" fontId="60" fillId="2" borderId="0" xfId="2" applyNumberFormat="1" applyFont="1" applyFill="1" applyBorder="1"/>
    <xf numFmtId="2" fontId="60" fillId="2" borderId="0" xfId="2" applyNumberFormat="1" applyFont="1" applyFill="1" applyBorder="1"/>
    <xf numFmtId="2" fontId="60" fillId="2" borderId="2" xfId="2" applyNumberFormat="1" applyFont="1" applyFill="1" applyBorder="1"/>
    <xf numFmtId="4" fontId="60" fillId="21" borderId="0" xfId="2" applyNumberFormat="1" applyFont="1" applyFill="1" applyBorder="1"/>
    <xf numFmtId="3" fontId="60" fillId="21" borderId="0" xfId="2" applyNumberFormat="1" applyFont="1" applyFill="1" applyBorder="1"/>
    <xf numFmtId="0" fontId="64" fillId="2" borderId="0" xfId="0" applyFont="1" applyFill="1" applyAlignment="1">
      <alignment horizontal="center"/>
    </xf>
    <xf numFmtId="0" fontId="64" fillId="2" borderId="0" xfId="0" applyFont="1" applyFill="1"/>
    <xf numFmtId="9" fontId="64" fillId="2" borderId="0" xfId="2" applyFont="1" applyFill="1" applyBorder="1"/>
    <xf numFmtId="0" fontId="60" fillId="2" borderId="2" xfId="0" quotePrefix="1" applyFont="1" applyFill="1" applyBorder="1" applyAlignment="1">
      <alignment horizontal="right"/>
    </xf>
    <xf numFmtId="9" fontId="60" fillId="21" borderId="0" xfId="2" quotePrefix="1" applyFont="1" applyFill="1" applyBorder="1" applyAlignment="1">
      <alignment horizontal="right"/>
    </xf>
    <xf numFmtId="4" fontId="10" fillId="2" borderId="0" xfId="0" applyNumberFormat="1" applyFont="1" applyFill="1"/>
    <xf numFmtId="169" fontId="10" fillId="2" borderId="0" xfId="0" applyNumberFormat="1" applyFont="1" applyFill="1"/>
    <xf numFmtId="173" fontId="10" fillId="2" borderId="2" xfId="0" applyNumberFormat="1" applyFont="1" applyFill="1" applyBorder="1"/>
    <xf numFmtId="1" fontId="10" fillId="2" borderId="11" xfId="0" applyNumberFormat="1" applyFont="1" applyFill="1" applyBorder="1"/>
    <xf numFmtId="9" fontId="10" fillId="0" borderId="0" xfId="2" applyFont="1" applyFill="1" applyBorder="1"/>
    <xf numFmtId="9" fontId="60" fillId="2" borderId="7" xfId="2" applyFont="1" applyFill="1" applyBorder="1"/>
    <xf numFmtId="9" fontId="60" fillId="2" borderId="8" xfId="2" applyFont="1" applyFill="1" applyBorder="1"/>
    <xf numFmtId="10" fontId="60" fillId="2" borderId="7" xfId="2" applyNumberFormat="1" applyFont="1" applyFill="1" applyBorder="1"/>
    <xf numFmtId="9" fontId="64" fillId="2" borderId="2" xfId="2" applyFont="1" applyFill="1" applyBorder="1"/>
    <xf numFmtId="0" fontId="64" fillId="22" borderId="0" xfId="0" applyFont="1" applyFill="1" applyAlignment="1">
      <alignment horizontal="center"/>
    </xf>
    <xf numFmtId="0" fontId="65" fillId="22" borderId="0" xfId="0" applyFont="1" applyFill="1"/>
    <xf numFmtId="173" fontId="65" fillId="22" borderId="0" xfId="0" applyNumberFormat="1" applyFont="1" applyFill="1"/>
    <xf numFmtId="9" fontId="65" fillId="22" borderId="0" xfId="2" applyFont="1" applyFill="1" applyBorder="1"/>
    <xf numFmtId="9" fontId="64" fillId="22" borderId="0" xfId="2" applyFont="1" applyFill="1" applyBorder="1"/>
    <xf numFmtId="9" fontId="65" fillId="22" borderId="2" xfId="2" applyFont="1" applyFill="1" applyBorder="1"/>
    <xf numFmtId="0" fontId="64" fillId="22" borderId="0" xfId="0" applyFont="1" applyFill="1"/>
    <xf numFmtId="3" fontId="60" fillId="2" borderId="0" xfId="2" applyNumberFormat="1" applyFont="1" applyFill="1" applyBorder="1"/>
    <xf numFmtId="169" fontId="10" fillId="2" borderId="0" xfId="2" applyNumberFormat="1" applyFont="1" applyFill="1" applyBorder="1"/>
    <xf numFmtId="169" fontId="10" fillId="2" borderId="2" xfId="2" applyNumberFormat="1" applyFont="1" applyFill="1" applyBorder="1"/>
    <xf numFmtId="169" fontId="10" fillId="2" borderId="2" xfId="0" applyNumberFormat="1" applyFont="1" applyFill="1" applyBorder="1"/>
    <xf numFmtId="3" fontId="10" fillId="2" borderId="0" xfId="2" applyNumberFormat="1" applyFont="1" applyFill="1" applyBorder="1"/>
    <xf numFmtId="3" fontId="10" fillId="21" borderId="0" xfId="2" applyNumberFormat="1" applyFont="1" applyFill="1" applyBorder="1"/>
    <xf numFmtId="169" fontId="10" fillId="2" borderId="0" xfId="0" applyNumberFormat="1" applyFont="1" applyFill="1" applyAlignment="1">
      <alignment horizontal="right"/>
    </xf>
    <xf numFmtId="169" fontId="10" fillId="2" borderId="6" xfId="0" applyNumberFormat="1" applyFont="1" applyFill="1" applyBorder="1"/>
    <xf numFmtId="173" fontId="60" fillId="2" borderId="7" xfId="0" applyNumberFormat="1" applyFont="1" applyFill="1" applyBorder="1"/>
    <xf numFmtId="174" fontId="60" fillId="2" borderId="7" xfId="0" applyNumberFormat="1" applyFont="1" applyFill="1" applyBorder="1"/>
    <xf numFmtId="174" fontId="60" fillId="21" borderId="7" xfId="0" applyNumberFormat="1" applyFont="1" applyFill="1" applyBorder="1"/>
    <xf numFmtId="0" fontId="65" fillId="2" borderId="0" xfId="0" applyFont="1" applyFill="1"/>
    <xf numFmtId="173" fontId="65" fillId="2" borderId="0" xfId="0" applyNumberFormat="1" applyFont="1" applyFill="1"/>
    <xf numFmtId="173" fontId="65" fillId="2" borderId="2" xfId="0" applyNumberFormat="1" applyFont="1" applyFill="1" applyBorder="1"/>
    <xf numFmtId="174" fontId="10" fillId="21" borderId="0" xfId="0" applyNumberFormat="1" applyFont="1" applyFill="1"/>
    <xf numFmtId="9" fontId="10" fillId="2" borderId="7" xfId="2" applyFont="1" applyFill="1" applyBorder="1" applyAlignment="1">
      <alignment horizontal="center"/>
    </xf>
    <xf numFmtId="173" fontId="60" fillId="21" borderId="7" xfId="0" applyNumberFormat="1" applyFont="1" applyFill="1" applyBorder="1"/>
    <xf numFmtId="9" fontId="65" fillId="2" borderId="0" xfId="2" applyFont="1" applyFill="1" applyBorder="1"/>
    <xf numFmtId="9" fontId="65" fillId="2" borderId="2" xfId="2" applyFont="1" applyFill="1" applyBorder="1"/>
    <xf numFmtId="3" fontId="10" fillId="2" borderId="0" xfId="0" applyNumberFormat="1" applyFont="1" applyFill="1" applyAlignment="1">
      <alignment horizontal="left" indent="2"/>
    </xf>
    <xf numFmtId="173" fontId="60" fillId="2" borderId="0" xfId="0" applyNumberFormat="1" applyFont="1" applyFill="1"/>
    <xf numFmtId="9" fontId="60" fillId="2" borderId="0" xfId="2" applyFont="1" applyFill="1" applyBorder="1"/>
    <xf numFmtId="9" fontId="60" fillId="21" borderId="0" xfId="2" applyFont="1" applyFill="1" applyBorder="1"/>
    <xf numFmtId="9" fontId="60" fillId="21" borderId="2" xfId="2" applyFont="1" applyFill="1" applyBorder="1"/>
    <xf numFmtId="174" fontId="10" fillId="2" borderId="0" xfId="0" applyNumberFormat="1" applyFont="1" applyFill="1"/>
    <xf numFmtId="174" fontId="10" fillId="21" borderId="2" xfId="0" applyNumberFormat="1" applyFont="1" applyFill="1" applyBorder="1"/>
    <xf numFmtId="9" fontId="60" fillId="21" borderId="7" xfId="2" applyFont="1" applyFill="1" applyBorder="1"/>
    <xf numFmtId="9" fontId="60" fillId="21" borderId="8" xfId="2" applyFont="1" applyFill="1" applyBorder="1"/>
    <xf numFmtId="9" fontId="60" fillId="2" borderId="2" xfId="2" applyFont="1" applyFill="1" applyBorder="1"/>
    <xf numFmtId="173" fontId="66" fillId="19" borderId="0" xfId="0" applyNumberFormat="1" applyFont="1" applyFill="1"/>
    <xf numFmtId="173" fontId="64" fillId="2" borderId="0" xfId="0" applyNumberFormat="1" applyFont="1" applyFill="1"/>
    <xf numFmtId="0" fontId="67" fillId="22" borderId="0" xfId="0" applyFont="1" applyFill="1"/>
    <xf numFmtId="173" fontId="67" fillId="22" borderId="0" xfId="0" applyNumberFormat="1" applyFont="1" applyFill="1"/>
    <xf numFmtId="173" fontId="67" fillId="22" borderId="2" xfId="0" applyNumberFormat="1" applyFont="1" applyFill="1" applyBorder="1"/>
    <xf numFmtId="10" fontId="10" fillId="2" borderId="0" xfId="0" applyNumberFormat="1" applyFont="1" applyFill="1"/>
    <xf numFmtId="10" fontId="10" fillId="2" borderId="2" xfId="0" applyNumberFormat="1" applyFont="1" applyFill="1" applyBorder="1"/>
    <xf numFmtId="10" fontId="10" fillId="21" borderId="0" xfId="0" applyNumberFormat="1" applyFont="1" applyFill="1"/>
    <xf numFmtId="10" fontId="60" fillId="21" borderId="0" xfId="0" applyNumberFormat="1" applyFont="1" applyFill="1"/>
    <xf numFmtId="173" fontId="60" fillId="21" borderId="0" xfId="0" applyNumberFormat="1" applyFont="1" applyFill="1"/>
    <xf numFmtId="10" fontId="66" fillId="19" borderId="0" xfId="0" applyNumberFormat="1" applyFont="1" applyFill="1"/>
    <xf numFmtId="10" fontId="63" fillId="19" borderId="0" xfId="0" applyNumberFormat="1" applyFont="1" applyFill="1"/>
    <xf numFmtId="173" fontId="63" fillId="19" borderId="0" xfId="0" applyNumberFormat="1" applyFont="1" applyFill="1"/>
    <xf numFmtId="9" fontId="10" fillId="2" borderId="0" xfId="2" applyFont="1" applyFill="1" applyBorder="1"/>
    <xf numFmtId="10" fontId="10" fillId="21" borderId="0" xfId="2" applyNumberFormat="1" applyFont="1" applyFill="1" applyBorder="1"/>
    <xf numFmtId="9" fontId="10" fillId="2" borderId="2" xfId="2" applyFont="1" applyFill="1" applyBorder="1" applyAlignment="1">
      <alignment horizontal="right"/>
    </xf>
    <xf numFmtId="9" fontId="10" fillId="21" borderId="0" xfId="2" applyFont="1" applyFill="1" applyBorder="1"/>
    <xf numFmtId="9" fontId="10" fillId="2" borderId="0" xfId="0" applyNumberFormat="1" applyFont="1" applyFill="1"/>
    <xf numFmtId="9" fontId="10" fillId="2" borderId="2" xfId="0" applyNumberFormat="1" applyFont="1" applyFill="1" applyBorder="1"/>
    <xf numFmtId="9" fontId="10" fillId="21" borderId="0" xfId="0" applyNumberFormat="1" applyFont="1" applyFill="1"/>
    <xf numFmtId="9" fontId="10" fillId="2" borderId="2" xfId="0" applyNumberFormat="1" applyFont="1" applyFill="1" applyBorder="1" applyAlignment="1">
      <alignment horizontal="right"/>
    </xf>
    <xf numFmtId="10" fontId="60" fillId="2" borderId="8" xfId="2" applyNumberFormat="1" applyFont="1" applyFill="1" applyBorder="1"/>
    <xf numFmtId="10" fontId="60" fillId="21" borderId="7" xfId="2" applyNumberFormat="1" applyFont="1" applyFill="1" applyBorder="1"/>
    <xf numFmtId="9" fontId="8" fillId="2" borderId="0" xfId="3" applyNumberFormat="1" applyFont="1" applyFill="1" applyBorder="1"/>
    <xf numFmtId="0" fontId="65" fillId="22" borderId="2" xfId="0" applyFont="1" applyFill="1" applyBorder="1"/>
    <xf numFmtId="3" fontId="10" fillId="2" borderId="2" xfId="2" applyNumberFormat="1" applyFont="1" applyFill="1" applyBorder="1"/>
    <xf numFmtId="174" fontId="10" fillId="2" borderId="2" xfId="0" applyNumberFormat="1" applyFont="1" applyFill="1" applyBorder="1"/>
    <xf numFmtId="3" fontId="10" fillId="2" borderId="6" xfId="0" applyNumberFormat="1" applyFont="1" applyFill="1" applyBorder="1"/>
    <xf numFmtId="173" fontId="10" fillId="2" borderId="7" xfId="0" applyNumberFormat="1" applyFont="1" applyFill="1" applyBorder="1"/>
    <xf numFmtId="173" fontId="10" fillId="2" borderId="8" xfId="0" applyNumberFormat="1" applyFont="1" applyFill="1" applyBorder="1"/>
    <xf numFmtId="173" fontId="60" fillId="2" borderId="2" xfId="0" applyNumberFormat="1" applyFont="1" applyFill="1" applyBorder="1"/>
    <xf numFmtId="173" fontId="10" fillId="21" borderId="0" xfId="0" applyNumberFormat="1" applyFont="1" applyFill="1" applyAlignment="1">
      <alignment horizontal="center"/>
    </xf>
    <xf numFmtId="9" fontId="10" fillId="2" borderId="2" xfId="2" applyFont="1" applyFill="1" applyBorder="1"/>
    <xf numFmtId="9" fontId="10" fillId="21" borderId="20" xfId="0" applyNumberFormat="1" applyFont="1" applyFill="1" applyBorder="1"/>
    <xf numFmtId="9" fontId="10" fillId="21" borderId="11" xfId="0" applyNumberFormat="1" applyFont="1" applyFill="1" applyBorder="1"/>
    <xf numFmtId="10" fontId="10" fillId="2" borderId="7" xfId="2" applyNumberFormat="1" applyFont="1" applyFill="1" applyBorder="1"/>
    <xf numFmtId="10" fontId="10" fillId="2" borderId="8" xfId="2" applyNumberFormat="1" applyFont="1" applyFill="1" applyBorder="1"/>
    <xf numFmtId="10" fontId="10" fillId="21" borderId="0" xfId="0" applyNumberFormat="1" applyFont="1" applyFill="1" applyAlignment="1">
      <alignment horizontal="center"/>
    </xf>
    <xf numFmtId="174" fontId="60" fillId="2" borderId="0" xfId="0" applyNumberFormat="1" applyFont="1" applyFill="1"/>
    <xf numFmtId="176" fontId="10" fillId="2" borderId="0" xfId="0" applyNumberFormat="1" applyFont="1" applyFill="1"/>
    <xf numFmtId="176" fontId="10" fillId="2" borderId="2" xfId="0" applyNumberFormat="1" applyFont="1" applyFill="1" applyBorder="1"/>
    <xf numFmtId="174" fontId="60" fillId="21" borderId="0" xfId="0" applyNumberFormat="1" applyFont="1" applyFill="1"/>
    <xf numFmtId="174" fontId="60" fillId="2" borderId="2" xfId="0" applyNumberFormat="1" applyFont="1" applyFill="1" applyBorder="1"/>
    <xf numFmtId="177" fontId="10" fillId="2" borderId="7" xfId="0" applyNumberFormat="1" applyFont="1" applyFill="1" applyBorder="1"/>
    <xf numFmtId="177" fontId="10" fillId="2" borderId="8" xfId="0" applyNumberFormat="1" applyFont="1" applyFill="1" applyBorder="1"/>
    <xf numFmtId="177" fontId="60" fillId="2" borderId="7" xfId="0" applyNumberFormat="1" applyFont="1" applyFill="1" applyBorder="1"/>
    <xf numFmtId="177" fontId="10" fillId="2" borderId="0" xfId="0" applyNumberFormat="1" applyFont="1" applyFill="1"/>
    <xf numFmtId="177" fontId="10" fillId="2" borderId="2" xfId="0" applyNumberFormat="1" applyFont="1" applyFill="1" applyBorder="1"/>
    <xf numFmtId="177" fontId="60" fillId="2" borderId="0" xfId="0" applyNumberFormat="1" applyFont="1" applyFill="1"/>
    <xf numFmtId="0" fontId="68" fillId="2" borderId="0" xfId="0" applyFont="1" applyFill="1" applyAlignment="1">
      <alignment horizontal="center"/>
    </xf>
    <xf numFmtId="0" fontId="69" fillId="2" borderId="0" xfId="0" applyFont="1" applyFill="1" applyAlignment="1">
      <alignment horizontal="left" indent="2"/>
    </xf>
    <xf numFmtId="0" fontId="68" fillId="2" borderId="0" xfId="0" applyFont="1" applyFill="1"/>
    <xf numFmtId="173" fontId="68" fillId="2" borderId="0" xfId="0" applyNumberFormat="1" applyFont="1" applyFill="1"/>
    <xf numFmtId="9" fontId="68" fillId="2" borderId="0" xfId="2" applyFont="1" applyFill="1" applyBorder="1"/>
    <xf numFmtId="9" fontId="68" fillId="2" borderId="2" xfId="2" applyFont="1" applyFill="1" applyBorder="1"/>
    <xf numFmtId="10" fontId="68" fillId="2" borderId="0" xfId="2" applyNumberFormat="1" applyFont="1" applyFill="1" applyBorder="1"/>
    <xf numFmtId="0" fontId="67" fillId="2" borderId="0" xfId="0" applyFont="1" applyFill="1"/>
    <xf numFmtId="173" fontId="67" fillId="2" borderId="0" xfId="0" applyNumberFormat="1" applyFont="1" applyFill="1"/>
    <xf numFmtId="9" fontId="67" fillId="2" borderId="0" xfId="2" applyFont="1" applyFill="1" applyBorder="1"/>
    <xf numFmtId="173" fontId="67" fillId="2" borderId="2" xfId="0" applyNumberFormat="1" applyFont="1" applyFill="1" applyBorder="1"/>
    <xf numFmtId="3" fontId="60" fillId="2" borderId="0" xfId="0" applyNumberFormat="1" applyFont="1" applyFill="1" applyAlignment="1">
      <alignment horizontal="center"/>
    </xf>
    <xf numFmtId="3" fontId="65" fillId="2" borderId="0" xfId="0" applyNumberFormat="1" applyFont="1" applyFill="1" applyAlignment="1">
      <alignment horizontal="center"/>
    </xf>
    <xf numFmtId="173" fontId="65" fillId="21" borderId="0" xfId="0" applyNumberFormat="1" applyFont="1" applyFill="1"/>
    <xf numFmtId="178" fontId="67" fillId="2" borderId="0" xfId="0" applyNumberFormat="1" applyFont="1" applyFill="1"/>
    <xf numFmtId="178" fontId="67" fillId="2" borderId="2" xfId="0" applyNumberFormat="1" applyFont="1" applyFill="1" applyBorder="1"/>
    <xf numFmtId="172" fontId="67" fillId="2" borderId="0" xfId="0" applyNumberFormat="1" applyFont="1" applyFill="1"/>
    <xf numFmtId="168" fontId="60" fillId="2" borderId="0" xfId="0" applyNumberFormat="1" applyFont="1" applyFill="1"/>
    <xf numFmtId="168" fontId="60" fillId="2" borderId="2" xfId="0" applyNumberFormat="1" applyFont="1" applyFill="1" applyBorder="1"/>
    <xf numFmtId="168" fontId="60" fillId="21" borderId="0" xfId="0" applyNumberFormat="1" applyFont="1" applyFill="1"/>
    <xf numFmtId="168" fontId="10" fillId="2" borderId="0" xfId="0" applyNumberFormat="1" applyFont="1" applyFill="1"/>
    <xf numFmtId="168" fontId="10" fillId="2" borderId="2" xfId="0" applyNumberFormat="1" applyFont="1" applyFill="1" applyBorder="1"/>
    <xf numFmtId="168" fontId="10" fillId="21" borderId="0" xfId="0" applyNumberFormat="1" applyFont="1" applyFill="1"/>
    <xf numFmtId="0" fontId="63" fillId="2" borderId="0" xfId="0" applyFont="1" applyFill="1"/>
    <xf numFmtId="0" fontId="9" fillId="22" borderId="2" xfId="0" applyFont="1" applyFill="1" applyBorder="1"/>
    <xf numFmtId="9" fontId="60" fillId="2" borderId="0" xfId="2" applyFont="1" applyFill="1" applyBorder="1" applyAlignment="1">
      <alignment horizontal="center"/>
    </xf>
    <xf numFmtId="173" fontId="60" fillId="2" borderId="0" xfId="2" applyNumberFormat="1" applyFont="1" applyFill="1" applyBorder="1"/>
    <xf numFmtId="173" fontId="60" fillId="2" borderId="2" xfId="2" applyNumberFormat="1" applyFont="1" applyFill="1" applyBorder="1"/>
    <xf numFmtId="173" fontId="60" fillId="21" borderId="0" xfId="2" applyNumberFormat="1" applyFont="1" applyFill="1" applyBorder="1"/>
    <xf numFmtId="9" fontId="10" fillId="2" borderId="0" xfId="2" applyFont="1" applyFill="1" applyBorder="1" applyAlignment="1">
      <alignment horizontal="center"/>
    </xf>
    <xf numFmtId="167" fontId="10" fillId="2" borderId="0" xfId="2" applyNumberFormat="1" applyFont="1" applyFill="1" applyBorder="1"/>
    <xf numFmtId="173" fontId="10" fillId="2" borderId="0" xfId="2" applyNumberFormat="1" applyFont="1" applyFill="1" applyBorder="1"/>
    <xf numFmtId="173" fontId="10" fillId="2" borderId="2" xfId="2" applyNumberFormat="1" applyFont="1" applyFill="1" applyBorder="1"/>
    <xf numFmtId="173" fontId="10" fillId="21" borderId="0" xfId="2" applyNumberFormat="1" applyFont="1" applyFill="1" applyBorder="1"/>
    <xf numFmtId="170" fontId="60" fillId="2" borderId="7" xfId="1" applyNumberFormat="1" applyFont="1" applyFill="1" applyBorder="1"/>
    <xf numFmtId="170" fontId="60" fillId="2" borderId="8" xfId="1" applyNumberFormat="1" applyFont="1" applyFill="1" applyBorder="1"/>
    <xf numFmtId="170" fontId="10" fillId="2" borderId="0" xfId="1" applyNumberFormat="1" applyFont="1" applyFill="1" applyBorder="1" applyAlignment="1">
      <alignment horizontal="left" indent="1"/>
    </xf>
    <xf numFmtId="170" fontId="10" fillId="2" borderId="0" xfId="1" applyNumberFormat="1" applyFont="1" applyFill="1" applyBorder="1"/>
    <xf numFmtId="168" fontId="10" fillId="2" borderId="0" xfId="2" applyNumberFormat="1" applyFont="1" applyFill="1" applyBorder="1"/>
    <xf numFmtId="168" fontId="10" fillId="2" borderId="2" xfId="2" applyNumberFormat="1" applyFont="1" applyFill="1" applyBorder="1"/>
    <xf numFmtId="2" fontId="10" fillId="21" borderId="0" xfId="2" applyNumberFormat="1" applyFont="1" applyFill="1" applyBorder="1"/>
    <xf numFmtId="9" fontId="9" fillId="2" borderId="0" xfId="2" applyFont="1" applyFill="1" applyBorder="1" applyAlignment="1">
      <alignment horizontal="center"/>
    </xf>
    <xf numFmtId="170" fontId="70" fillId="2" borderId="0" xfId="1" applyNumberFormat="1" applyFont="1" applyFill="1" applyBorder="1" applyAlignment="1">
      <alignment horizontal="left" indent="1"/>
    </xf>
    <xf numFmtId="170" fontId="70" fillId="2" borderId="0" xfId="1" applyNumberFormat="1" applyFont="1" applyFill="1" applyBorder="1"/>
    <xf numFmtId="168" fontId="70" fillId="2" borderId="0" xfId="2" applyNumberFormat="1" applyFont="1" applyFill="1" applyBorder="1"/>
    <xf numFmtId="0" fontId="70" fillId="2" borderId="0" xfId="2" applyNumberFormat="1" applyFont="1" applyFill="1" applyBorder="1"/>
    <xf numFmtId="0" fontId="70" fillId="2" borderId="2" xfId="2" applyNumberFormat="1" applyFont="1" applyFill="1" applyBorder="1"/>
    <xf numFmtId="168" fontId="70" fillId="21" borderId="0" xfId="2" applyNumberFormat="1" applyFont="1" applyFill="1" applyBorder="1"/>
    <xf numFmtId="2" fontId="9" fillId="2" borderId="0" xfId="2" applyNumberFormat="1" applyFont="1" applyFill="1" applyBorder="1"/>
    <xf numFmtId="9" fontId="9" fillId="2" borderId="0" xfId="2" applyFont="1" applyFill="1" applyBorder="1"/>
    <xf numFmtId="10" fontId="70" fillId="2" borderId="0" xfId="2" applyNumberFormat="1" applyFont="1" applyFill="1" applyBorder="1"/>
    <xf numFmtId="10" fontId="70" fillId="2" borderId="2" xfId="2" applyNumberFormat="1" applyFont="1" applyFill="1" applyBorder="1"/>
    <xf numFmtId="170" fontId="70" fillId="22" borderId="0" xfId="1" applyNumberFormat="1" applyFont="1" applyFill="1" applyBorder="1"/>
    <xf numFmtId="168" fontId="70" fillId="22" borderId="0" xfId="2" applyNumberFormat="1" applyFont="1" applyFill="1" applyBorder="1"/>
    <xf numFmtId="168" fontId="70" fillId="22" borderId="2" xfId="2" applyNumberFormat="1" applyFont="1" applyFill="1" applyBorder="1"/>
    <xf numFmtId="2" fontId="9" fillId="22" borderId="0" xfId="2" applyNumberFormat="1" applyFont="1" applyFill="1" applyBorder="1"/>
    <xf numFmtId="9" fontId="9" fillId="22" borderId="0" xfId="2" applyFont="1" applyFill="1" applyBorder="1"/>
    <xf numFmtId="170" fontId="60" fillId="2" borderId="0" xfId="1" applyNumberFormat="1" applyFont="1" applyFill="1" applyBorder="1"/>
    <xf numFmtId="168" fontId="60" fillId="2" borderId="0" xfId="2" applyNumberFormat="1" applyFont="1" applyFill="1" applyBorder="1"/>
    <xf numFmtId="3" fontId="60" fillId="2" borderId="2" xfId="2" applyNumberFormat="1" applyFont="1" applyFill="1" applyBorder="1"/>
    <xf numFmtId="168" fontId="60" fillId="2" borderId="7" xfId="2" applyNumberFormat="1" applyFont="1" applyFill="1" applyBorder="1"/>
    <xf numFmtId="3" fontId="60" fillId="2" borderId="7" xfId="2" applyNumberFormat="1" applyFont="1" applyFill="1" applyBorder="1"/>
    <xf numFmtId="3" fontId="60" fillId="2" borderId="8" xfId="2" applyNumberFormat="1" applyFont="1" applyFill="1" applyBorder="1"/>
    <xf numFmtId="168" fontId="70" fillId="2" borderId="2" xfId="2" applyNumberFormat="1" applyFont="1" applyFill="1" applyBorder="1"/>
    <xf numFmtId="1" fontId="9" fillId="22" borderId="0" xfId="2" applyNumberFormat="1" applyFont="1" applyFill="1" applyBorder="1" applyAlignment="1">
      <alignment horizontal="center"/>
    </xf>
    <xf numFmtId="168" fontId="60" fillId="2" borderId="8" xfId="2" applyNumberFormat="1" applyFont="1" applyFill="1" applyBorder="1"/>
    <xf numFmtId="168" fontId="60" fillId="21" borderId="7" xfId="2" applyNumberFormat="1" applyFont="1" applyFill="1" applyBorder="1"/>
    <xf numFmtId="0" fontId="61" fillId="2" borderId="0" xfId="0" applyFont="1" applyFill="1"/>
    <xf numFmtId="1" fontId="60" fillId="2" borderId="2" xfId="2" applyNumberFormat="1" applyFont="1" applyFill="1" applyBorder="1"/>
    <xf numFmtId="1" fontId="60" fillId="21" borderId="0" xfId="2" applyNumberFormat="1" applyFont="1" applyFill="1" applyBorder="1"/>
    <xf numFmtId="2" fontId="10" fillId="2" borderId="0" xfId="2" applyNumberFormat="1" applyFont="1" applyFill="1" applyBorder="1"/>
    <xf numFmtId="1" fontId="10" fillId="2" borderId="0" xfId="2" applyNumberFormat="1" applyFont="1" applyFill="1" applyBorder="1"/>
    <xf numFmtId="1" fontId="10" fillId="2" borderId="2" xfId="2" applyNumberFormat="1" applyFont="1" applyFill="1" applyBorder="1"/>
    <xf numFmtId="1" fontId="10" fillId="21" borderId="0" xfId="2" applyNumberFormat="1" applyFont="1" applyFill="1" applyBorder="1"/>
    <xf numFmtId="170" fontId="60" fillId="21" borderId="7" xfId="1" applyNumberFormat="1" applyFont="1" applyFill="1" applyBorder="1"/>
    <xf numFmtId="170" fontId="60" fillId="2" borderId="2" xfId="1" applyNumberFormat="1" applyFont="1" applyFill="1" applyBorder="1"/>
    <xf numFmtId="170" fontId="60" fillId="21" borderId="0" xfId="1" applyNumberFormat="1" applyFont="1" applyFill="1" applyBorder="1"/>
    <xf numFmtId="10" fontId="60" fillId="2" borderId="0" xfId="0" applyNumberFormat="1" applyFont="1" applyFill="1"/>
    <xf numFmtId="10" fontId="60" fillId="2" borderId="2" xfId="0" applyNumberFormat="1" applyFont="1" applyFill="1" applyBorder="1"/>
    <xf numFmtId="0" fontId="10" fillId="21" borderId="0" xfId="0" applyFont="1" applyFill="1"/>
    <xf numFmtId="1" fontId="64" fillId="2" borderId="0" xfId="0" applyNumberFormat="1" applyFont="1" applyFill="1"/>
    <xf numFmtId="0" fontId="66" fillId="2" borderId="0" xfId="0" applyFont="1" applyFill="1"/>
    <xf numFmtId="0" fontId="66" fillId="2" borderId="2" xfId="0" applyFont="1" applyFill="1" applyBorder="1"/>
    <xf numFmtId="0" fontId="66" fillId="21" borderId="0" xfId="0" applyFont="1" applyFill="1"/>
    <xf numFmtId="168" fontId="60" fillId="2" borderId="2" xfId="2" applyNumberFormat="1" applyFont="1" applyFill="1" applyBorder="1"/>
    <xf numFmtId="168" fontId="60" fillId="21" borderId="0" xfId="2" applyNumberFormat="1" applyFont="1" applyFill="1" applyBorder="1"/>
    <xf numFmtId="9" fontId="10" fillId="2" borderId="6" xfId="2" applyFont="1" applyFill="1" applyBorder="1"/>
    <xf numFmtId="0" fontId="60" fillId="2" borderId="7" xfId="1" applyNumberFormat="1" applyFont="1" applyFill="1" applyBorder="1"/>
    <xf numFmtId="9" fontId="64" fillId="2" borderId="0" xfId="2" applyFont="1" applyFill="1" applyBorder="1" applyAlignment="1">
      <alignment horizontal="center"/>
    </xf>
    <xf numFmtId="170" fontId="64" fillId="2" borderId="0" xfId="1" applyNumberFormat="1" applyFont="1" applyFill="1" applyBorder="1" applyAlignment="1">
      <alignment horizontal="left" indent="1"/>
    </xf>
    <xf numFmtId="170" fontId="64" fillId="2" borderId="0" xfId="1" applyNumberFormat="1" applyFont="1" applyFill="1" applyBorder="1"/>
    <xf numFmtId="168" fontId="64" fillId="2" borderId="0" xfId="2" applyNumberFormat="1" applyFont="1" applyFill="1" applyBorder="1"/>
    <xf numFmtId="0" fontId="70" fillId="2" borderId="0" xfId="1" applyNumberFormat="1" applyFont="1" applyFill="1" applyBorder="1" applyAlignment="1">
      <alignment horizontal="left"/>
    </xf>
    <xf numFmtId="0" fontId="22" fillId="2" borderId="0" xfId="0" applyFont="1" applyFill="1"/>
    <xf numFmtId="3" fontId="10" fillId="23" borderId="0" xfId="0" applyNumberFormat="1" applyFont="1" applyFill="1"/>
    <xf numFmtId="4" fontId="10" fillId="23" borderId="0" xfId="0" applyNumberFormat="1" applyFont="1" applyFill="1"/>
    <xf numFmtId="4" fontId="10" fillId="23" borderId="20" xfId="0" applyNumberFormat="1" applyFont="1" applyFill="1" applyBorder="1"/>
    <xf numFmtId="4" fontId="10" fillId="23" borderId="11" xfId="0" applyNumberFormat="1" applyFont="1" applyFill="1" applyBorder="1"/>
    <xf numFmtId="169" fontId="10" fillId="23" borderId="0" xfId="2" applyNumberFormat="1" applyFont="1" applyFill="1" applyBorder="1"/>
    <xf numFmtId="169" fontId="10" fillId="23" borderId="0" xfId="0" applyNumberFormat="1" applyFont="1" applyFill="1"/>
    <xf numFmtId="169" fontId="10" fillId="23" borderId="0" xfId="0" applyNumberFormat="1" applyFont="1" applyFill="1" applyAlignment="1">
      <alignment horizontal="right"/>
    </xf>
    <xf numFmtId="169" fontId="10" fillId="2" borderId="2" xfId="0" applyNumberFormat="1" applyFont="1" applyFill="1" applyBorder="1" applyAlignment="1">
      <alignment horizontal="right"/>
    </xf>
    <xf numFmtId="3" fontId="10" fillId="23" borderId="0" xfId="2" applyNumberFormat="1" applyFont="1" applyFill="1" applyBorder="1"/>
    <xf numFmtId="9" fontId="60" fillId="23" borderId="0" xfId="2" applyFont="1" applyFill="1" applyBorder="1"/>
    <xf numFmtId="175" fontId="10" fillId="23" borderId="0" xfId="0" applyNumberFormat="1" applyFont="1" applyFill="1"/>
    <xf numFmtId="174" fontId="10" fillId="23" borderId="0" xfId="0" applyNumberFormat="1" applyFont="1" applyFill="1"/>
    <xf numFmtId="174" fontId="10" fillId="23" borderId="11" xfId="0" applyNumberFormat="1" applyFont="1" applyFill="1" applyBorder="1"/>
    <xf numFmtId="173" fontId="10" fillId="23" borderId="7" xfId="0" applyNumberFormat="1" applyFont="1" applyFill="1" applyBorder="1"/>
    <xf numFmtId="173" fontId="60" fillId="23" borderId="0" xfId="0" applyNumberFormat="1" applyFont="1" applyFill="1"/>
    <xf numFmtId="173" fontId="65" fillId="23" borderId="0" xfId="0" applyNumberFormat="1" applyFont="1" applyFill="1"/>
    <xf numFmtId="10" fontId="10" fillId="23" borderId="0" xfId="0" applyNumberFormat="1" applyFont="1" applyFill="1"/>
    <xf numFmtId="10" fontId="10" fillId="23" borderId="0" xfId="2" applyNumberFormat="1" applyFont="1" applyFill="1" applyBorder="1"/>
    <xf numFmtId="9" fontId="10" fillId="23" borderId="0" xfId="0" applyNumberFormat="1" applyFont="1" applyFill="1"/>
    <xf numFmtId="10" fontId="60" fillId="23" borderId="7" xfId="2" applyNumberFormat="1" applyFont="1" applyFill="1" applyBorder="1"/>
    <xf numFmtId="173" fontId="60" fillId="23" borderId="7" xfId="0" applyNumberFormat="1" applyFont="1" applyFill="1" applyBorder="1"/>
    <xf numFmtId="174" fontId="60" fillId="2" borderId="8" xfId="0" applyNumberFormat="1" applyFont="1" applyFill="1" applyBorder="1"/>
    <xf numFmtId="173" fontId="60" fillId="2" borderId="8" xfId="0" applyNumberFormat="1" applyFont="1" applyFill="1" applyBorder="1"/>
    <xf numFmtId="174" fontId="60" fillId="23" borderId="7" xfId="0" applyNumberFormat="1" applyFont="1" applyFill="1" applyBorder="1"/>
    <xf numFmtId="174" fontId="60" fillId="24" borderId="7" xfId="0" applyNumberFormat="1" applyFont="1" applyFill="1" applyBorder="1"/>
    <xf numFmtId="4" fontId="60" fillId="23" borderId="0" xfId="2" applyNumberFormat="1" applyFont="1" applyFill="1" applyBorder="1"/>
    <xf numFmtId="176" fontId="10" fillId="23" borderId="0" xfId="0" applyNumberFormat="1" applyFont="1" applyFill="1"/>
    <xf numFmtId="174" fontId="60" fillId="23" borderId="0" xfId="0" applyNumberFormat="1" applyFont="1" applyFill="1"/>
    <xf numFmtId="177" fontId="10" fillId="23" borderId="0" xfId="0" applyNumberFormat="1" applyFont="1" applyFill="1"/>
    <xf numFmtId="176" fontId="10" fillId="23" borderId="20" xfId="0" applyNumberFormat="1" applyFont="1" applyFill="1" applyBorder="1"/>
    <xf numFmtId="176" fontId="10" fillId="23" borderId="11" xfId="0" applyNumberFormat="1" applyFont="1" applyFill="1" applyBorder="1"/>
    <xf numFmtId="9" fontId="10" fillId="23" borderId="0" xfId="2" applyFont="1" applyFill="1" applyBorder="1"/>
    <xf numFmtId="173" fontId="64" fillId="23" borderId="0" xfId="0" applyNumberFormat="1" applyFont="1" applyFill="1"/>
    <xf numFmtId="178" fontId="67" fillId="23" borderId="0" xfId="0" applyNumberFormat="1" applyFont="1" applyFill="1"/>
    <xf numFmtId="172" fontId="67" fillId="23" borderId="0" xfId="0" applyNumberFormat="1" applyFont="1" applyFill="1"/>
    <xf numFmtId="173" fontId="64" fillId="2" borderId="2" xfId="0" applyNumberFormat="1" applyFont="1" applyFill="1" applyBorder="1"/>
    <xf numFmtId="172" fontId="67" fillId="2" borderId="2" xfId="0" applyNumberFormat="1" applyFont="1" applyFill="1" applyBorder="1"/>
    <xf numFmtId="10" fontId="60" fillId="2" borderId="2" xfId="2" applyNumberFormat="1" applyFont="1" applyFill="1" applyBorder="1"/>
    <xf numFmtId="10" fontId="60" fillId="2" borderId="0" xfId="2" applyNumberFormat="1" applyFont="1" applyFill="1" applyBorder="1"/>
    <xf numFmtId="170" fontId="60" fillId="23" borderId="0" xfId="1" applyNumberFormat="1" applyFont="1" applyFill="1" applyBorder="1"/>
    <xf numFmtId="1" fontId="10" fillId="2" borderId="11" xfId="2" applyNumberFormat="1" applyFont="1" applyFill="1" applyBorder="1"/>
    <xf numFmtId="1" fontId="10" fillId="2" borderId="6" xfId="2" applyNumberFormat="1" applyFont="1" applyFill="1" applyBorder="1"/>
    <xf numFmtId="1" fontId="10" fillId="21" borderId="11" xfId="2" applyNumberFormat="1" applyFont="1" applyFill="1" applyBorder="1"/>
    <xf numFmtId="170" fontId="60" fillId="24" borderId="0" xfId="1" applyNumberFormat="1" applyFont="1" applyFill="1" applyBorder="1"/>
    <xf numFmtId="170" fontId="60" fillId="24" borderId="2" xfId="1" applyNumberFormat="1" applyFont="1" applyFill="1" applyBorder="1"/>
    <xf numFmtId="0" fontId="10" fillId="2" borderId="3" xfId="0" applyFont="1" applyFill="1" applyBorder="1"/>
    <xf numFmtId="0" fontId="10" fillId="2" borderId="9" xfId="0" applyFont="1" applyFill="1" applyBorder="1"/>
    <xf numFmtId="0" fontId="60" fillId="2" borderId="2" xfId="0" applyFont="1" applyFill="1" applyBorder="1" applyAlignment="1">
      <alignment horizontal="right"/>
    </xf>
    <xf numFmtId="165" fontId="60" fillId="2" borderId="27" xfId="0" quotePrefix="1" applyNumberFormat="1" applyFont="1" applyFill="1" applyBorder="1" applyAlignment="1">
      <alignment horizontal="right"/>
    </xf>
    <xf numFmtId="165" fontId="60" fillId="8" borderId="27" xfId="0" applyNumberFormat="1" applyFont="1" applyFill="1" applyBorder="1" applyAlignment="1">
      <alignment horizontal="right"/>
    </xf>
    <xf numFmtId="165" fontId="60" fillId="2" borderId="27" xfId="0" applyNumberFormat="1" applyFont="1" applyFill="1" applyBorder="1" applyAlignment="1">
      <alignment horizontal="right"/>
    </xf>
    <xf numFmtId="165" fontId="60" fillId="2" borderId="28" xfId="0" applyNumberFormat="1" applyFont="1" applyFill="1" applyBorder="1" applyAlignment="1">
      <alignment horizontal="right"/>
    </xf>
    <xf numFmtId="165" fontId="60" fillId="6" borderId="27" xfId="0" applyNumberFormat="1" applyFont="1" applyFill="1" applyBorder="1" applyAlignment="1">
      <alignment horizontal="right"/>
    </xf>
    <xf numFmtId="0" fontId="9" fillId="21" borderId="0" xfId="0" applyFont="1" applyFill="1"/>
    <xf numFmtId="0" fontId="61" fillId="2" borderId="0" xfId="0" quotePrefix="1" applyFont="1" applyFill="1" applyAlignment="1">
      <alignment horizontal="right"/>
    </xf>
    <xf numFmtId="0" fontId="61" fillId="2" borderId="2" xfId="0" quotePrefix="1" applyFont="1" applyFill="1" applyBorder="1" applyAlignment="1">
      <alignment horizontal="right"/>
    </xf>
    <xf numFmtId="0" fontId="10" fillId="2" borderId="0" xfId="0" quotePrefix="1" applyFont="1" applyFill="1" applyAlignment="1">
      <alignment horizontal="right"/>
    </xf>
    <xf numFmtId="4" fontId="10" fillId="2" borderId="0" xfId="0" quotePrefix="1" applyNumberFormat="1" applyFont="1" applyFill="1" applyAlignment="1">
      <alignment horizontal="right"/>
    </xf>
    <xf numFmtId="4" fontId="10" fillId="2" borderId="2" xfId="0" quotePrefix="1" applyNumberFormat="1" applyFont="1" applyFill="1" applyBorder="1" applyAlignment="1">
      <alignment horizontal="right"/>
    </xf>
    <xf numFmtId="4" fontId="10" fillId="21" borderId="0" xfId="0" quotePrefix="1" applyNumberFormat="1" applyFont="1" applyFill="1" applyAlignment="1">
      <alignment horizontal="right"/>
    </xf>
    <xf numFmtId="3" fontId="10" fillId="21" borderId="0" xfId="0" quotePrefix="1" applyNumberFormat="1" applyFont="1" applyFill="1" applyAlignment="1">
      <alignment horizontal="right"/>
    </xf>
    <xf numFmtId="4" fontId="10" fillId="2" borderId="6" xfId="0" applyNumberFormat="1" applyFont="1" applyFill="1" applyBorder="1"/>
    <xf numFmtId="4" fontId="60" fillId="2" borderId="7" xfId="2" applyNumberFormat="1" applyFont="1" applyFill="1" applyBorder="1"/>
    <xf numFmtId="4" fontId="60" fillId="2" borderId="8" xfId="2" applyNumberFormat="1" applyFont="1" applyFill="1" applyBorder="1"/>
    <xf numFmtId="9" fontId="64" fillId="21" borderId="0" xfId="2" applyFont="1" applyFill="1" applyBorder="1"/>
    <xf numFmtId="9" fontId="10" fillId="2" borderId="0" xfId="2" quotePrefix="1" applyFont="1" applyFill="1" applyBorder="1" applyAlignment="1">
      <alignment horizontal="right"/>
    </xf>
    <xf numFmtId="9" fontId="10" fillId="2" borderId="2" xfId="2" quotePrefix="1" applyFont="1" applyFill="1" applyBorder="1" applyAlignment="1">
      <alignment horizontal="right"/>
    </xf>
    <xf numFmtId="9" fontId="10" fillId="21" borderId="0" xfId="2" quotePrefix="1" applyFont="1" applyFill="1" applyBorder="1" applyAlignment="1">
      <alignment horizontal="right"/>
    </xf>
    <xf numFmtId="0" fontId="13" fillId="0" borderId="0" xfId="0" applyFont="1"/>
    <xf numFmtId="10" fontId="65" fillId="2" borderId="0" xfId="0" applyNumberFormat="1" applyFont="1" applyFill="1"/>
    <xf numFmtId="173" fontId="67" fillId="21" borderId="0" xfId="0" applyNumberFormat="1" applyFont="1" applyFill="1"/>
    <xf numFmtId="173" fontId="10" fillId="21" borderId="0" xfId="0" applyNumberFormat="1" applyFont="1" applyFill="1"/>
    <xf numFmtId="4" fontId="10" fillId="2" borderId="0" xfId="2" applyNumberFormat="1" applyFont="1" applyFill="1" applyBorder="1"/>
    <xf numFmtId="4" fontId="10" fillId="2" borderId="2" xfId="2" applyNumberFormat="1" applyFont="1" applyFill="1" applyBorder="1"/>
    <xf numFmtId="172" fontId="10" fillId="21" borderId="0" xfId="2" applyNumberFormat="1" applyFont="1" applyFill="1" applyBorder="1"/>
    <xf numFmtId="2" fontId="10" fillId="2" borderId="0" xfId="2" applyNumberFormat="1" applyFont="1" applyFill="1" applyBorder="1" applyAlignment="1">
      <alignment horizontal="center"/>
    </xf>
    <xf numFmtId="172" fontId="60" fillId="21" borderId="7" xfId="0" applyNumberFormat="1" applyFont="1" applyFill="1" applyBorder="1"/>
    <xf numFmtId="168" fontId="10" fillId="21" borderId="0" xfId="2" applyNumberFormat="1" applyFont="1" applyFill="1" applyBorder="1"/>
    <xf numFmtId="170" fontId="10" fillId="2" borderId="7" xfId="1" applyNumberFormat="1" applyFont="1" applyFill="1" applyBorder="1"/>
    <xf numFmtId="168" fontId="10" fillId="2" borderId="7" xfId="2" applyNumberFormat="1" applyFont="1" applyFill="1" applyBorder="1"/>
    <xf numFmtId="3" fontId="10" fillId="2" borderId="7" xfId="2" applyNumberFormat="1" applyFont="1" applyFill="1" applyBorder="1"/>
    <xf numFmtId="168" fontId="10" fillId="2" borderId="8" xfId="2" applyNumberFormat="1" applyFont="1" applyFill="1" applyBorder="1"/>
    <xf numFmtId="2" fontId="10" fillId="21" borderId="7" xfId="2" applyNumberFormat="1" applyFont="1" applyFill="1" applyBorder="1"/>
    <xf numFmtId="1" fontId="9" fillId="2" borderId="0" xfId="2" applyNumberFormat="1" applyFont="1" applyFill="1" applyBorder="1" applyAlignment="1">
      <alignment horizontal="center"/>
    </xf>
    <xf numFmtId="4" fontId="10" fillId="2" borderId="6" xfId="2" applyNumberFormat="1" applyFont="1" applyFill="1" applyBorder="1"/>
    <xf numFmtId="4" fontId="60" fillId="2" borderId="7" xfId="1" applyNumberFormat="1" applyFont="1" applyFill="1" applyBorder="1"/>
    <xf numFmtId="4" fontId="60" fillId="2" borderId="8" xfId="1" applyNumberFormat="1" applyFont="1" applyFill="1" applyBorder="1"/>
    <xf numFmtId="43" fontId="60" fillId="21" borderId="7" xfId="1" applyFont="1" applyFill="1" applyBorder="1"/>
    <xf numFmtId="0" fontId="10" fillId="2" borderId="2" xfId="0" applyFont="1" applyFill="1" applyBorder="1"/>
    <xf numFmtId="10" fontId="10" fillId="2" borderId="0" xfId="2" applyNumberFormat="1" applyFont="1" applyFill="1" applyBorder="1"/>
    <xf numFmtId="10" fontId="10" fillId="2" borderId="2" xfId="2" applyNumberFormat="1" applyFont="1" applyFill="1" applyBorder="1"/>
    <xf numFmtId="168" fontId="64" fillId="2" borderId="2" xfId="2" applyNumberFormat="1" applyFont="1" applyFill="1" applyBorder="1"/>
    <xf numFmtId="2" fontId="64" fillId="2" borderId="0" xfId="2" applyNumberFormat="1" applyFont="1" applyFill="1" applyBorder="1"/>
    <xf numFmtId="10" fontId="9" fillId="2" borderId="0" xfId="0" applyNumberFormat="1" applyFont="1" applyFill="1"/>
    <xf numFmtId="4" fontId="60" fillId="25" borderId="7" xfId="2" applyNumberFormat="1" applyFont="1" applyFill="1" applyBorder="1"/>
    <xf numFmtId="9" fontId="60" fillId="25" borderId="7" xfId="2" applyFont="1" applyFill="1" applyBorder="1"/>
    <xf numFmtId="2" fontId="10" fillId="25" borderId="0" xfId="2" applyNumberFormat="1" applyFont="1" applyFill="1" applyBorder="1"/>
    <xf numFmtId="43" fontId="60" fillId="25" borderId="7" xfId="1" applyFont="1" applyFill="1" applyBorder="1"/>
    <xf numFmtId="0" fontId="10" fillId="25" borderId="0" xfId="0" applyFont="1" applyFill="1"/>
    <xf numFmtId="0" fontId="66" fillId="25" borderId="0" xfId="0" applyFont="1" applyFill="1"/>
    <xf numFmtId="0" fontId="9" fillId="25" borderId="0" xfId="0" applyFont="1" applyFill="1"/>
    <xf numFmtId="168" fontId="10" fillId="25" borderId="0" xfId="2" applyNumberFormat="1" applyFont="1" applyFill="1" applyBorder="1"/>
    <xf numFmtId="10" fontId="60" fillId="25" borderId="7" xfId="2" applyNumberFormat="1" applyFont="1" applyFill="1" applyBorder="1"/>
    <xf numFmtId="164" fontId="14" fillId="8" borderId="0" xfId="1" applyNumberFormat="1" applyFont="1" applyFill="1" applyBorder="1" applyAlignment="1">
      <alignment horizontal="right"/>
    </xf>
    <xf numFmtId="0" fontId="14" fillId="2" borderId="0" xfId="0" applyFont="1" applyFill="1" applyAlignment="1">
      <alignment horizontal="right"/>
    </xf>
    <xf numFmtId="0" fontId="16" fillId="2" borderId="0" xfId="0" applyFont="1" applyFill="1" applyAlignment="1">
      <alignment horizontal="right"/>
    </xf>
    <xf numFmtId="0" fontId="15" fillId="2" borderId="0" xfId="0" applyFont="1" applyFill="1" applyAlignment="1">
      <alignment horizontal="right"/>
    </xf>
    <xf numFmtId="0" fontId="15" fillId="2" borderId="2" xfId="0" applyFont="1" applyFill="1" applyBorder="1" applyAlignment="1">
      <alignment horizontal="right"/>
    </xf>
    <xf numFmtId="0" fontId="15" fillId="6" borderId="0" xfId="0" applyFont="1" applyFill="1" applyAlignment="1">
      <alignment horizontal="right"/>
    </xf>
    <xf numFmtId="0" fontId="71" fillId="2" borderId="0" xfId="0" applyFont="1" applyFill="1" applyAlignment="1">
      <alignment horizontal="right"/>
    </xf>
    <xf numFmtId="0" fontId="17" fillId="2" borderId="35" xfId="0" applyFont="1" applyFill="1" applyBorder="1" applyAlignment="1">
      <alignment horizontal="right"/>
    </xf>
    <xf numFmtId="0" fontId="17" fillId="2" borderId="36" xfId="0" applyFont="1" applyFill="1" applyBorder="1" applyAlignment="1">
      <alignment horizontal="right"/>
    </xf>
    <xf numFmtId="0" fontId="17" fillId="6" borderId="35" xfId="0" applyFont="1" applyFill="1" applyBorder="1" applyAlignment="1">
      <alignment horizontal="right"/>
    </xf>
    <xf numFmtId="165" fontId="17" fillId="2" borderId="27" xfId="0" quotePrefix="1" applyNumberFormat="1" applyFont="1" applyFill="1" applyBorder="1" applyAlignment="1">
      <alignment horizontal="right"/>
    </xf>
    <xf numFmtId="165" fontId="17" fillId="8" borderId="27" xfId="0" applyNumberFormat="1" applyFont="1" applyFill="1" applyBorder="1" applyAlignment="1">
      <alignment horizontal="right" vertical="center"/>
    </xf>
    <xf numFmtId="165" fontId="17" fillId="2" borderId="27" xfId="0" applyNumberFormat="1" applyFont="1" applyFill="1" applyBorder="1" applyAlignment="1">
      <alignment horizontal="right"/>
    </xf>
    <xf numFmtId="165" fontId="17" fillId="2" borderId="28" xfId="0" applyNumberFormat="1" applyFont="1" applyFill="1" applyBorder="1" applyAlignment="1">
      <alignment horizontal="right"/>
    </xf>
    <xf numFmtId="165" fontId="17" fillId="6" borderId="27" xfId="0" applyNumberFormat="1" applyFont="1" applyFill="1" applyBorder="1" applyAlignment="1">
      <alignment horizontal="right"/>
    </xf>
    <xf numFmtId="165" fontId="28" fillId="2" borderId="0" xfId="0" quotePrefix="1" applyNumberFormat="1" applyFont="1" applyFill="1" applyAlignment="1">
      <alignment horizontal="center"/>
    </xf>
    <xf numFmtId="165" fontId="35" fillId="2" borderId="0" xfId="0" applyNumberFormat="1" applyFont="1" applyFill="1" applyAlignment="1">
      <alignment horizontal="center"/>
    </xf>
    <xf numFmtId="165" fontId="35" fillId="2" borderId="2" xfId="0" applyNumberFormat="1" applyFont="1" applyFill="1" applyBorder="1" applyAlignment="1">
      <alignment horizontal="center"/>
    </xf>
    <xf numFmtId="0" fontId="22" fillId="10" borderId="0" xfId="0" applyFont="1" applyFill="1" applyAlignment="1">
      <alignment vertical="center"/>
    </xf>
    <xf numFmtId="0" fontId="14" fillId="10" borderId="0" xfId="0" applyFont="1" applyFill="1" applyAlignment="1">
      <alignment vertical="center"/>
    </xf>
    <xf numFmtId="0" fontId="14" fillId="10" borderId="2" xfId="0" applyFont="1" applyFill="1" applyBorder="1" applyAlignment="1">
      <alignment vertical="center"/>
    </xf>
    <xf numFmtId="0" fontId="14" fillId="2" borderId="0" xfId="0" applyFont="1" applyFill="1" applyAlignment="1">
      <alignment vertical="center"/>
    </xf>
    <xf numFmtId="4" fontId="17" fillId="2" borderId="0" xfId="0" applyNumberFormat="1" applyFont="1" applyFill="1"/>
    <xf numFmtId="4" fontId="17" fillId="2" borderId="2" xfId="0" applyNumberFormat="1" applyFont="1" applyFill="1" applyBorder="1"/>
    <xf numFmtId="43" fontId="15" fillId="2" borderId="2" xfId="1" applyFont="1" applyFill="1" applyBorder="1"/>
    <xf numFmtId="43" fontId="15" fillId="6" borderId="0" xfId="1" applyFont="1" applyFill="1" applyBorder="1"/>
    <xf numFmtId="164" fontId="15" fillId="6" borderId="0" xfId="1" applyNumberFormat="1" applyFont="1" applyFill="1" applyBorder="1"/>
    <xf numFmtId="168" fontId="17" fillId="2" borderId="0" xfId="2" applyNumberFormat="1" applyFont="1" applyFill="1" applyBorder="1"/>
    <xf numFmtId="173" fontId="15" fillId="2" borderId="0" xfId="1" applyNumberFormat="1" applyFont="1" applyFill="1" applyBorder="1"/>
    <xf numFmtId="172" fontId="15" fillId="2" borderId="0" xfId="1" applyNumberFormat="1" applyFont="1" applyFill="1" applyBorder="1"/>
    <xf numFmtId="173" fontId="15" fillId="6" borderId="0" xfId="1" applyNumberFormat="1" applyFont="1" applyFill="1" applyBorder="1"/>
    <xf numFmtId="0" fontId="22" fillId="26" borderId="7" xfId="0" applyFont="1" applyFill="1" applyBorder="1"/>
    <xf numFmtId="173" fontId="32" fillId="2" borderId="7" xfId="0" applyNumberFormat="1" applyFont="1" applyFill="1" applyBorder="1"/>
    <xf numFmtId="172" fontId="32" fillId="2" borderId="7" xfId="0" applyNumberFormat="1" applyFont="1" applyFill="1" applyBorder="1"/>
    <xf numFmtId="172" fontId="32" fillId="2" borderId="8" xfId="0" applyNumberFormat="1" applyFont="1" applyFill="1" applyBorder="1"/>
    <xf numFmtId="173" fontId="32" fillId="6" borderId="7" xfId="0" applyNumberFormat="1" applyFont="1" applyFill="1" applyBorder="1"/>
    <xf numFmtId="173" fontId="14" fillId="2" borderId="0" xfId="0" applyNumberFormat="1" applyFont="1" applyFill="1"/>
    <xf numFmtId="9" fontId="14" fillId="2" borderId="0" xfId="2" applyFont="1" applyFill="1" applyBorder="1"/>
    <xf numFmtId="9" fontId="14" fillId="2" borderId="2" xfId="2" applyFont="1" applyFill="1" applyBorder="1"/>
    <xf numFmtId="168" fontId="17" fillId="2" borderId="2" xfId="2" applyNumberFormat="1" applyFont="1" applyFill="1" applyBorder="1"/>
    <xf numFmtId="168" fontId="17" fillId="6" borderId="0" xfId="2" applyNumberFormat="1" applyFont="1" applyFill="1" applyBorder="1"/>
    <xf numFmtId="168" fontId="15" fillId="2" borderId="2" xfId="2" applyNumberFormat="1" applyFont="1" applyFill="1" applyBorder="1"/>
    <xf numFmtId="168" fontId="17" fillId="2" borderId="0" xfId="0" applyNumberFormat="1" applyFont="1" applyFill="1"/>
    <xf numFmtId="168" fontId="32" fillId="2" borderId="7" xfId="0" applyNumberFormat="1" applyFont="1" applyFill="1" applyBorder="1"/>
    <xf numFmtId="168" fontId="32" fillId="2" borderId="7" xfId="2" applyNumberFormat="1" applyFont="1" applyFill="1" applyBorder="1"/>
    <xf numFmtId="168" fontId="32" fillId="6" borderId="7" xfId="2" applyNumberFormat="1" applyFont="1" applyFill="1" applyBorder="1"/>
    <xf numFmtId="173" fontId="14" fillId="2" borderId="0" xfId="1" applyNumberFormat="1" applyFont="1" applyFill="1" applyBorder="1" applyAlignment="1">
      <alignment horizontal="center"/>
    </xf>
    <xf numFmtId="0" fontId="17" fillId="2" borderId="11" xfId="0" applyFont="1" applyFill="1" applyBorder="1" applyAlignment="1">
      <alignment vertical="center"/>
    </xf>
    <xf numFmtId="43" fontId="17" fillId="2" borderId="0" xfId="1" applyFont="1" applyFill="1" applyBorder="1"/>
    <xf numFmtId="43" fontId="17" fillId="2" borderId="2" xfId="1" applyFont="1" applyFill="1" applyBorder="1"/>
    <xf numFmtId="43" fontId="17" fillId="6" borderId="0" xfId="1" applyFont="1" applyFill="1" applyBorder="1"/>
    <xf numFmtId="164" fontId="17" fillId="6" borderId="0" xfId="1" applyNumberFormat="1" applyFont="1" applyFill="1" applyBorder="1"/>
    <xf numFmtId="170" fontId="19" fillId="2" borderId="0" xfId="1" applyNumberFormat="1" applyFont="1" applyFill="1" applyBorder="1" applyAlignment="1">
      <alignment horizontal="left" indent="1"/>
    </xf>
    <xf numFmtId="168" fontId="19" fillId="2" borderId="0" xfId="2" applyNumberFormat="1" applyFont="1" applyFill="1" applyBorder="1"/>
    <xf numFmtId="168" fontId="19" fillId="2" borderId="2" xfId="2" applyNumberFormat="1" applyFont="1" applyFill="1" applyBorder="1"/>
    <xf numFmtId="168" fontId="19" fillId="6" borderId="0" xfId="2" applyNumberFormat="1" applyFont="1" applyFill="1" applyBorder="1"/>
    <xf numFmtId="1" fontId="15" fillId="2" borderId="0" xfId="1" applyNumberFormat="1" applyFont="1" applyFill="1" applyBorder="1"/>
    <xf numFmtId="1" fontId="15" fillId="2" borderId="0" xfId="2" applyNumberFormat="1" applyFont="1" applyFill="1" applyBorder="1"/>
    <xf numFmtId="2" fontId="15" fillId="2" borderId="0" xfId="2" applyNumberFormat="1" applyFont="1" applyFill="1" applyBorder="1"/>
    <xf numFmtId="2" fontId="15" fillId="2" borderId="2" xfId="2" applyNumberFormat="1" applyFont="1" applyFill="1" applyBorder="1"/>
    <xf numFmtId="2" fontId="15" fillId="6" borderId="0" xfId="2" applyNumberFormat="1" applyFont="1" applyFill="1" applyBorder="1"/>
    <xf numFmtId="1" fontId="15" fillId="6" borderId="0" xfId="2" applyNumberFormat="1" applyFont="1" applyFill="1" applyBorder="1"/>
    <xf numFmtId="170" fontId="22" fillId="22" borderId="7" xfId="1" applyNumberFormat="1" applyFont="1" applyFill="1" applyBorder="1" applyAlignment="1">
      <alignment horizontal="left"/>
    </xf>
    <xf numFmtId="170" fontId="22" fillId="22" borderId="7" xfId="1" applyNumberFormat="1" applyFont="1" applyFill="1" applyBorder="1"/>
    <xf numFmtId="164" fontId="32" fillId="2" borderId="7" xfId="1" applyNumberFormat="1" applyFont="1" applyFill="1" applyBorder="1"/>
    <xf numFmtId="43" fontId="32" fillId="2" borderId="7" xfId="1" applyFont="1" applyFill="1" applyBorder="1"/>
    <xf numFmtId="43" fontId="32" fillId="2" borderId="8" xfId="1" applyFont="1" applyFill="1" applyBorder="1"/>
    <xf numFmtId="43" fontId="32" fillId="6" borderId="7" xfId="1" applyFont="1" applyFill="1" applyBorder="1"/>
    <xf numFmtId="164" fontId="32" fillId="6" borderId="7" xfId="1" applyNumberFormat="1" applyFont="1" applyFill="1" applyBorder="1"/>
    <xf numFmtId="170" fontId="24" fillId="2" borderId="0" xfId="1" applyNumberFormat="1" applyFont="1" applyFill="1" applyBorder="1" applyAlignment="1">
      <alignment horizontal="left" indent="2"/>
    </xf>
    <xf numFmtId="170" fontId="24" fillId="2" borderId="0" xfId="1" applyNumberFormat="1" applyFont="1" applyFill="1" applyBorder="1"/>
    <xf numFmtId="168" fontId="24" fillId="2" borderId="0" xfId="2" applyNumberFormat="1" applyFont="1" applyFill="1" applyBorder="1"/>
    <xf numFmtId="168" fontId="24" fillId="2" borderId="2" xfId="2" applyNumberFormat="1" applyFont="1" applyFill="1" applyBorder="1"/>
    <xf numFmtId="168" fontId="24" fillId="6" borderId="0" xfId="2" applyNumberFormat="1" applyFont="1" applyFill="1" applyBorder="1"/>
    <xf numFmtId="9" fontId="24" fillId="2" borderId="0" xfId="2" applyFont="1" applyFill="1" applyBorder="1"/>
    <xf numFmtId="4" fontId="31" fillId="2" borderId="2" xfId="0" applyNumberFormat="1" applyFont="1" applyFill="1" applyBorder="1"/>
    <xf numFmtId="0" fontId="16" fillId="12" borderId="0" xfId="0" applyFont="1" applyFill="1" applyAlignment="1">
      <alignment horizontal="left" indent="4"/>
    </xf>
    <xf numFmtId="9" fontId="16" fillId="12" borderId="0" xfId="2" applyFont="1" applyFill="1" applyBorder="1"/>
    <xf numFmtId="164" fontId="16" fillId="12" borderId="0" xfId="1" applyNumberFormat="1" applyFont="1" applyFill="1" applyBorder="1"/>
    <xf numFmtId="1" fontId="16" fillId="12" borderId="0" xfId="2" applyNumberFormat="1" applyFont="1" applyFill="1" applyBorder="1"/>
    <xf numFmtId="2" fontId="16" fillId="12" borderId="0" xfId="2" applyNumberFormat="1" applyFont="1" applyFill="1" applyBorder="1"/>
    <xf numFmtId="43" fontId="32" fillId="2" borderId="0" xfId="1" applyFont="1" applyFill="1" applyBorder="1"/>
    <xf numFmtId="1" fontId="14" fillId="2" borderId="0" xfId="0" applyNumberFormat="1" applyFont="1" applyFill="1"/>
    <xf numFmtId="0" fontId="16" fillId="2" borderId="2" xfId="0" applyFont="1" applyFill="1" applyBorder="1"/>
    <xf numFmtId="0" fontId="17" fillId="2" borderId="11" xfId="0" applyFont="1" applyFill="1" applyBorder="1"/>
    <xf numFmtId="10" fontId="17" fillId="2" borderId="0" xfId="2" applyNumberFormat="1" applyFont="1" applyFill="1" applyBorder="1"/>
    <xf numFmtId="10" fontId="17" fillId="2" borderId="2" xfId="2" applyNumberFormat="1" applyFont="1" applyFill="1" applyBorder="1"/>
    <xf numFmtId="10" fontId="17" fillId="6" borderId="0" xfId="2" applyNumberFormat="1" applyFont="1" applyFill="1" applyBorder="1"/>
    <xf numFmtId="9" fontId="17" fillId="6" borderId="0" xfId="2" applyFont="1" applyFill="1" applyBorder="1"/>
    <xf numFmtId="10" fontId="15" fillId="2" borderId="2" xfId="2" applyNumberFormat="1" applyFont="1" applyFill="1" applyBorder="1"/>
    <xf numFmtId="10" fontId="16" fillId="12" borderId="0" xfId="2" applyNumberFormat="1" applyFont="1" applyFill="1" applyBorder="1"/>
    <xf numFmtId="10" fontId="16" fillId="12" borderId="2" xfId="2" applyNumberFormat="1" applyFont="1" applyFill="1" applyBorder="1"/>
    <xf numFmtId="170" fontId="22" fillId="26" borderId="7" xfId="1" applyNumberFormat="1" applyFont="1" applyFill="1" applyBorder="1" applyAlignment="1">
      <alignment horizontal="left"/>
    </xf>
    <xf numFmtId="170" fontId="22" fillId="2" borderId="7" xfId="1" applyNumberFormat="1" applyFont="1" applyFill="1" applyBorder="1"/>
    <xf numFmtId="9" fontId="32" fillId="2" borderId="7" xfId="2" applyFont="1" applyFill="1" applyBorder="1"/>
    <xf numFmtId="10" fontId="32" fillId="2" borderId="0" xfId="2" applyNumberFormat="1" applyFont="1" applyFill="1" applyBorder="1"/>
    <xf numFmtId="10" fontId="32" fillId="2" borderId="7" xfId="2" applyNumberFormat="1" applyFont="1" applyFill="1" applyBorder="1"/>
    <xf numFmtId="10" fontId="32" fillId="2" borderId="8" xfId="2" applyNumberFormat="1" applyFont="1" applyFill="1" applyBorder="1"/>
    <xf numFmtId="10" fontId="32" fillId="6" borderId="7" xfId="2" applyNumberFormat="1" applyFont="1" applyFill="1" applyBorder="1"/>
    <xf numFmtId="9" fontId="32" fillId="6" borderId="7" xfId="2" applyFont="1" applyFill="1" applyBorder="1"/>
    <xf numFmtId="3" fontId="15" fillId="2" borderId="0" xfId="2" applyNumberFormat="1" applyFont="1" applyFill="1" applyBorder="1"/>
    <xf numFmtId="4" fontId="15" fillId="2" borderId="0" xfId="2" applyNumberFormat="1" applyFont="1" applyFill="1" applyBorder="1"/>
    <xf numFmtId="4" fontId="15" fillId="6" borderId="0" xfId="2" applyNumberFormat="1" applyFont="1" applyFill="1" applyBorder="1"/>
    <xf numFmtId="3" fontId="15" fillId="6" borderId="0" xfId="2" applyNumberFormat="1" applyFont="1" applyFill="1" applyBorder="1"/>
    <xf numFmtId="170" fontId="22" fillId="22" borderId="7" xfId="1" applyNumberFormat="1" applyFont="1" applyFill="1" applyBorder="1" applyAlignment="1">
      <alignment vertical="center"/>
    </xf>
    <xf numFmtId="0" fontId="24" fillId="2" borderId="0" xfId="0" applyFont="1" applyFill="1" applyAlignment="1">
      <alignment horizontal="left" indent="2"/>
    </xf>
    <xf numFmtId="170" fontId="22" fillId="27" borderId="7" xfId="1" applyNumberFormat="1" applyFont="1" applyFill="1" applyBorder="1" applyAlignment="1">
      <alignment vertical="center"/>
    </xf>
    <xf numFmtId="9" fontId="28" fillId="2" borderId="0" xfId="2" applyFont="1" applyFill="1" applyBorder="1"/>
    <xf numFmtId="170" fontId="25" fillId="2" borderId="0" xfId="1" applyNumberFormat="1" applyFont="1" applyFill="1" applyBorder="1" applyAlignment="1">
      <alignment horizontal="left" indent="1"/>
    </xf>
    <xf numFmtId="170" fontId="25" fillId="2" borderId="0" xfId="1" applyNumberFormat="1" applyFont="1" applyFill="1" applyBorder="1"/>
    <xf numFmtId="168" fontId="25" fillId="2" borderId="0" xfId="2" applyNumberFormat="1" applyFont="1" applyFill="1" applyBorder="1"/>
    <xf numFmtId="168" fontId="25" fillId="2" borderId="2" xfId="2" applyNumberFormat="1" applyFont="1" applyFill="1" applyBorder="1"/>
    <xf numFmtId="2" fontId="14" fillId="2" borderId="0" xfId="2" applyNumberFormat="1" applyFont="1" applyFill="1" applyBorder="1"/>
    <xf numFmtId="0" fontId="14" fillId="28" borderId="0" xfId="0" applyFont="1" applyFill="1"/>
    <xf numFmtId="164" fontId="19" fillId="2" borderId="0" xfId="1" applyNumberFormat="1" applyFont="1" applyFill="1" applyBorder="1" applyAlignment="1">
      <alignment horizontal="left"/>
    </xf>
    <xf numFmtId="164" fontId="15" fillId="2" borderId="0" xfId="1" applyNumberFormat="1" applyFont="1" applyFill="1" applyBorder="1" applyAlignment="1">
      <alignment horizontal="left" indent="2"/>
    </xf>
    <xf numFmtId="164" fontId="15" fillId="2" borderId="0" xfId="1" applyNumberFormat="1" applyFont="1" applyFill="1" applyBorder="1" applyAlignment="1">
      <alignment horizontal="left" indent="4"/>
    </xf>
    <xf numFmtId="164" fontId="22" fillId="26" borderId="7" xfId="1" applyNumberFormat="1" applyFont="1" applyFill="1" applyBorder="1"/>
    <xf numFmtId="164" fontId="16" fillId="26" borderId="7" xfId="1" applyNumberFormat="1" applyFont="1" applyFill="1" applyBorder="1"/>
    <xf numFmtId="164" fontId="14" fillId="2" borderId="0" xfId="1" applyNumberFormat="1" applyFont="1" applyFill="1" applyBorder="1"/>
    <xf numFmtId="0" fontId="15" fillId="12" borderId="0" xfId="0" applyFont="1" applyFill="1"/>
    <xf numFmtId="0" fontId="15" fillId="12" borderId="2" xfId="0" applyFont="1" applyFill="1" applyBorder="1"/>
    <xf numFmtId="168" fontId="19" fillId="8" borderId="0" xfId="2" applyNumberFormat="1" applyFont="1" applyFill="1" applyBorder="1"/>
    <xf numFmtId="179" fontId="24" fillId="2" borderId="0" xfId="1" applyNumberFormat="1" applyFont="1" applyFill="1" applyBorder="1"/>
    <xf numFmtId="0" fontId="24" fillId="2" borderId="2" xfId="0" applyFont="1" applyFill="1" applyBorder="1"/>
    <xf numFmtId="179" fontId="17" fillId="2" borderId="0" xfId="1" applyNumberFormat="1" applyFont="1" applyFill="1" applyBorder="1"/>
    <xf numFmtId="168" fontId="15" fillId="2" borderId="7" xfId="0" applyNumberFormat="1" applyFont="1" applyFill="1" applyBorder="1"/>
    <xf numFmtId="168" fontId="15" fillId="2" borderId="8" xfId="0" applyNumberFormat="1" applyFont="1" applyFill="1" applyBorder="1"/>
    <xf numFmtId="168" fontId="15" fillId="6" borderId="7" xfId="0" applyNumberFormat="1" applyFont="1" applyFill="1" applyBorder="1"/>
    <xf numFmtId="9" fontId="31" fillId="2" borderId="0" xfId="2" applyFont="1" applyFill="1" applyBorder="1"/>
    <xf numFmtId="4" fontId="60" fillId="25" borderId="0" xfId="2" applyNumberFormat="1" applyFont="1" applyFill="1" applyBorder="1"/>
    <xf numFmtId="9" fontId="60" fillId="25" borderId="0" xfId="2" applyFont="1" applyFill="1" applyBorder="1"/>
    <xf numFmtId="43" fontId="60" fillId="25" borderId="0" xfId="1" applyFont="1" applyFill="1" applyBorder="1"/>
    <xf numFmtId="10" fontId="60" fillId="25" borderId="0" xfId="2" applyNumberFormat="1" applyFont="1" applyFill="1" applyBorder="1"/>
    <xf numFmtId="0" fontId="10" fillId="23" borderId="0" xfId="0" applyFont="1" applyFill="1"/>
    <xf numFmtId="165" fontId="60" fillId="23" borderId="27" xfId="0" applyNumberFormat="1" applyFont="1" applyFill="1" applyBorder="1" applyAlignment="1">
      <alignment horizontal="right"/>
    </xf>
    <xf numFmtId="4" fontId="10" fillId="25" borderId="0" xfId="0" quotePrefix="1" applyNumberFormat="1" applyFont="1" applyFill="1" applyAlignment="1">
      <alignment horizontal="right"/>
    </xf>
    <xf numFmtId="9" fontId="64" fillId="25" borderId="0" xfId="2" applyFont="1" applyFill="1" applyBorder="1"/>
    <xf numFmtId="0" fontId="61" fillId="25" borderId="0" xfId="0" quotePrefix="1" applyFont="1" applyFill="1" applyAlignment="1">
      <alignment horizontal="right"/>
    </xf>
    <xf numFmtId="9" fontId="10" fillId="25" borderId="0" xfId="2" quotePrefix="1" applyFont="1" applyFill="1" applyBorder="1" applyAlignment="1">
      <alignment horizontal="right"/>
    </xf>
    <xf numFmtId="10" fontId="10" fillId="25" borderId="0" xfId="2" quotePrefix="1" applyNumberFormat="1" applyFont="1" applyFill="1" applyBorder="1" applyAlignment="1">
      <alignment horizontal="right"/>
    </xf>
    <xf numFmtId="9" fontId="10" fillId="25" borderId="0" xfId="2" applyFont="1" applyFill="1" applyBorder="1"/>
    <xf numFmtId="4" fontId="10" fillId="25" borderId="11" xfId="0" quotePrefix="1" applyNumberFormat="1" applyFont="1" applyFill="1" applyBorder="1" applyAlignment="1">
      <alignment horizontal="right"/>
    </xf>
    <xf numFmtId="9" fontId="10" fillId="25" borderId="20" xfId="2" quotePrefix="1" applyFont="1" applyFill="1" applyBorder="1" applyAlignment="1">
      <alignment horizontal="right"/>
    </xf>
    <xf numFmtId="9" fontId="10" fillId="25" borderId="11" xfId="2" applyFont="1" applyFill="1" applyBorder="1"/>
    <xf numFmtId="168" fontId="10" fillId="2" borderId="20" xfId="0" applyNumberFormat="1" applyFont="1" applyFill="1" applyBorder="1"/>
    <xf numFmtId="168" fontId="10" fillId="21" borderId="11" xfId="0" applyNumberFormat="1" applyFont="1" applyFill="1" applyBorder="1"/>
    <xf numFmtId="173" fontId="65" fillId="25" borderId="0" xfId="0" applyNumberFormat="1" applyFont="1" applyFill="1"/>
    <xf numFmtId="173" fontId="67" fillId="25" borderId="0" xfId="0" applyNumberFormat="1" applyFont="1" applyFill="1"/>
    <xf numFmtId="173" fontId="60" fillId="25" borderId="0" xfId="0" applyNumberFormat="1" applyFont="1" applyFill="1"/>
    <xf numFmtId="173" fontId="10" fillId="25" borderId="20" xfId="0" applyNumberFormat="1" applyFont="1" applyFill="1" applyBorder="1"/>
    <xf numFmtId="173" fontId="10" fillId="25" borderId="11" xfId="0" applyNumberFormat="1" applyFont="1" applyFill="1" applyBorder="1"/>
    <xf numFmtId="173" fontId="10" fillId="25" borderId="0" xfId="0" applyNumberFormat="1" applyFont="1" applyFill="1"/>
    <xf numFmtId="173" fontId="60" fillId="25" borderId="7" xfId="0" applyNumberFormat="1" applyFont="1" applyFill="1" applyBorder="1"/>
    <xf numFmtId="168" fontId="60" fillId="25" borderId="0" xfId="0" applyNumberFormat="1" applyFont="1" applyFill="1"/>
    <xf numFmtId="168" fontId="10" fillId="25" borderId="20" xfId="0" applyNumberFormat="1" applyFont="1" applyFill="1" applyBorder="1"/>
    <xf numFmtId="168" fontId="10" fillId="25" borderId="11" xfId="0" applyNumberFormat="1" applyFont="1" applyFill="1" applyBorder="1"/>
    <xf numFmtId="168" fontId="10" fillId="25" borderId="0" xfId="0" applyNumberFormat="1" applyFont="1" applyFill="1"/>
    <xf numFmtId="168" fontId="10" fillId="25" borderId="11" xfId="2" applyNumberFormat="1" applyFont="1" applyFill="1" applyBorder="1"/>
    <xf numFmtId="2" fontId="10" fillId="25" borderId="20" xfId="2" applyNumberFormat="1" applyFont="1" applyFill="1" applyBorder="1"/>
    <xf numFmtId="2" fontId="10" fillId="25" borderId="11" xfId="2" applyNumberFormat="1" applyFont="1" applyFill="1" applyBorder="1"/>
    <xf numFmtId="3" fontId="10" fillId="2" borderId="20" xfId="2" applyNumberFormat="1" applyFont="1" applyFill="1" applyBorder="1"/>
    <xf numFmtId="3" fontId="10" fillId="21" borderId="11" xfId="2" applyNumberFormat="1" applyFont="1" applyFill="1" applyBorder="1"/>
    <xf numFmtId="4" fontId="10" fillId="25" borderId="11" xfId="0" applyNumberFormat="1" applyFont="1" applyFill="1" applyBorder="1"/>
    <xf numFmtId="4" fontId="60" fillId="25" borderId="0" xfId="1" applyNumberFormat="1" applyFont="1" applyFill="1" applyBorder="1"/>
    <xf numFmtId="10" fontId="10" fillId="25" borderId="0" xfId="2" applyNumberFormat="1" applyFont="1" applyFill="1" applyBorder="1"/>
    <xf numFmtId="10" fontId="10" fillId="25" borderId="20" xfId="2" applyNumberFormat="1" applyFont="1" applyFill="1" applyBorder="1"/>
    <xf numFmtId="172" fontId="10" fillId="25" borderId="0" xfId="2" applyNumberFormat="1" applyFont="1" applyFill="1" applyBorder="1"/>
    <xf numFmtId="172" fontId="10" fillId="25" borderId="11" xfId="2" applyNumberFormat="1" applyFont="1" applyFill="1" applyBorder="1"/>
    <xf numFmtId="172" fontId="60" fillId="25" borderId="0" xfId="0" applyNumberFormat="1" applyFont="1" applyFill="1"/>
    <xf numFmtId="172" fontId="60" fillId="25" borderId="7" xfId="0" applyNumberFormat="1" applyFont="1" applyFill="1" applyBorder="1"/>
    <xf numFmtId="172" fontId="32" fillId="23" borderId="7" xfId="0" applyNumberFormat="1" applyFont="1" applyFill="1" applyBorder="1"/>
    <xf numFmtId="168" fontId="17" fillId="23" borderId="0" xfId="2" applyNumberFormat="1" applyFont="1" applyFill="1" applyBorder="1"/>
    <xf numFmtId="168" fontId="32" fillId="23" borderId="7" xfId="0" applyNumberFormat="1" applyFont="1" applyFill="1" applyBorder="1"/>
    <xf numFmtId="4" fontId="31" fillId="2" borderId="0" xfId="0" applyNumberFormat="1" applyFont="1" applyFill="1"/>
    <xf numFmtId="172" fontId="15" fillId="2" borderId="2" xfId="1" applyNumberFormat="1" applyFont="1" applyFill="1" applyBorder="1"/>
    <xf numFmtId="168" fontId="32" fillId="2" borderId="8" xfId="0" applyNumberFormat="1" applyFont="1" applyFill="1" applyBorder="1"/>
    <xf numFmtId="2" fontId="16" fillId="12" borderId="2" xfId="2" applyNumberFormat="1" applyFont="1" applyFill="1" applyBorder="1"/>
    <xf numFmtId="4" fontId="15" fillId="2" borderId="2" xfId="2" applyNumberFormat="1" applyFont="1" applyFill="1" applyBorder="1"/>
    <xf numFmtId="43" fontId="17" fillId="23" borderId="0" xfId="1" applyFont="1" applyFill="1" applyBorder="1"/>
    <xf numFmtId="168" fontId="19" fillId="23" borderId="0" xfId="2" applyNumberFormat="1" applyFont="1" applyFill="1" applyBorder="1"/>
    <xf numFmtId="4" fontId="15" fillId="23" borderId="0" xfId="1" applyNumberFormat="1" applyFont="1" applyFill="1" applyBorder="1"/>
    <xf numFmtId="2" fontId="15" fillId="23" borderId="0" xfId="2" applyNumberFormat="1" applyFont="1" applyFill="1" applyBorder="1"/>
    <xf numFmtId="43" fontId="32" fillId="23" borderId="7" xfId="1" applyFont="1" applyFill="1" applyBorder="1"/>
    <xf numFmtId="168" fontId="24" fillId="23" borderId="0" xfId="2" applyNumberFormat="1" applyFont="1" applyFill="1" applyBorder="1"/>
    <xf numFmtId="10" fontId="35" fillId="2" borderId="0" xfId="2" applyNumberFormat="1" applyFont="1" applyFill="1" applyAlignment="1">
      <alignment horizontal="center"/>
    </xf>
    <xf numFmtId="10" fontId="35" fillId="2" borderId="30" xfId="2" applyNumberFormat="1" applyFont="1" applyFill="1" applyBorder="1" applyAlignment="1">
      <alignment horizontal="center"/>
    </xf>
    <xf numFmtId="168" fontId="24" fillId="24" borderId="0" xfId="2" applyNumberFormat="1" applyFont="1" applyFill="1" applyBorder="1"/>
    <xf numFmtId="0" fontId="14" fillId="24" borderId="0" xfId="0" applyFont="1" applyFill="1"/>
    <xf numFmtId="3" fontId="14" fillId="24" borderId="0" xfId="0" applyNumberFormat="1" applyFont="1" applyFill="1"/>
    <xf numFmtId="164" fontId="17" fillId="24" borderId="0" xfId="1" applyNumberFormat="1" applyFont="1" applyFill="1" applyBorder="1"/>
    <xf numFmtId="168" fontId="19" fillId="24" borderId="0" xfId="2" applyNumberFormat="1" applyFont="1" applyFill="1" applyBorder="1"/>
    <xf numFmtId="1" fontId="15" fillId="24" borderId="0" xfId="1" applyNumberFormat="1" applyFont="1" applyFill="1" applyBorder="1"/>
    <xf numFmtId="3" fontId="16" fillId="24" borderId="0" xfId="1" applyNumberFormat="1" applyFont="1" applyFill="1" applyBorder="1"/>
    <xf numFmtId="3" fontId="15" fillId="24" borderId="0" xfId="1" applyNumberFormat="1" applyFont="1" applyFill="1" applyBorder="1"/>
    <xf numFmtId="1" fontId="15" fillId="24" borderId="0" xfId="2" applyNumberFormat="1" applyFont="1" applyFill="1" applyBorder="1"/>
    <xf numFmtId="9" fontId="15" fillId="24" borderId="0" xfId="2" applyFont="1" applyFill="1" applyBorder="1"/>
    <xf numFmtId="168" fontId="72" fillId="2" borderId="0" xfId="2" applyNumberFormat="1" applyFont="1" applyFill="1" applyBorder="1"/>
    <xf numFmtId="168" fontId="72" fillId="6" borderId="0" xfId="2" applyNumberFormat="1" applyFont="1" applyFill="1" applyBorder="1"/>
    <xf numFmtId="0" fontId="16" fillId="6" borderId="0" xfId="0" applyFont="1" applyFill="1"/>
    <xf numFmtId="10" fontId="24" fillId="2" borderId="0" xfId="2" applyNumberFormat="1" applyFont="1" applyFill="1" applyBorder="1"/>
    <xf numFmtId="10" fontId="24" fillId="6" borderId="0" xfId="2" applyNumberFormat="1" applyFont="1" applyFill="1" applyBorder="1"/>
    <xf numFmtId="168" fontId="72" fillId="2" borderId="2" xfId="2" applyNumberFormat="1" applyFont="1" applyFill="1" applyBorder="1"/>
    <xf numFmtId="10" fontId="24" fillId="2" borderId="2" xfId="2" applyNumberFormat="1" applyFont="1" applyFill="1" applyBorder="1"/>
    <xf numFmtId="164" fontId="15" fillId="2" borderId="2" xfId="1" applyNumberFormat="1" applyFont="1" applyFill="1" applyBorder="1"/>
    <xf numFmtId="170" fontId="25" fillId="2" borderId="0" xfId="1" applyNumberFormat="1" applyFont="1" applyFill="1" applyBorder="1" applyAlignment="1">
      <alignment vertical="center"/>
    </xf>
    <xf numFmtId="43" fontId="25" fillId="2" borderId="0" xfId="1" applyFont="1" applyFill="1" applyBorder="1" applyAlignment="1">
      <alignment vertical="center"/>
    </xf>
    <xf numFmtId="170" fontId="15" fillId="2" borderId="2" xfId="1" applyNumberFormat="1" applyFont="1" applyFill="1" applyBorder="1" applyAlignment="1">
      <alignment vertical="center"/>
    </xf>
    <xf numFmtId="164" fontId="15" fillId="6" borderId="0" xfId="1" applyNumberFormat="1" applyFont="1" applyFill="1" applyBorder="1" applyAlignment="1">
      <alignment vertical="center"/>
    </xf>
    <xf numFmtId="170" fontId="35" fillId="2" borderId="0" xfId="1" applyNumberFormat="1" applyFont="1" applyFill="1" applyBorder="1" applyAlignment="1">
      <alignment vertical="center"/>
    </xf>
    <xf numFmtId="170" fontId="35" fillId="2" borderId="0" xfId="1" applyNumberFormat="1" applyFont="1" applyFill="1" applyBorder="1" applyAlignment="1">
      <alignment horizontal="right" vertical="center"/>
    </xf>
    <xf numFmtId="43" fontId="35" fillId="2" borderId="0" xfId="1" applyFont="1" applyFill="1" applyBorder="1" applyAlignment="1">
      <alignment horizontal="right" vertical="center"/>
    </xf>
    <xf numFmtId="43" fontId="17" fillId="2" borderId="0" xfId="1" applyFont="1" applyFill="1" applyBorder="1" applyAlignment="1">
      <alignment horizontal="right" vertical="center"/>
    </xf>
    <xf numFmtId="170" fontId="17" fillId="2" borderId="0" xfId="1" applyNumberFormat="1" applyFont="1" applyFill="1" applyBorder="1" applyAlignment="1">
      <alignment horizontal="right" vertical="center"/>
    </xf>
    <xf numFmtId="170" fontId="17" fillId="2" borderId="2" xfId="1" applyNumberFormat="1" applyFont="1" applyFill="1" applyBorder="1" applyAlignment="1">
      <alignment horizontal="right" vertical="center"/>
    </xf>
    <xf numFmtId="170" fontId="17" fillId="6" borderId="35" xfId="1" applyNumberFormat="1" applyFont="1" applyFill="1" applyBorder="1" applyAlignment="1">
      <alignment horizontal="right" vertical="center"/>
    </xf>
    <xf numFmtId="170" fontId="22" fillId="10" borderId="27" xfId="1" applyNumberFormat="1" applyFont="1" applyFill="1" applyBorder="1" applyAlignment="1">
      <alignment vertical="center"/>
    </xf>
    <xf numFmtId="165" fontId="35" fillId="2" borderId="27" xfId="1" applyNumberFormat="1" applyFont="1" applyFill="1" applyBorder="1" applyAlignment="1">
      <alignment vertical="center"/>
    </xf>
    <xf numFmtId="165" fontId="17" fillId="8" borderId="27" xfId="0" applyNumberFormat="1" applyFont="1" applyFill="1" applyBorder="1" applyAlignment="1">
      <alignment vertical="center"/>
    </xf>
    <xf numFmtId="165" fontId="17" fillId="2" borderId="27" xfId="1" applyNumberFormat="1" applyFont="1" applyFill="1" applyBorder="1" applyAlignment="1">
      <alignment vertical="center"/>
    </xf>
    <xf numFmtId="165" fontId="17" fillId="2" borderId="28" xfId="1" applyNumberFormat="1" applyFont="1" applyFill="1" applyBorder="1" applyAlignment="1">
      <alignment vertical="center"/>
    </xf>
    <xf numFmtId="165" fontId="17" fillId="6" borderId="27" xfId="1" applyNumberFormat="1" applyFont="1" applyFill="1" applyBorder="1" applyAlignment="1">
      <alignment vertical="center"/>
    </xf>
    <xf numFmtId="165" fontId="35" fillId="2" borderId="0" xfId="1" applyNumberFormat="1" applyFont="1" applyFill="1" applyBorder="1" applyAlignment="1">
      <alignment vertical="center"/>
    </xf>
    <xf numFmtId="170" fontId="17" fillId="2" borderId="0" xfId="1" applyNumberFormat="1" applyFont="1" applyFill="1" applyBorder="1" applyAlignment="1">
      <alignment horizontal="center" vertical="center"/>
    </xf>
    <xf numFmtId="170" fontId="17" fillId="2" borderId="29" xfId="1" applyNumberFormat="1" applyFont="1" applyFill="1" applyBorder="1" applyAlignment="1">
      <alignment horizontal="center" vertical="center"/>
    </xf>
    <xf numFmtId="43" fontId="17" fillId="2" borderId="0" xfId="1" applyFont="1" applyFill="1" applyBorder="1" applyAlignment="1">
      <alignment horizontal="center" vertical="center"/>
    </xf>
    <xf numFmtId="170" fontId="17" fillId="2" borderId="2" xfId="1" applyNumberFormat="1" applyFont="1" applyFill="1" applyBorder="1" applyAlignment="1">
      <alignment horizontal="center" vertical="center"/>
    </xf>
    <xf numFmtId="170" fontId="22" fillId="22" borderId="0" xfId="1" applyNumberFormat="1" applyFont="1" applyFill="1" applyBorder="1" applyAlignment="1" applyProtection="1">
      <alignment vertical="center"/>
    </xf>
    <xf numFmtId="170" fontId="17" fillId="2" borderId="0" xfId="1" applyNumberFormat="1" applyFont="1" applyFill="1" applyBorder="1" applyAlignment="1" applyProtection="1">
      <alignment vertical="center"/>
    </xf>
    <xf numFmtId="180" fontId="17" fillId="2" borderId="0" xfId="1" applyNumberFormat="1" applyFont="1" applyFill="1" applyBorder="1" applyAlignment="1" applyProtection="1">
      <alignment vertical="center"/>
    </xf>
    <xf numFmtId="180" fontId="17" fillId="2" borderId="0" xfId="1" applyNumberFormat="1" applyFont="1" applyFill="1" applyBorder="1" applyAlignment="1" applyProtection="1">
      <alignment horizontal="right" vertical="center"/>
    </xf>
    <xf numFmtId="180" fontId="17" fillId="2" borderId="2" xfId="1" applyNumberFormat="1" applyFont="1" applyFill="1" applyBorder="1" applyAlignment="1" applyProtection="1">
      <alignment horizontal="right" vertical="center"/>
    </xf>
    <xf numFmtId="180" fontId="15" fillId="2" borderId="0" xfId="1" applyNumberFormat="1" applyFont="1" applyFill="1" applyBorder="1" applyAlignment="1">
      <alignment vertical="center"/>
    </xf>
    <xf numFmtId="170" fontId="16" fillId="26" borderId="0" xfId="1" applyNumberFormat="1" applyFont="1" applyFill="1" applyBorder="1" applyAlignment="1">
      <alignment horizontal="left" vertical="center" indent="2"/>
    </xf>
    <xf numFmtId="180" fontId="15" fillId="2" borderId="0" xfId="1" applyNumberFormat="1" applyFont="1" applyFill="1" applyBorder="1" applyAlignment="1">
      <alignment horizontal="right" vertical="center"/>
    </xf>
    <xf numFmtId="181" fontId="15" fillId="2" borderId="0" xfId="1" applyNumberFormat="1" applyFont="1" applyFill="1" applyBorder="1" applyAlignment="1">
      <alignment horizontal="right" vertical="center"/>
    </xf>
    <xf numFmtId="181" fontId="15" fillId="6" borderId="0" xfId="1" applyNumberFormat="1" applyFont="1" applyFill="1" applyBorder="1" applyAlignment="1">
      <alignment horizontal="right" vertical="center"/>
    </xf>
    <xf numFmtId="182" fontId="15" fillId="2" borderId="0" xfId="1" applyNumberFormat="1" applyFont="1" applyFill="1" applyBorder="1" applyAlignment="1">
      <alignment horizontal="right" vertical="center"/>
    </xf>
    <xf numFmtId="182" fontId="15" fillId="6" borderId="0" xfId="1" applyNumberFormat="1" applyFont="1" applyFill="1" applyBorder="1" applyAlignment="1">
      <alignment horizontal="right" vertical="center"/>
    </xf>
    <xf numFmtId="164" fontId="15" fillId="2" borderId="0" xfId="1" applyNumberFormat="1" applyFont="1" applyFill="1" applyBorder="1" applyAlignment="1">
      <alignment horizontal="right" vertical="center"/>
    </xf>
    <xf numFmtId="170" fontId="18" fillId="2" borderId="0" xfId="1" applyNumberFormat="1" applyFont="1" applyFill="1" applyBorder="1" applyAlignment="1">
      <alignment horizontal="left" vertical="center" indent="3"/>
    </xf>
    <xf numFmtId="170" fontId="18" fillId="2" borderId="0" xfId="1" applyNumberFormat="1" applyFont="1" applyFill="1" applyBorder="1" applyAlignment="1">
      <alignment vertical="center"/>
    </xf>
    <xf numFmtId="180" fontId="18" fillId="2" borderId="0" xfId="1" applyNumberFormat="1" applyFont="1" applyFill="1" applyBorder="1" applyAlignment="1">
      <alignment vertical="center"/>
    </xf>
    <xf numFmtId="164" fontId="18" fillId="2" borderId="0" xfId="1" applyNumberFormat="1" applyFont="1" applyFill="1" applyBorder="1" applyAlignment="1">
      <alignment horizontal="right" vertical="center"/>
    </xf>
    <xf numFmtId="9" fontId="18" fillId="2" borderId="0" xfId="2" applyFont="1" applyFill="1" applyBorder="1" applyAlignment="1">
      <alignment horizontal="right" vertical="center"/>
    </xf>
    <xf numFmtId="10" fontId="18" fillId="2" borderId="0" xfId="2" applyNumberFormat="1" applyFont="1" applyFill="1" applyBorder="1" applyAlignment="1">
      <alignment horizontal="right" vertical="center"/>
    </xf>
    <xf numFmtId="10" fontId="18" fillId="8" borderId="0" xfId="2" applyNumberFormat="1" applyFont="1" applyFill="1" applyBorder="1" applyAlignment="1">
      <alignment horizontal="right" vertical="center"/>
    </xf>
    <xf numFmtId="180" fontId="18" fillId="2" borderId="0" xfId="1" applyNumberFormat="1" applyFont="1" applyFill="1" applyBorder="1" applyAlignment="1">
      <alignment horizontal="right" vertical="center"/>
    </xf>
    <xf numFmtId="43" fontId="18" fillId="2" borderId="0" xfId="1" applyFont="1" applyFill="1" applyBorder="1" applyAlignment="1">
      <alignment vertical="center"/>
    </xf>
    <xf numFmtId="9" fontId="18" fillId="8" borderId="0" xfId="2" applyFont="1" applyFill="1" applyBorder="1" applyAlignment="1">
      <alignment horizontal="right" vertical="center"/>
    </xf>
    <xf numFmtId="170" fontId="15" fillId="2" borderId="0" xfId="1" applyNumberFormat="1" applyFont="1" applyFill="1" applyBorder="1" applyAlignment="1">
      <alignment horizontal="left" vertical="center" indent="3"/>
    </xf>
    <xf numFmtId="170" fontId="17" fillId="2" borderId="0" xfId="1" applyNumberFormat="1" applyFont="1" applyFill="1" applyBorder="1" applyAlignment="1">
      <alignment vertical="center"/>
    </xf>
    <xf numFmtId="180" fontId="17" fillId="2" borderId="0" xfId="1" applyNumberFormat="1" applyFont="1" applyFill="1" applyBorder="1" applyAlignment="1">
      <alignment vertical="center"/>
    </xf>
    <xf numFmtId="181" fontId="15" fillId="0" borderId="37" xfId="1" applyNumberFormat="1" applyFont="1" applyFill="1" applyBorder="1" applyAlignment="1">
      <alignment vertical="center"/>
    </xf>
    <xf numFmtId="181" fontId="15" fillId="0" borderId="38" xfId="1" applyNumberFormat="1" applyFont="1" applyFill="1" applyBorder="1" applyAlignment="1">
      <alignment vertical="center"/>
    </xf>
    <xf numFmtId="181" fontId="15" fillId="6" borderId="0" xfId="1" applyNumberFormat="1" applyFont="1" applyFill="1" applyBorder="1" applyAlignment="1">
      <alignment vertical="center"/>
    </xf>
    <xf numFmtId="170" fontId="15" fillId="2" borderId="0" xfId="1" applyNumberFormat="1" applyFont="1" applyFill="1" applyBorder="1" applyAlignment="1">
      <alignment horizontal="left" vertical="center" indent="9"/>
    </xf>
    <xf numFmtId="10" fontId="15" fillId="6" borderId="0" xfId="2" applyNumberFormat="1" applyFont="1" applyFill="1" applyBorder="1" applyAlignment="1">
      <alignment horizontal="right" vertical="center"/>
    </xf>
    <xf numFmtId="9" fontId="15" fillId="6" borderId="0" xfId="2" applyFont="1" applyFill="1" applyBorder="1" applyAlignment="1">
      <alignment horizontal="right" vertical="center"/>
    </xf>
    <xf numFmtId="180" fontId="15" fillId="2" borderId="0" xfId="1" applyNumberFormat="1" applyFont="1" applyFill="1" applyBorder="1" applyAlignment="1">
      <alignment horizontal="center" vertical="center"/>
    </xf>
    <xf numFmtId="180" fontId="17" fillId="0" borderId="39" xfId="1" applyNumberFormat="1" applyFont="1" applyFill="1" applyBorder="1" applyAlignment="1" applyProtection="1">
      <alignment horizontal="right" vertical="center"/>
    </xf>
    <xf numFmtId="180" fontId="17" fillId="0" borderId="0" xfId="1" applyNumberFormat="1" applyFont="1" applyFill="1" applyBorder="1" applyAlignment="1" applyProtection="1">
      <alignment horizontal="right" vertical="center"/>
    </xf>
    <xf numFmtId="180" fontId="17" fillId="0" borderId="40" xfId="1" applyNumberFormat="1" applyFont="1" applyFill="1" applyBorder="1" applyAlignment="1" applyProtection="1">
      <alignment horizontal="right" vertical="center"/>
    </xf>
    <xf numFmtId="180" fontId="17" fillId="0" borderId="2" xfId="1" applyNumberFormat="1" applyFont="1" applyFill="1" applyBorder="1" applyAlignment="1" applyProtection="1">
      <alignment horizontal="right" vertical="center"/>
    </xf>
    <xf numFmtId="170" fontId="17" fillId="6" borderId="0" xfId="1" applyNumberFormat="1" applyFont="1" applyFill="1" applyBorder="1" applyAlignment="1">
      <alignment horizontal="left" vertical="center"/>
    </xf>
    <xf numFmtId="180" fontId="17" fillId="6" borderId="0" xfId="1" applyNumberFormat="1" applyFont="1" applyFill="1" applyBorder="1" applyAlignment="1">
      <alignment horizontal="left" vertical="center"/>
    </xf>
    <xf numFmtId="180" fontId="15" fillId="6" borderId="0" xfId="1" applyNumberFormat="1" applyFont="1" applyFill="1" applyBorder="1" applyAlignment="1">
      <alignment horizontal="center" vertical="center"/>
    </xf>
    <xf numFmtId="180" fontId="15" fillId="6" borderId="0" xfId="1" applyNumberFormat="1" applyFont="1" applyFill="1" applyBorder="1" applyAlignment="1">
      <alignment vertical="center"/>
    </xf>
    <xf numFmtId="180" fontId="15" fillId="6" borderId="2" xfId="1" applyNumberFormat="1" applyFont="1" applyFill="1" applyBorder="1" applyAlignment="1">
      <alignment vertical="center"/>
    </xf>
    <xf numFmtId="180" fontId="15" fillId="6" borderId="39" xfId="1" applyNumberFormat="1" applyFont="1" applyFill="1" applyBorder="1" applyAlignment="1">
      <alignment vertical="center"/>
    </xf>
    <xf numFmtId="180" fontId="15" fillId="6" borderId="40" xfId="1" applyNumberFormat="1" applyFont="1" applyFill="1" applyBorder="1" applyAlignment="1">
      <alignment vertical="center"/>
    </xf>
    <xf numFmtId="170" fontId="17" fillId="2" borderId="0" xfId="1" applyNumberFormat="1" applyFont="1" applyFill="1" applyBorder="1" applyAlignment="1">
      <alignment horizontal="left" vertical="center"/>
    </xf>
    <xf numFmtId="180" fontId="17" fillId="2" borderId="0" xfId="1" applyNumberFormat="1" applyFont="1" applyFill="1" applyBorder="1" applyAlignment="1">
      <alignment horizontal="left" vertical="center"/>
    </xf>
    <xf numFmtId="180" fontId="15" fillId="0" borderId="37" xfId="1" applyNumberFormat="1" applyFont="1" applyFill="1" applyBorder="1" applyAlignment="1">
      <alignment horizontal="center" vertical="center"/>
    </xf>
    <xf numFmtId="180" fontId="15" fillId="0" borderId="38" xfId="1" applyNumberFormat="1" applyFont="1" applyFill="1" applyBorder="1" applyAlignment="1">
      <alignment horizontal="center" vertical="center"/>
    </xf>
    <xf numFmtId="170" fontId="22" fillId="22" borderId="0" xfId="1" applyNumberFormat="1" applyFont="1" applyFill="1" applyBorder="1" applyAlignment="1">
      <alignment vertical="center"/>
    </xf>
    <xf numFmtId="164" fontId="9" fillId="0" borderId="0" xfId="0" applyNumberFormat="1" applyFont="1" applyAlignment="1">
      <alignment vertical="center"/>
    </xf>
    <xf numFmtId="180" fontId="15" fillId="0" borderId="37" xfId="1" applyNumberFormat="1" applyFont="1" applyFill="1" applyBorder="1" applyAlignment="1">
      <alignment vertical="center"/>
    </xf>
    <xf numFmtId="180" fontId="15" fillId="0" borderId="38" xfId="1" applyNumberFormat="1" applyFont="1" applyFill="1" applyBorder="1" applyAlignment="1">
      <alignment vertical="center"/>
    </xf>
    <xf numFmtId="164" fontId="17" fillId="2" borderId="0" xfId="1" applyNumberFormat="1" applyFont="1" applyFill="1" applyBorder="1" applyAlignment="1">
      <alignment horizontal="left" vertical="center"/>
    </xf>
    <xf numFmtId="164" fontId="15" fillId="0" borderId="37" xfId="1" applyNumberFormat="1" applyFont="1" applyFill="1" applyBorder="1" applyAlignment="1">
      <alignment vertical="center"/>
    </xf>
    <xf numFmtId="164" fontId="15" fillId="0" borderId="38" xfId="1" applyNumberFormat="1" applyFont="1" applyFill="1" applyBorder="1" applyAlignment="1">
      <alignment vertical="center"/>
    </xf>
    <xf numFmtId="170" fontId="15" fillId="2" borderId="0" xfId="1" applyNumberFormat="1" applyFont="1" applyFill="1" applyBorder="1" applyAlignment="1">
      <alignment horizontal="left" vertical="center" indent="2"/>
    </xf>
    <xf numFmtId="170" fontId="15" fillId="2" borderId="0" xfId="1" applyNumberFormat="1" applyFont="1" applyFill="1" applyBorder="1" applyAlignment="1">
      <alignment horizontal="left" vertical="center"/>
    </xf>
    <xf numFmtId="164" fontId="15" fillId="2" borderId="0" xfId="1" applyNumberFormat="1" applyFont="1" applyFill="1" applyBorder="1" applyAlignment="1">
      <alignment horizontal="left" vertical="center"/>
    </xf>
    <xf numFmtId="181" fontId="15" fillId="2" borderId="0" xfId="1" applyNumberFormat="1" applyFont="1" applyFill="1" applyBorder="1" applyAlignment="1">
      <alignment vertical="center"/>
    </xf>
    <xf numFmtId="182" fontId="15" fillId="2" borderId="0" xfId="1" applyNumberFormat="1" applyFont="1" applyFill="1" applyBorder="1" applyAlignment="1">
      <alignment vertical="center"/>
    </xf>
    <xf numFmtId="182" fontId="15" fillId="6" borderId="0" xfId="1" applyNumberFormat="1" applyFont="1" applyFill="1" applyBorder="1" applyAlignment="1">
      <alignment vertical="center"/>
    </xf>
    <xf numFmtId="43" fontId="15" fillId="2" borderId="0" xfId="1" applyFont="1" applyFill="1" applyBorder="1" applyAlignment="1">
      <alignment horizontal="left" vertical="top" wrapText="1"/>
    </xf>
    <xf numFmtId="170" fontId="15" fillId="2" borderId="11" xfId="1" applyNumberFormat="1" applyFont="1" applyFill="1" applyBorder="1" applyAlignment="1">
      <alignment horizontal="left" vertical="center" indent="2"/>
    </xf>
    <xf numFmtId="170" fontId="15" fillId="2" borderId="11" xfId="1" applyNumberFormat="1" applyFont="1" applyFill="1" applyBorder="1" applyAlignment="1">
      <alignment horizontal="left" vertical="center"/>
    </xf>
    <xf numFmtId="164" fontId="15" fillId="2" borderId="11" xfId="1" applyNumberFormat="1" applyFont="1" applyFill="1" applyBorder="1" applyAlignment="1">
      <alignment horizontal="left" vertical="center"/>
    </xf>
    <xf numFmtId="164" fontId="15" fillId="2" borderId="11" xfId="1" applyNumberFormat="1" applyFont="1" applyFill="1" applyBorder="1" applyAlignment="1">
      <alignment vertical="center"/>
    </xf>
    <xf numFmtId="181" fontId="15" fillId="2" borderId="11" xfId="1" applyNumberFormat="1" applyFont="1" applyFill="1" applyBorder="1" applyAlignment="1">
      <alignment vertical="center"/>
    </xf>
    <xf numFmtId="181" fontId="15" fillId="0" borderId="41" xfId="1" applyNumberFormat="1" applyFont="1" applyFill="1" applyBorder="1" applyAlignment="1">
      <alignment vertical="center"/>
    </xf>
    <xf numFmtId="181" fontId="15" fillId="0" borderId="42" xfId="1" applyNumberFormat="1" applyFont="1" applyFill="1" applyBorder="1" applyAlignment="1">
      <alignment vertical="center"/>
    </xf>
    <xf numFmtId="181" fontId="15" fillId="6" borderId="11" xfId="1" applyNumberFormat="1" applyFont="1" applyFill="1" applyBorder="1" applyAlignment="1">
      <alignment vertical="center"/>
    </xf>
    <xf numFmtId="170" fontId="15" fillId="2" borderId="43" xfId="1" applyNumberFormat="1" applyFont="1" applyFill="1" applyBorder="1" applyAlignment="1">
      <alignment horizontal="left" vertical="center"/>
    </xf>
    <xf numFmtId="170" fontId="17" fillId="2" borderId="7" xfId="1" applyNumberFormat="1" applyFont="1" applyFill="1" applyBorder="1" applyAlignment="1">
      <alignment horizontal="left" vertical="center"/>
    </xf>
    <xf numFmtId="181" fontId="17" fillId="2" borderId="7" xfId="1" applyNumberFormat="1" applyFont="1" applyFill="1" applyBorder="1" applyAlignment="1">
      <alignment vertical="center"/>
    </xf>
    <xf numFmtId="182" fontId="17" fillId="2" borderId="7" xfId="1" applyNumberFormat="1" applyFont="1" applyFill="1" applyBorder="1" applyAlignment="1">
      <alignment vertical="center"/>
    </xf>
    <xf numFmtId="182" fontId="17" fillId="6" borderId="7" xfId="1" applyNumberFormat="1" applyFont="1" applyFill="1" applyBorder="1" applyAlignment="1">
      <alignment vertical="center"/>
    </xf>
    <xf numFmtId="181" fontId="17" fillId="6" borderId="7" xfId="1" applyNumberFormat="1" applyFont="1" applyFill="1" applyBorder="1" applyAlignment="1">
      <alignment vertical="center"/>
    </xf>
    <xf numFmtId="170" fontId="19" fillId="2" borderId="0" xfId="1" applyNumberFormat="1" applyFont="1" applyFill="1" applyBorder="1" applyAlignment="1">
      <alignment vertical="center"/>
    </xf>
    <xf numFmtId="170" fontId="19" fillId="2" borderId="0" xfId="1" applyNumberFormat="1" applyFont="1" applyFill="1" applyBorder="1" applyAlignment="1">
      <alignment horizontal="left" vertical="center"/>
    </xf>
    <xf numFmtId="164" fontId="19" fillId="2" borderId="0" xfId="1" applyNumberFormat="1" applyFont="1" applyFill="1" applyBorder="1" applyAlignment="1">
      <alignment vertical="center"/>
    </xf>
    <xf numFmtId="181" fontId="19" fillId="2" borderId="0" xfId="1" applyNumberFormat="1" applyFont="1" applyFill="1" applyBorder="1" applyAlignment="1">
      <alignment vertical="center"/>
    </xf>
    <xf numFmtId="10" fontId="19" fillId="2" borderId="0" xfId="2" applyNumberFormat="1" applyFont="1" applyFill="1" applyBorder="1" applyAlignment="1">
      <alignment vertical="center"/>
    </xf>
    <xf numFmtId="168" fontId="19" fillId="6" borderId="0" xfId="2" applyNumberFormat="1" applyFont="1" applyFill="1" applyBorder="1" applyAlignment="1">
      <alignment vertical="center"/>
    </xf>
    <xf numFmtId="181" fontId="19" fillId="6" borderId="0" xfId="1" applyNumberFormat="1" applyFont="1" applyFill="1" applyBorder="1" applyAlignment="1">
      <alignment vertical="center"/>
    </xf>
    <xf numFmtId="180" fontId="19" fillId="2" borderId="0" xfId="1" applyNumberFormat="1" applyFont="1" applyFill="1" applyBorder="1" applyAlignment="1">
      <alignment vertical="center"/>
    </xf>
    <xf numFmtId="43" fontId="19" fillId="2" borderId="0" xfId="1" applyFont="1" applyFill="1" applyBorder="1" applyAlignment="1">
      <alignment vertical="center"/>
    </xf>
    <xf numFmtId="1" fontId="27" fillId="2" borderId="0" xfId="1" applyNumberFormat="1" applyFont="1" applyFill="1" applyBorder="1" applyAlignment="1">
      <alignment horizontal="left" vertical="center"/>
    </xf>
    <xf numFmtId="1" fontId="27" fillId="2" borderId="0" xfId="1" applyNumberFormat="1" applyFont="1" applyFill="1" applyBorder="1" applyAlignment="1">
      <alignment vertical="center"/>
    </xf>
    <xf numFmtId="181" fontId="27" fillId="2" borderId="0" xfId="1" applyNumberFormat="1" applyFont="1" applyFill="1" applyBorder="1" applyAlignment="1">
      <alignment vertical="center"/>
    </xf>
    <xf numFmtId="182" fontId="27" fillId="2" borderId="0" xfId="1" applyNumberFormat="1" applyFont="1" applyFill="1" applyBorder="1" applyAlignment="1">
      <alignment vertical="center"/>
    </xf>
    <xf numFmtId="181" fontId="9" fillId="2" borderId="0" xfId="0" applyNumberFormat="1" applyFont="1" applyFill="1" applyAlignment="1">
      <alignment vertical="center"/>
    </xf>
    <xf numFmtId="181" fontId="19" fillId="2" borderId="2" xfId="1" applyNumberFormat="1" applyFont="1" applyFill="1" applyBorder="1" applyAlignment="1">
      <alignment vertical="center"/>
    </xf>
    <xf numFmtId="181" fontId="15" fillId="2" borderId="2" xfId="1" applyNumberFormat="1" applyFont="1" applyFill="1" applyBorder="1" applyAlignment="1">
      <alignment vertical="center"/>
    </xf>
    <xf numFmtId="170" fontId="30" fillId="2" borderId="7" xfId="1" applyNumberFormat="1" applyFont="1" applyFill="1" applyBorder="1" applyAlignment="1">
      <alignment horizontal="left" vertical="center"/>
    </xf>
    <xf numFmtId="170" fontId="30" fillId="2" borderId="0" xfId="1" applyNumberFormat="1" applyFont="1" applyFill="1" applyBorder="1" applyAlignment="1">
      <alignment horizontal="left" vertical="center"/>
    </xf>
    <xf numFmtId="170" fontId="27" fillId="2" borderId="0" xfId="1" applyNumberFormat="1" applyFont="1" applyFill="1" applyBorder="1" applyAlignment="1">
      <alignment horizontal="left" vertical="center"/>
    </xf>
    <xf numFmtId="164" fontId="27" fillId="2" borderId="0" xfId="1" applyNumberFormat="1" applyFont="1" applyFill="1" applyBorder="1" applyAlignment="1">
      <alignment vertical="center"/>
    </xf>
    <xf numFmtId="181" fontId="27" fillId="6" borderId="0" xfId="1" applyNumberFormat="1" applyFont="1" applyFill="1" applyBorder="1" applyAlignment="1">
      <alignment vertical="center"/>
    </xf>
    <xf numFmtId="180" fontId="27" fillId="2" borderId="0" xfId="1" applyNumberFormat="1" applyFont="1" applyFill="1" applyBorder="1" applyAlignment="1">
      <alignment vertical="center"/>
    </xf>
    <xf numFmtId="43" fontId="27" fillId="2" borderId="0" xfId="1" applyFont="1" applyFill="1" applyBorder="1" applyAlignment="1">
      <alignment vertical="center"/>
    </xf>
    <xf numFmtId="170" fontId="73" fillId="2" borderId="0" xfId="4" quotePrefix="1" applyNumberFormat="1" applyFont="1" applyFill="1" applyBorder="1" applyAlignment="1">
      <alignment horizontal="left" vertical="center"/>
    </xf>
    <xf numFmtId="170" fontId="15" fillId="2" borderId="0" xfId="1" quotePrefix="1" applyNumberFormat="1" applyFont="1" applyFill="1" applyBorder="1" applyAlignment="1">
      <alignment horizontal="left" vertical="center"/>
    </xf>
    <xf numFmtId="164" fontId="15" fillId="2" borderId="0" xfId="1" quotePrefix="1" applyNumberFormat="1" applyFont="1" applyFill="1" applyBorder="1" applyAlignment="1">
      <alignment horizontal="left" vertical="center"/>
    </xf>
    <xf numFmtId="182" fontId="15" fillId="0" borderId="38" xfId="1" applyNumberFormat="1" applyFont="1" applyFill="1" applyBorder="1" applyAlignment="1">
      <alignment vertical="center"/>
    </xf>
    <xf numFmtId="181" fontId="15" fillId="2" borderId="37" xfId="1" applyNumberFormat="1" applyFont="1" applyFill="1" applyBorder="1" applyAlignment="1">
      <alignment vertical="center"/>
    </xf>
    <xf numFmtId="181" fontId="15" fillId="2" borderId="38" xfId="1" applyNumberFormat="1" applyFont="1" applyFill="1" applyBorder="1" applyAlignment="1">
      <alignment vertical="center"/>
    </xf>
    <xf numFmtId="164" fontId="15" fillId="2" borderId="2" xfId="1" applyNumberFormat="1" applyFont="1" applyFill="1" applyBorder="1" applyAlignment="1">
      <alignment vertical="center"/>
    </xf>
    <xf numFmtId="170" fontId="22" fillId="2" borderId="0" xfId="1" applyNumberFormat="1" applyFont="1" applyFill="1" applyBorder="1" applyAlignment="1">
      <alignment vertical="center"/>
    </xf>
    <xf numFmtId="164" fontId="22" fillId="2" borderId="0" xfId="1" applyNumberFormat="1" applyFont="1" applyFill="1" applyBorder="1" applyAlignment="1">
      <alignment vertical="center"/>
    </xf>
    <xf numFmtId="164" fontId="16" fillId="2" borderId="0" xfId="1" applyNumberFormat="1" applyFont="1" applyFill="1" applyBorder="1" applyAlignment="1">
      <alignment horizontal="center" vertical="center"/>
    </xf>
    <xf numFmtId="164" fontId="16" fillId="2" borderId="0" xfId="1" applyNumberFormat="1" applyFont="1" applyFill="1" applyBorder="1" applyAlignment="1">
      <alignment vertical="center"/>
    </xf>
    <xf numFmtId="164" fontId="16" fillId="2" borderId="2" xfId="1" applyNumberFormat="1" applyFont="1" applyFill="1" applyBorder="1" applyAlignment="1">
      <alignment vertical="center"/>
    </xf>
    <xf numFmtId="180" fontId="16" fillId="2" borderId="0" xfId="1" applyNumberFormat="1" applyFont="1" applyFill="1" applyBorder="1" applyAlignment="1">
      <alignment vertical="center"/>
    </xf>
    <xf numFmtId="43" fontId="16" fillId="2" borderId="0" xfId="1" applyFont="1" applyFill="1" applyBorder="1" applyAlignment="1">
      <alignment vertical="center"/>
    </xf>
    <xf numFmtId="170" fontId="16" fillId="2" borderId="0" xfId="1" applyNumberFormat="1" applyFont="1" applyFill="1" applyBorder="1" applyAlignment="1">
      <alignment vertical="center"/>
    </xf>
    <xf numFmtId="181" fontId="15" fillId="2" borderId="6" xfId="1" applyNumberFormat="1" applyFont="1" applyFill="1" applyBorder="1" applyAlignment="1">
      <alignment vertical="center"/>
    </xf>
    <xf numFmtId="180" fontId="24" fillId="2" borderId="0" xfId="1" applyNumberFormat="1" applyFont="1" applyFill="1" applyBorder="1" applyAlignment="1">
      <alignment vertical="center"/>
    </xf>
    <xf numFmtId="164" fontId="74" fillId="2" borderId="0" xfId="0" applyNumberFormat="1" applyFont="1" applyFill="1" applyAlignment="1">
      <alignment vertical="center"/>
    </xf>
    <xf numFmtId="0" fontId="74" fillId="2" borderId="0" xfId="0" applyFont="1" applyFill="1" applyAlignment="1">
      <alignment vertical="center"/>
    </xf>
    <xf numFmtId="164" fontId="19" fillId="2" borderId="2" xfId="1" applyNumberFormat="1" applyFont="1" applyFill="1" applyBorder="1" applyAlignment="1">
      <alignment vertical="center"/>
    </xf>
    <xf numFmtId="182" fontId="19" fillId="2" borderId="2" xfId="1" applyNumberFormat="1" applyFont="1" applyFill="1" applyBorder="1" applyAlignment="1">
      <alignment vertical="center"/>
    </xf>
    <xf numFmtId="182" fontId="19" fillId="6" borderId="0" xfId="1" applyNumberFormat="1" applyFont="1" applyFill="1" applyBorder="1" applyAlignment="1">
      <alignment vertical="center"/>
    </xf>
    <xf numFmtId="170" fontId="17" fillId="22" borderId="0" xfId="1" applyNumberFormat="1" applyFont="1" applyFill="1" applyBorder="1" applyAlignment="1">
      <alignment vertical="center"/>
    </xf>
    <xf numFmtId="164" fontId="17" fillId="22" borderId="0" xfId="1" applyNumberFormat="1" applyFont="1" applyFill="1" applyBorder="1" applyAlignment="1">
      <alignment vertical="center"/>
    </xf>
    <xf numFmtId="164" fontId="15" fillId="22" borderId="0" xfId="1" applyNumberFormat="1" applyFont="1" applyFill="1" applyBorder="1" applyAlignment="1">
      <alignment horizontal="center" vertical="center"/>
    </xf>
    <xf numFmtId="164" fontId="15" fillId="22" borderId="0" xfId="1" applyNumberFormat="1" applyFont="1" applyFill="1" applyBorder="1" applyAlignment="1">
      <alignment vertical="center"/>
    </xf>
    <xf numFmtId="164" fontId="15" fillId="22" borderId="2" xfId="1" applyNumberFormat="1" applyFont="1" applyFill="1" applyBorder="1" applyAlignment="1">
      <alignment vertical="center"/>
    </xf>
    <xf numFmtId="180" fontId="15" fillId="22" borderId="0" xfId="1" applyNumberFormat="1" applyFont="1" applyFill="1" applyBorder="1" applyAlignment="1">
      <alignment vertical="center"/>
    </xf>
    <xf numFmtId="43" fontId="15" fillId="22" borderId="0" xfId="1" applyFont="1" applyFill="1" applyBorder="1" applyAlignment="1">
      <alignment vertical="center"/>
    </xf>
    <xf numFmtId="170" fontId="15" fillId="22" borderId="0" xfId="1" applyNumberFormat="1" applyFont="1" applyFill="1" applyBorder="1" applyAlignment="1">
      <alignment vertical="center"/>
    </xf>
    <xf numFmtId="164" fontId="9" fillId="2" borderId="0" xfId="0" applyNumberFormat="1" applyFont="1" applyFill="1" applyAlignment="1">
      <alignment vertical="center"/>
    </xf>
    <xf numFmtId="0" fontId="9" fillId="2" borderId="0" xfId="0" applyFont="1" applyFill="1" applyAlignment="1">
      <alignment vertical="center"/>
    </xf>
    <xf numFmtId="164" fontId="25" fillId="2" borderId="0" xfId="1" applyNumberFormat="1" applyFont="1" applyFill="1" applyBorder="1" applyAlignment="1">
      <alignment vertical="center"/>
    </xf>
    <xf numFmtId="164" fontId="25" fillId="2" borderId="2" xfId="1" applyNumberFormat="1" applyFont="1" applyFill="1" applyBorder="1" applyAlignment="1">
      <alignment vertical="center"/>
    </xf>
    <xf numFmtId="170" fontId="22" fillId="22" borderId="0" xfId="1" applyNumberFormat="1" applyFont="1" applyFill="1" applyBorder="1" applyAlignment="1">
      <alignment horizontal="left" vertical="center"/>
    </xf>
    <xf numFmtId="164" fontId="15" fillId="2" borderId="0" xfId="1" applyNumberFormat="1" applyFont="1" applyFill="1" applyBorder="1" applyAlignment="1">
      <alignment horizontal="center" vertical="center"/>
    </xf>
    <xf numFmtId="164" fontId="15" fillId="2" borderId="2" xfId="1" applyNumberFormat="1" applyFont="1" applyFill="1" applyBorder="1" applyAlignment="1">
      <alignment horizontal="center" vertical="center"/>
    </xf>
    <xf numFmtId="170" fontId="17" fillId="2" borderId="0" xfId="1" applyNumberFormat="1" applyFont="1" applyFill="1" applyBorder="1" applyAlignment="1">
      <alignment horizontal="left" vertical="center" indent="2"/>
    </xf>
    <xf numFmtId="164" fontId="17" fillId="2" borderId="2" xfId="1" applyNumberFormat="1" applyFont="1" applyFill="1" applyBorder="1" applyAlignment="1">
      <alignment vertical="center"/>
    </xf>
    <xf numFmtId="43" fontId="17" fillId="2" borderId="0" xfId="1" applyFont="1" applyFill="1" applyBorder="1" applyAlignment="1">
      <alignment vertical="center"/>
    </xf>
    <xf numFmtId="170" fontId="75" fillId="2" borderId="0" xfId="1" applyNumberFormat="1" applyFont="1" applyFill="1" applyBorder="1" applyAlignment="1">
      <alignment horizontal="left" vertical="center"/>
    </xf>
    <xf numFmtId="170" fontId="15" fillId="2" borderId="0" xfId="1" quotePrefix="1" applyNumberFormat="1" applyFont="1" applyFill="1" applyBorder="1" applyAlignment="1">
      <alignment horizontal="left" vertical="center" indent="4"/>
    </xf>
    <xf numFmtId="170" fontId="75" fillId="2" borderId="0" xfId="1" quotePrefix="1" applyNumberFormat="1" applyFont="1" applyFill="1" applyBorder="1" applyAlignment="1">
      <alignment horizontal="left" vertical="center"/>
    </xf>
    <xf numFmtId="181" fontId="17" fillId="2" borderId="0" xfId="1" applyNumberFormat="1" applyFont="1" applyFill="1" applyBorder="1" applyAlignment="1">
      <alignment vertical="center"/>
    </xf>
    <xf numFmtId="181" fontId="17" fillId="2" borderId="2" xfId="1" applyNumberFormat="1" applyFont="1" applyFill="1" applyBorder="1" applyAlignment="1">
      <alignment vertical="center"/>
    </xf>
    <xf numFmtId="181" fontId="17" fillId="6" borderId="0" xfId="1" applyNumberFormat="1" applyFont="1" applyFill="1" applyBorder="1" applyAlignment="1">
      <alignment vertical="center"/>
    </xf>
    <xf numFmtId="164" fontId="17" fillId="2" borderId="7" xfId="1" applyNumberFormat="1" applyFont="1" applyFill="1" applyBorder="1" applyAlignment="1">
      <alignment horizontal="left" vertical="center"/>
    </xf>
    <xf numFmtId="164" fontId="15" fillId="2" borderId="7" xfId="1" applyNumberFormat="1" applyFont="1" applyFill="1" applyBorder="1" applyAlignment="1">
      <alignment vertical="center"/>
    </xf>
    <xf numFmtId="181" fontId="15" fillId="2" borderId="7" xfId="1" applyNumberFormat="1" applyFont="1" applyFill="1" applyBorder="1" applyAlignment="1">
      <alignment vertical="center"/>
    </xf>
    <xf numFmtId="182" fontId="15" fillId="2" borderId="7" xfId="1" applyNumberFormat="1" applyFont="1" applyFill="1" applyBorder="1" applyAlignment="1">
      <alignment vertical="center"/>
    </xf>
    <xf numFmtId="182" fontId="15" fillId="6" borderId="7" xfId="1" applyNumberFormat="1" applyFont="1" applyFill="1" applyBorder="1" applyAlignment="1">
      <alignment vertical="center"/>
    </xf>
    <xf numFmtId="2" fontId="27" fillId="2" borderId="0" xfId="1" applyNumberFormat="1" applyFont="1" applyFill="1" applyBorder="1" applyAlignment="1">
      <alignment vertical="center"/>
    </xf>
    <xf numFmtId="170" fontId="17" fillId="21" borderId="1" xfId="1" applyNumberFormat="1" applyFont="1" applyFill="1" applyBorder="1" applyAlignment="1">
      <alignment horizontal="center" vertical="center" wrapText="1"/>
    </xf>
    <xf numFmtId="164" fontId="17" fillId="21" borderId="1" xfId="1" applyNumberFormat="1" applyFont="1" applyFill="1" applyBorder="1" applyAlignment="1">
      <alignment horizontal="center" vertical="center" wrapText="1"/>
    </xf>
    <xf numFmtId="164" fontId="15" fillId="2" borderId="0" xfId="1" applyNumberFormat="1" applyFont="1" applyFill="1" applyBorder="1" applyAlignment="1">
      <alignment horizontal="center" vertical="center" wrapText="1"/>
    </xf>
    <xf numFmtId="170" fontId="15" fillId="2" borderId="1" xfId="1" applyNumberFormat="1" applyFont="1" applyFill="1" applyBorder="1" applyAlignment="1">
      <alignment horizontal="left" vertical="center"/>
    </xf>
    <xf numFmtId="164" fontId="15" fillId="9" borderId="1" xfId="1" quotePrefix="1" applyNumberFormat="1" applyFont="1" applyFill="1" applyBorder="1" applyAlignment="1">
      <alignment horizontal="left" vertical="center"/>
    </xf>
    <xf numFmtId="164" fontId="15" fillId="9" borderId="1" xfId="1" quotePrefix="1" applyNumberFormat="1" applyFont="1" applyFill="1" applyBorder="1" applyAlignment="1">
      <alignment vertical="center"/>
    </xf>
    <xf numFmtId="170" fontId="15" fillId="2" borderId="1" xfId="1" applyNumberFormat="1" applyFont="1" applyFill="1" applyBorder="1" applyAlignment="1">
      <alignment horizontal="center" vertical="center"/>
    </xf>
    <xf numFmtId="164" fontId="15" fillId="2" borderId="1" xfId="1" applyNumberFormat="1" applyFont="1" applyFill="1" applyBorder="1" applyAlignment="1">
      <alignment horizontal="center" vertical="center"/>
    </xf>
    <xf numFmtId="164" fontId="15" fillId="9" borderId="1" xfId="1" applyNumberFormat="1" applyFont="1" applyFill="1" applyBorder="1" applyAlignment="1">
      <alignment horizontal="left" vertical="center"/>
    </xf>
    <xf numFmtId="164" fontId="15" fillId="9" borderId="1" xfId="1" applyNumberFormat="1" applyFont="1" applyFill="1" applyBorder="1" applyAlignment="1">
      <alignment vertical="center"/>
    </xf>
    <xf numFmtId="170" fontId="15" fillId="2" borderId="0" xfId="1" applyNumberFormat="1" applyFont="1" applyFill="1" applyBorder="1" applyAlignment="1">
      <alignment horizontal="center" vertical="center"/>
    </xf>
    <xf numFmtId="170" fontId="25" fillId="2" borderId="2" xfId="1" applyNumberFormat="1" applyFont="1" applyFill="1" applyBorder="1" applyAlignment="1">
      <alignment vertical="center"/>
    </xf>
    <xf numFmtId="180" fontId="15" fillId="6" borderId="2" xfId="1" applyNumberFormat="1" applyFont="1" applyFill="1" applyBorder="1" applyAlignment="1">
      <alignment horizontal="center" vertical="center"/>
    </xf>
    <xf numFmtId="181" fontId="76" fillId="2" borderId="0" xfId="1" applyNumberFormat="1" applyFont="1" applyFill="1" applyBorder="1" applyAlignment="1">
      <alignment horizontal="right" vertical="center"/>
    </xf>
    <xf numFmtId="181" fontId="76" fillId="2" borderId="0" xfId="1" applyNumberFormat="1" applyFont="1" applyFill="1" applyBorder="1" applyAlignment="1">
      <alignment vertical="center"/>
    </xf>
    <xf numFmtId="170" fontId="73" fillId="2" borderId="0" xfId="4" applyNumberFormat="1" applyFont="1" applyFill="1" applyBorder="1" applyAlignment="1">
      <alignment vertical="center"/>
    </xf>
    <xf numFmtId="181" fontId="25" fillId="2" borderId="0" xfId="1" applyNumberFormat="1" applyFont="1" applyFill="1" applyBorder="1" applyAlignment="1">
      <alignment vertical="center"/>
    </xf>
    <xf numFmtId="182" fontId="25" fillId="2" borderId="2" xfId="1" applyNumberFormat="1" applyFont="1" applyFill="1" applyBorder="1" applyAlignment="1">
      <alignment vertical="center"/>
    </xf>
    <xf numFmtId="182" fontId="25" fillId="6" borderId="0" xfId="1" applyNumberFormat="1" applyFont="1" applyFill="1" applyBorder="1" applyAlignment="1">
      <alignment vertical="center"/>
    </xf>
    <xf numFmtId="181" fontId="25" fillId="6" borderId="0" xfId="1" applyNumberFormat="1" applyFont="1" applyFill="1" applyBorder="1" applyAlignment="1">
      <alignment vertical="center"/>
    </xf>
    <xf numFmtId="181" fontId="25" fillId="2" borderId="2" xfId="1" applyNumberFormat="1" applyFont="1" applyFill="1" applyBorder="1" applyAlignment="1">
      <alignment vertical="center"/>
    </xf>
    <xf numFmtId="170" fontId="73" fillId="2" borderId="7" xfId="4" applyNumberFormat="1" applyFont="1" applyFill="1" applyBorder="1" applyAlignment="1">
      <alignment vertical="center"/>
    </xf>
    <xf numFmtId="170" fontId="25" fillId="2" borderId="7" xfId="1" applyNumberFormat="1" applyFont="1" applyFill="1" applyBorder="1" applyAlignment="1">
      <alignment vertical="center"/>
    </xf>
    <xf numFmtId="43" fontId="25" fillId="2" borderId="7" xfId="1" applyFont="1" applyFill="1" applyBorder="1" applyAlignment="1">
      <alignment vertical="center"/>
    </xf>
    <xf numFmtId="181" fontId="25" fillId="2" borderId="7" xfId="1" applyNumberFormat="1" applyFont="1" applyFill="1" applyBorder="1" applyAlignment="1">
      <alignment vertical="center"/>
    </xf>
    <xf numFmtId="182" fontId="25" fillId="6" borderId="7" xfId="1" applyNumberFormat="1" applyFont="1" applyFill="1" applyBorder="1" applyAlignment="1">
      <alignment vertical="center"/>
    </xf>
    <xf numFmtId="2" fontId="77" fillId="0" borderId="0" xfId="0" applyNumberFormat="1" applyFont="1"/>
    <xf numFmtId="10" fontId="19" fillId="6" borderId="0" xfId="2" applyNumberFormat="1" applyFont="1" applyFill="1" applyBorder="1" applyAlignment="1">
      <alignment vertical="center"/>
    </xf>
    <xf numFmtId="170" fontId="25" fillId="6" borderId="0" xfId="1" applyNumberFormat="1" applyFont="1" applyFill="1" applyBorder="1" applyAlignment="1">
      <alignment vertical="center"/>
    </xf>
    <xf numFmtId="43" fontId="25" fillId="6" borderId="0" xfId="1" applyFont="1" applyFill="1" applyBorder="1" applyAlignment="1">
      <alignment vertical="center"/>
    </xf>
    <xf numFmtId="43" fontId="25" fillId="23" borderId="0" xfId="1" applyFont="1" applyFill="1" applyBorder="1" applyAlignment="1">
      <alignment vertical="center"/>
    </xf>
    <xf numFmtId="182" fontId="25" fillId="24" borderId="0" xfId="1" applyNumberFormat="1" applyFont="1" applyFill="1" applyBorder="1" applyAlignment="1">
      <alignment vertical="center"/>
    </xf>
    <xf numFmtId="170" fontId="25" fillId="24" borderId="0" xfId="1" applyNumberFormat="1" applyFont="1" applyFill="1" applyBorder="1" applyAlignment="1">
      <alignment vertical="center"/>
    </xf>
    <xf numFmtId="43" fontId="25" fillId="24" borderId="0" xfId="1" applyFont="1" applyFill="1" applyBorder="1" applyAlignment="1">
      <alignment vertical="center"/>
    </xf>
    <xf numFmtId="182" fontId="15" fillId="23" borderId="0" xfId="1" applyNumberFormat="1" applyFont="1" applyFill="1" applyBorder="1" applyAlignment="1">
      <alignment vertical="center"/>
    </xf>
    <xf numFmtId="182" fontId="25" fillId="24" borderId="7" xfId="1" applyNumberFormat="1" applyFont="1" applyFill="1" applyBorder="1" applyAlignment="1">
      <alignment vertical="center"/>
    </xf>
    <xf numFmtId="181" fontId="15" fillId="2" borderId="2" xfId="1" applyNumberFormat="1" applyFont="1" applyFill="1" applyBorder="1" applyAlignment="1">
      <alignment horizontal="right" vertical="center"/>
    </xf>
    <xf numFmtId="182" fontId="15" fillId="2" borderId="2" xfId="1" applyNumberFormat="1" applyFont="1" applyFill="1" applyBorder="1" applyAlignment="1">
      <alignment horizontal="right" vertical="center"/>
    </xf>
    <xf numFmtId="10" fontId="15" fillId="2" borderId="36" xfId="2" applyNumberFormat="1" applyFont="1" applyFill="1" applyBorder="1" applyAlignment="1">
      <alignment horizontal="right" vertical="center"/>
    </xf>
    <xf numFmtId="10" fontId="15" fillId="2" borderId="2" xfId="2" applyNumberFormat="1" applyFont="1" applyFill="1" applyBorder="1" applyAlignment="1">
      <alignment horizontal="right" vertical="center"/>
    </xf>
    <xf numFmtId="182" fontId="15" fillId="2" borderId="44" xfId="1" applyNumberFormat="1" applyFont="1" applyFill="1" applyBorder="1" applyAlignment="1">
      <alignment vertical="center"/>
    </xf>
    <xf numFmtId="182" fontId="15" fillId="2" borderId="2" xfId="1" applyNumberFormat="1" applyFont="1" applyFill="1" applyBorder="1" applyAlignment="1">
      <alignment vertical="center"/>
    </xf>
    <xf numFmtId="182" fontId="17" fillId="2" borderId="8" xfId="1" applyNumberFormat="1" applyFont="1" applyFill="1" applyBorder="1" applyAlignment="1">
      <alignment vertical="center"/>
    </xf>
    <xf numFmtId="10" fontId="19" fillId="2" borderId="2" xfId="2" applyNumberFormat="1" applyFont="1" applyFill="1" applyBorder="1" applyAlignment="1">
      <alignment vertical="center"/>
    </xf>
    <xf numFmtId="182" fontId="27" fillId="2" borderId="2" xfId="1" applyNumberFormat="1" applyFont="1" applyFill="1" applyBorder="1" applyAlignment="1">
      <alignment vertical="center"/>
    </xf>
    <xf numFmtId="182" fontId="15" fillId="2" borderId="9" xfId="1" applyNumberFormat="1" applyFont="1" applyFill="1" applyBorder="1" applyAlignment="1">
      <alignment vertical="center"/>
    </xf>
    <xf numFmtId="182" fontId="15" fillId="2" borderId="8" xfId="1" applyNumberFormat="1" applyFont="1" applyFill="1" applyBorder="1" applyAlignment="1">
      <alignment vertical="center"/>
    </xf>
    <xf numFmtId="181" fontId="27" fillId="2" borderId="9" xfId="1" applyNumberFormat="1" applyFont="1" applyFill="1" applyBorder="1" applyAlignment="1">
      <alignment vertical="center"/>
    </xf>
    <xf numFmtId="181" fontId="15" fillId="2" borderId="8" xfId="1" applyNumberFormat="1" applyFont="1" applyFill="1" applyBorder="1" applyAlignment="1">
      <alignment vertical="center"/>
    </xf>
    <xf numFmtId="181" fontId="17" fillId="2" borderId="8" xfId="1" applyNumberFormat="1" applyFont="1" applyFill="1" applyBorder="1" applyAlignment="1">
      <alignment vertical="center"/>
    </xf>
    <xf numFmtId="181" fontId="27" fillId="2" borderId="2" xfId="1" applyNumberFormat="1" applyFont="1" applyFill="1" applyBorder="1" applyAlignment="1">
      <alignment vertical="center"/>
    </xf>
    <xf numFmtId="2" fontId="27" fillId="2" borderId="2" xfId="1" applyNumberFormat="1" applyFont="1" applyFill="1" applyBorder="1" applyAlignment="1">
      <alignment vertical="center"/>
    </xf>
    <xf numFmtId="181" fontId="76" fillId="2" borderId="2" xfId="1" applyNumberFormat="1" applyFont="1" applyFill="1" applyBorder="1" applyAlignment="1">
      <alignment horizontal="right" vertical="center"/>
    </xf>
    <xf numFmtId="182" fontId="25" fillId="2" borderId="8" xfId="1" applyNumberFormat="1" applyFont="1" applyFill="1" applyBorder="1" applyAlignment="1">
      <alignment vertical="center"/>
    </xf>
    <xf numFmtId="182" fontId="25" fillId="24" borderId="8" xfId="1" applyNumberFormat="1" applyFont="1" applyFill="1" applyBorder="1" applyAlignment="1">
      <alignment vertical="center"/>
    </xf>
    <xf numFmtId="43" fontId="25" fillId="2" borderId="2" xfId="1" applyFont="1" applyFill="1" applyBorder="1" applyAlignment="1">
      <alignment vertical="center"/>
    </xf>
    <xf numFmtId="181" fontId="25" fillId="2" borderId="6" xfId="1" applyNumberFormat="1" applyFont="1" applyFill="1" applyBorder="1" applyAlignment="1">
      <alignment vertical="center"/>
    </xf>
    <xf numFmtId="181" fontId="25" fillId="6" borderId="11" xfId="1" applyNumberFormat="1" applyFont="1" applyFill="1" applyBorder="1" applyAlignment="1">
      <alignment vertical="center"/>
    </xf>
    <xf numFmtId="181" fontId="25" fillId="6" borderId="20" xfId="1" applyNumberFormat="1" applyFont="1" applyFill="1" applyBorder="1" applyAlignment="1">
      <alignment vertical="center"/>
    </xf>
    <xf numFmtId="0" fontId="70" fillId="2" borderId="0" xfId="0" applyFont="1" applyFill="1" applyAlignment="1">
      <alignment horizontal="left"/>
    </xf>
    <xf numFmtId="0" fontId="70" fillId="2" borderId="0" xfId="0" applyFont="1" applyFill="1"/>
    <xf numFmtId="0" fontId="63" fillId="2" borderId="0" xfId="0" applyFont="1" applyFill="1" applyAlignment="1">
      <alignment horizontal="center"/>
    </xf>
    <xf numFmtId="165" fontId="70" fillId="2" borderId="0" xfId="0" applyNumberFormat="1" applyFont="1" applyFill="1"/>
    <xf numFmtId="164" fontId="15" fillId="6" borderId="47" xfId="1" applyNumberFormat="1" applyFont="1" applyFill="1" applyBorder="1" applyAlignment="1">
      <alignment horizontal="right" vertical="center"/>
    </xf>
    <xf numFmtId="0" fontId="62" fillId="2" borderId="0" xfId="0" applyFont="1" applyFill="1"/>
    <xf numFmtId="0" fontId="62" fillId="2" borderId="0" xfId="0" applyFont="1" applyFill="1" applyAlignment="1">
      <alignment horizontal="center"/>
    </xf>
    <xf numFmtId="0" fontId="62" fillId="2" borderId="0" xfId="0" applyFont="1" applyFill="1" applyAlignment="1">
      <alignment horizontal="right"/>
    </xf>
    <xf numFmtId="0" fontId="62" fillId="6" borderId="0" xfId="0" applyFont="1" applyFill="1" applyAlignment="1">
      <alignment horizontal="right"/>
    </xf>
    <xf numFmtId="0" fontId="70" fillId="2" borderId="0" xfId="0" applyFont="1" applyFill="1" applyAlignment="1">
      <alignment horizontal="left" vertical="center" wrapText="1"/>
    </xf>
    <xf numFmtId="0" fontId="63" fillId="10" borderId="4" xfId="0" applyFont="1" applyFill="1" applyBorder="1" applyAlignment="1">
      <alignment horizontal="center" vertical="center" wrapText="1"/>
    </xf>
    <xf numFmtId="165" fontId="62" fillId="6" borderId="48" xfId="0" applyNumberFormat="1" applyFont="1" applyFill="1" applyBorder="1" applyAlignment="1">
      <alignment horizontal="center" vertical="center" wrapText="1"/>
    </xf>
    <xf numFmtId="168" fontId="62" fillId="6" borderId="48" xfId="2" applyNumberFormat="1" applyFont="1" applyFill="1" applyBorder="1" applyAlignment="1">
      <alignment horizontal="center" vertical="center" wrapText="1"/>
    </xf>
    <xf numFmtId="165" fontId="62" fillId="2" borderId="4" xfId="0" applyNumberFormat="1" applyFont="1" applyFill="1" applyBorder="1" applyAlignment="1">
      <alignment horizontal="center" vertical="center" wrapText="1"/>
    </xf>
    <xf numFmtId="165" fontId="62" fillId="6" borderId="4" xfId="0" applyNumberFormat="1" applyFont="1" applyFill="1" applyBorder="1" applyAlignment="1">
      <alignment horizontal="right" vertical="center" wrapText="1"/>
    </xf>
    <xf numFmtId="0" fontId="70" fillId="2" borderId="0" xfId="0" applyFont="1" applyFill="1" applyAlignment="1">
      <alignment horizontal="center" vertical="center" wrapText="1"/>
    </xf>
    <xf numFmtId="0" fontId="62" fillId="2" borderId="0" xfId="0" applyFont="1" applyFill="1" applyAlignment="1">
      <alignment horizontal="center" vertical="center" wrapText="1"/>
    </xf>
    <xf numFmtId="0" fontId="63" fillId="2" borderId="0" xfId="0" applyFont="1" applyFill="1" applyAlignment="1">
      <alignment horizontal="center" vertical="center" wrapText="1"/>
    </xf>
    <xf numFmtId="165" fontId="62" fillId="2" borderId="0" xfId="0" applyNumberFormat="1" applyFont="1" applyFill="1" applyAlignment="1">
      <alignment horizontal="center" vertical="center" wrapText="1"/>
    </xf>
    <xf numFmtId="168" fontId="62" fillId="2" borderId="0" xfId="2" applyNumberFormat="1" applyFont="1" applyFill="1" applyBorder="1" applyAlignment="1">
      <alignment horizontal="center" vertical="center" wrapText="1"/>
    </xf>
    <xf numFmtId="0" fontId="62" fillId="29" borderId="0" xfId="0" applyFont="1" applyFill="1"/>
    <xf numFmtId="165" fontId="70" fillId="2" borderId="0" xfId="1" applyNumberFormat="1" applyFont="1" applyFill="1" applyBorder="1"/>
    <xf numFmtId="10" fontId="70" fillId="11" borderId="0" xfId="0" applyNumberFormat="1" applyFont="1" applyFill="1"/>
    <xf numFmtId="0" fontId="70" fillId="2" borderId="0" xfId="0" applyFont="1" applyFill="1" applyAlignment="1">
      <alignment horizontal="left" indent="3"/>
    </xf>
    <xf numFmtId="179" fontId="70" fillId="2" borderId="0" xfId="1" applyNumberFormat="1" applyFont="1" applyFill="1" applyBorder="1"/>
    <xf numFmtId="179" fontId="70" fillId="6" borderId="0" xfId="1" applyNumberFormat="1" applyFont="1" applyFill="1" applyBorder="1"/>
    <xf numFmtId="170" fontId="70" fillId="6" borderId="0" xfId="1" applyNumberFormat="1" applyFont="1" applyFill="1" applyBorder="1"/>
    <xf numFmtId="0" fontId="78" fillId="2" borderId="0" xfId="0" applyFont="1" applyFill="1" applyAlignment="1">
      <alignment horizontal="left"/>
    </xf>
    <xf numFmtId="0" fontId="79" fillId="2" borderId="0" xfId="0" quotePrefix="1" applyFont="1" applyFill="1" applyAlignment="1">
      <alignment horizontal="left" indent="3"/>
    </xf>
    <xf numFmtId="170" fontId="78" fillId="2" borderId="0" xfId="1" applyNumberFormat="1" applyFont="1" applyFill="1" applyBorder="1"/>
    <xf numFmtId="165" fontId="78" fillId="2" borderId="0" xfId="1" applyNumberFormat="1" applyFont="1" applyFill="1" applyBorder="1"/>
    <xf numFmtId="168" fontId="78" fillId="2" borderId="0" xfId="2" applyNumberFormat="1" applyFont="1" applyFill="1" applyBorder="1"/>
    <xf numFmtId="179" fontId="78" fillId="2" borderId="0" xfId="1" applyNumberFormat="1" applyFont="1" applyFill="1" applyBorder="1"/>
    <xf numFmtId="179" fontId="78" fillId="6" borderId="0" xfId="1" applyNumberFormat="1" applyFont="1" applyFill="1" applyBorder="1"/>
    <xf numFmtId="170" fontId="78" fillId="6" borderId="0" xfId="1" applyNumberFormat="1" applyFont="1" applyFill="1" applyBorder="1"/>
    <xf numFmtId="0" fontId="78" fillId="2" borderId="0" xfId="0" applyFont="1" applyFill="1"/>
    <xf numFmtId="10" fontId="78" fillId="2" borderId="0" xfId="1" applyNumberFormat="1" applyFont="1" applyFill="1" applyBorder="1"/>
    <xf numFmtId="43" fontId="78" fillId="2" borderId="0" xfId="1" applyFont="1" applyFill="1" applyBorder="1"/>
    <xf numFmtId="10" fontId="78" fillId="2" borderId="0" xfId="2" applyNumberFormat="1" applyFont="1" applyFill="1" applyBorder="1"/>
    <xf numFmtId="10" fontId="78" fillId="6" borderId="0" xfId="2" applyNumberFormat="1" applyFont="1" applyFill="1" applyBorder="1"/>
    <xf numFmtId="168" fontId="78" fillId="6" borderId="0" xfId="2" applyNumberFormat="1" applyFont="1" applyFill="1" applyBorder="1"/>
    <xf numFmtId="43" fontId="70" fillId="2" borderId="0" xfId="1" applyFont="1" applyFill="1" applyBorder="1"/>
    <xf numFmtId="43" fontId="70" fillId="6" borderId="0" xfId="1" applyFont="1" applyFill="1" applyBorder="1"/>
    <xf numFmtId="0" fontId="79" fillId="2" borderId="0" xfId="0" applyFont="1" applyFill="1" applyAlignment="1">
      <alignment horizontal="left"/>
    </xf>
    <xf numFmtId="170" fontId="79" fillId="2" borderId="0" xfId="1" applyNumberFormat="1" applyFont="1" applyFill="1" applyBorder="1"/>
    <xf numFmtId="165" fontId="79" fillId="2" borderId="0" xfId="1" applyNumberFormat="1" applyFont="1" applyFill="1" applyBorder="1"/>
    <xf numFmtId="168" fontId="79" fillId="2" borderId="0" xfId="2" applyNumberFormat="1" applyFont="1" applyFill="1" applyBorder="1"/>
    <xf numFmtId="43" fontId="79" fillId="2" borderId="0" xfId="1" applyFont="1" applyFill="1" applyBorder="1"/>
    <xf numFmtId="43" fontId="79" fillId="6" borderId="0" xfId="1" applyFont="1" applyFill="1" applyBorder="1"/>
    <xf numFmtId="170" fontId="79" fillId="6" borderId="0" xfId="1" applyNumberFormat="1" applyFont="1" applyFill="1" applyBorder="1"/>
    <xf numFmtId="0" fontId="79" fillId="2" borderId="0" xfId="0" applyFont="1" applyFill="1"/>
    <xf numFmtId="2" fontId="70" fillId="2" borderId="0" xfId="1" applyNumberFormat="1" applyFont="1" applyFill="1" applyBorder="1"/>
    <xf numFmtId="0" fontId="62" fillId="2" borderId="12" xfId="0" applyFont="1" applyFill="1" applyBorder="1"/>
    <xf numFmtId="170" fontId="62" fillId="2" borderId="12" xfId="1" applyNumberFormat="1" applyFont="1" applyFill="1" applyBorder="1"/>
    <xf numFmtId="165" fontId="62" fillId="2" borderId="12" xfId="1" applyNumberFormat="1" applyFont="1" applyFill="1" applyBorder="1"/>
    <xf numFmtId="168" fontId="62" fillId="2" borderId="12" xfId="2" applyNumberFormat="1" applyFont="1" applyFill="1" applyBorder="1"/>
    <xf numFmtId="170" fontId="62" fillId="2" borderId="0" xfId="1" applyNumberFormat="1" applyFont="1" applyFill="1" applyBorder="1"/>
    <xf numFmtId="172" fontId="62" fillId="2" borderId="12" xfId="0" applyNumberFormat="1" applyFont="1" applyFill="1" applyBorder="1"/>
    <xf numFmtId="165" fontId="62" fillId="2" borderId="0" xfId="1" applyNumberFormat="1" applyFont="1" applyFill="1" applyBorder="1"/>
    <xf numFmtId="168" fontId="62" fillId="2" borderId="0" xfId="2" applyNumberFormat="1" applyFont="1" applyFill="1" applyBorder="1"/>
    <xf numFmtId="172" fontId="62" fillId="2" borderId="0" xfId="0" applyNumberFormat="1" applyFont="1" applyFill="1"/>
    <xf numFmtId="0" fontId="80" fillId="2" borderId="0" xfId="0" applyFont="1" applyFill="1"/>
    <xf numFmtId="170" fontId="62" fillId="2" borderId="45" xfId="1" applyNumberFormat="1" applyFont="1" applyFill="1" applyBorder="1"/>
    <xf numFmtId="165" fontId="62" fillId="2" borderId="45" xfId="1" applyNumberFormat="1" applyFont="1" applyFill="1" applyBorder="1"/>
    <xf numFmtId="168" fontId="62" fillId="2" borderId="45" xfId="2" applyNumberFormat="1" applyFont="1" applyFill="1" applyBorder="1"/>
    <xf numFmtId="0" fontId="70" fillId="2" borderId="0" xfId="0" applyFont="1" applyFill="1" applyAlignment="1">
      <alignment horizontal="left" indent="1"/>
    </xf>
    <xf numFmtId="170" fontId="74" fillId="2" borderId="49" xfId="1" applyNumberFormat="1" applyFont="1" applyFill="1" applyBorder="1"/>
    <xf numFmtId="165" fontId="70" fillId="2" borderId="49" xfId="1" applyNumberFormat="1" applyFont="1" applyFill="1" applyBorder="1"/>
    <xf numFmtId="170" fontId="70" fillId="2" borderId="49" xfId="1" applyNumberFormat="1" applyFont="1" applyFill="1" applyBorder="1"/>
    <xf numFmtId="168" fontId="70" fillId="9" borderId="49" xfId="2" applyNumberFormat="1" applyFont="1" applyFill="1" applyBorder="1"/>
    <xf numFmtId="170" fontId="70" fillId="21" borderId="49" xfId="1" applyNumberFormat="1" applyFont="1" applyFill="1" applyBorder="1"/>
    <xf numFmtId="0" fontId="9" fillId="2" borderId="0" xfId="0" applyFont="1" applyFill="1" applyAlignment="1">
      <alignment horizontal="left"/>
    </xf>
    <xf numFmtId="0" fontId="9" fillId="2" borderId="0" xfId="0" applyFont="1" applyFill="1" applyAlignment="1">
      <alignment horizontal="left" indent="3"/>
    </xf>
    <xf numFmtId="170" fontId="9" fillId="2" borderId="49" xfId="1" applyNumberFormat="1" applyFont="1" applyFill="1" applyBorder="1"/>
    <xf numFmtId="165" fontId="9" fillId="2" borderId="49" xfId="1" applyNumberFormat="1" applyFont="1" applyFill="1" applyBorder="1"/>
    <xf numFmtId="168" fontId="9" fillId="2" borderId="49" xfId="2" applyNumberFormat="1" applyFont="1" applyFill="1" applyBorder="1"/>
    <xf numFmtId="170" fontId="9" fillId="21" borderId="49" xfId="1" applyNumberFormat="1" applyFont="1" applyFill="1" applyBorder="1"/>
    <xf numFmtId="170" fontId="9" fillId="2" borderId="0" xfId="1" applyNumberFormat="1" applyFont="1" applyFill="1" applyBorder="1"/>
    <xf numFmtId="43" fontId="9" fillId="2" borderId="0" xfId="1" applyFont="1" applyFill="1" applyBorder="1"/>
    <xf numFmtId="43" fontId="9" fillId="6" borderId="0" xfId="1" applyFont="1" applyFill="1" applyBorder="1"/>
    <xf numFmtId="170" fontId="9" fillId="6" borderId="0" xfId="1" applyNumberFormat="1" applyFont="1" applyFill="1" applyBorder="1"/>
    <xf numFmtId="170" fontId="79" fillId="2" borderId="49" xfId="1" applyNumberFormat="1" applyFont="1" applyFill="1" applyBorder="1"/>
    <xf numFmtId="165" fontId="79" fillId="2" borderId="49" xfId="1" applyNumberFormat="1" applyFont="1" applyFill="1" applyBorder="1"/>
    <xf numFmtId="168" fontId="79" fillId="2" borderId="49" xfId="2" applyNumberFormat="1" applyFont="1" applyFill="1" applyBorder="1"/>
    <xf numFmtId="170" fontId="79" fillId="21" borderId="49" xfId="1" applyNumberFormat="1" applyFont="1" applyFill="1" applyBorder="1"/>
    <xf numFmtId="168" fontId="70" fillId="2" borderId="49" xfId="2" applyNumberFormat="1" applyFont="1" applyFill="1" applyBorder="1"/>
    <xf numFmtId="170" fontId="79" fillId="2" borderId="50" xfId="1" applyNumberFormat="1" applyFont="1" applyFill="1" applyBorder="1"/>
    <xf numFmtId="165" fontId="79" fillId="2" borderId="50" xfId="1" applyNumberFormat="1" applyFont="1" applyFill="1" applyBorder="1"/>
    <xf numFmtId="168" fontId="79" fillId="2" borderId="50" xfId="2" applyNumberFormat="1" applyFont="1" applyFill="1" applyBorder="1"/>
    <xf numFmtId="170" fontId="79" fillId="21" borderId="50" xfId="1" applyNumberFormat="1" applyFont="1" applyFill="1" applyBorder="1"/>
    <xf numFmtId="10" fontId="81" fillId="12" borderId="0" xfId="2" applyNumberFormat="1" applyFont="1" applyFill="1" applyBorder="1"/>
    <xf numFmtId="10" fontId="79" fillId="6" borderId="0" xfId="2" applyNumberFormat="1" applyFont="1" applyFill="1" applyBorder="1"/>
    <xf numFmtId="168" fontId="79" fillId="6" borderId="0" xfId="2" applyNumberFormat="1" applyFont="1" applyFill="1" applyBorder="1"/>
    <xf numFmtId="0" fontId="82" fillId="2" borderId="0" xfId="0" applyFont="1" applyFill="1"/>
    <xf numFmtId="170" fontId="70" fillId="2" borderId="12" xfId="1" applyNumberFormat="1" applyFont="1" applyFill="1" applyBorder="1"/>
    <xf numFmtId="165" fontId="70" fillId="2" borderId="12" xfId="1" applyNumberFormat="1" applyFont="1" applyFill="1" applyBorder="1"/>
    <xf numFmtId="168" fontId="70" fillId="2" borderId="12" xfId="2" applyNumberFormat="1" applyFont="1" applyFill="1" applyBorder="1"/>
    <xf numFmtId="0" fontId="70" fillId="2" borderId="12" xfId="0" applyFont="1" applyFill="1" applyBorder="1"/>
    <xf numFmtId="170" fontId="66" fillId="5" borderId="45" xfId="1" applyNumberFormat="1" applyFont="1" applyFill="1" applyBorder="1"/>
    <xf numFmtId="165" fontId="66" fillId="5" borderId="45" xfId="1" applyNumberFormat="1" applyFont="1" applyFill="1" applyBorder="1"/>
    <xf numFmtId="168" fontId="66" fillId="5" borderId="45" xfId="2" applyNumberFormat="1" applyFont="1" applyFill="1" applyBorder="1"/>
    <xf numFmtId="170" fontId="66" fillId="5" borderId="0" xfId="1" applyNumberFormat="1" applyFont="1" applyFill="1" applyBorder="1"/>
    <xf numFmtId="43" fontId="70" fillId="2" borderId="49" xfId="1" applyFont="1" applyFill="1" applyBorder="1"/>
    <xf numFmtId="165" fontId="70" fillId="9" borderId="49" xfId="1" applyNumberFormat="1" applyFont="1" applyFill="1" applyBorder="1"/>
    <xf numFmtId="170" fontId="70" fillId="9" borderId="49" xfId="1" applyNumberFormat="1" applyFont="1" applyFill="1" applyBorder="1"/>
    <xf numFmtId="10" fontId="70" fillId="9" borderId="49" xfId="2" applyNumberFormat="1" applyFont="1" applyFill="1" applyBorder="1"/>
    <xf numFmtId="170" fontId="78" fillId="2" borderId="49" xfId="1" applyNumberFormat="1" applyFont="1" applyFill="1" applyBorder="1"/>
    <xf numFmtId="165" fontId="78" fillId="2" borderId="49" xfId="1" applyNumberFormat="1" applyFont="1" applyFill="1" applyBorder="1"/>
    <xf numFmtId="168" fontId="78" fillId="2" borderId="49" xfId="2" applyNumberFormat="1" applyFont="1" applyFill="1" applyBorder="1"/>
    <xf numFmtId="170" fontId="78" fillId="21" borderId="49" xfId="1" applyNumberFormat="1" applyFont="1" applyFill="1" applyBorder="1"/>
    <xf numFmtId="43" fontId="78" fillId="6" borderId="0" xfId="1" applyFont="1" applyFill="1" applyBorder="1"/>
    <xf numFmtId="170" fontId="79" fillId="2" borderId="51" xfId="1" applyNumberFormat="1" applyFont="1" applyFill="1" applyBorder="1"/>
    <xf numFmtId="10" fontId="79" fillId="2" borderId="0" xfId="2" applyNumberFormat="1" applyFont="1" applyFill="1" applyBorder="1"/>
    <xf numFmtId="170" fontId="70" fillId="2" borderId="51" xfId="1" applyNumberFormat="1" applyFont="1" applyFill="1" applyBorder="1"/>
    <xf numFmtId="170" fontId="70" fillId="2" borderId="52" xfId="1" applyNumberFormat="1" applyFont="1" applyFill="1" applyBorder="1"/>
    <xf numFmtId="170" fontId="70" fillId="2" borderId="46" xfId="1" applyNumberFormat="1" applyFont="1" applyFill="1" applyBorder="1"/>
    <xf numFmtId="165" fontId="70" fillId="2" borderId="53" xfId="1" applyNumberFormat="1" applyFont="1" applyFill="1" applyBorder="1"/>
    <xf numFmtId="170" fontId="70" fillId="2" borderId="53" xfId="1" applyNumberFormat="1" applyFont="1" applyFill="1" applyBorder="1"/>
    <xf numFmtId="168" fontId="70" fillId="2" borderId="53" xfId="2" applyNumberFormat="1" applyFont="1" applyFill="1" applyBorder="1"/>
    <xf numFmtId="170" fontId="79" fillId="21" borderId="0" xfId="1" applyNumberFormat="1" applyFont="1" applyFill="1" applyBorder="1"/>
    <xf numFmtId="170" fontId="62" fillId="2" borderId="46" xfId="1" applyNumberFormat="1" applyFont="1" applyFill="1" applyBorder="1"/>
    <xf numFmtId="165" fontId="62" fillId="2" borderId="53" xfId="1" applyNumberFormat="1" applyFont="1" applyFill="1" applyBorder="1"/>
    <xf numFmtId="170" fontId="62" fillId="2" borderId="53" xfId="1" applyNumberFormat="1" applyFont="1" applyFill="1" applyBorder="1"/>
    <xf numFmtId="168" fontId="62" fillId="2" borderId="53" xfId="2" applyNumberFormat="1" applyFont="1" applyFill="1" applyBorder="1"/>
    <xf numFmtId="170" fontId="62" fillId="21" borderId="49" xfId="1" applyNumberFormat="1" applyFont="1" applyFill="1" applyBorder="1"/>
    <xf numFmtId="170" fontId="62" fillId="21" borderId="0" xfId="1" applyNumberFormat="1" applyFont="1" applyFill="1" applyBorder="1"/>
    <xf numFmtId="170" fontId="70" fillId="21" borderId="0" xfId="1" applyNumberFormat="1" applyFont="1" applyFill="1" applyBorder="1"/>
    <xf numFmtId="170" fontId="62" fillId="2" borderId="49" xfId="1" applyNumberFormat="1" applyFont="1" applyFill="1" applyBorder="1"/>
    <xf numFmtId="165" fontId="62" fillId="2" borderId="49" xfId="1" applyNumberFormat="1" applyFont="1" applyFill="1" applyBorder="1"/>
    <xf numFmtId="168" fontId="62" fillId="2" borderId="49" xfId="2" applyNumberFormat="1" applyFont="1" applyFill="1" applyBorder="1"/>
    <xf numFmtId="170" fontId="70" fillId="2" borderId="50" xfId="1" applyNumberFormat="1" applyFont="1" applyFill="1" applyBorder="1"/>
    <xf numFmtId="165" fontId="70" fillId="2" borderId="50" xfId="1" applyNumberFormat="1" applyFont="1" applyFill="1" applyBorder="1"/>
    <xf numFmtId="168" fontId="70" fillId="2" borderId="50" xfId="2" applyNumberFormat="1" applyFont="1" applyFill="1" applyBorder="1"/>
    <xf numFmtId="170" fontId="70" fillId="21" borderId="50" xfId="1" applyNumberFormat="1" applyFont="1" applyFill="1" applyBorder="1"/>
    <xf numFmtId="170" fontId="70" fillId="2" borderId="54" xfId="1" applyNumberFormat="1" applyFont="1" applyFill="1" applyBorder="1"/>
    <xf numFmtId="165" fontId="70" fillId="2" borderId="54" xfId="1" applyNumberFormat="1" applyFont="1" applyFill="1" applyBorder="1"/>
    <xf numFmtId="168" fontId="70" fillId="2" borderId="54" xfId="2" applyNumberFormat="1" applyFont="1" applyFill="1" applyBorder="1"/>
    <xf numFmtId="170" fontId="70" fillId="21" borderId="54" xfId="1" applyNumberFormat="1" applyFont="1" applyFill="1" applyBorder="1"/>
    <xf numFmtId="170" fontId="62" fillId="2" borderId="55" xfId="1" applyNumberFormat="1" applyFont="1" applyFill="1" applyBorder="1"/>
    <xf numFmtId="165" fontId="62" fillId="2" borderId="55" xfId="1" applyNumberFormat="1" applyFont="1" applyFill="1" applyBorder="1"/>
    <xf numFmtId="168" fontId="62" fillId="2" borderId="55" xfId="2" applyNumberFormat="1" applyFont="1" applyFill="1" applyBorder="1"/>
    <xf numFmtId="170" fontId="62" fillId="21" borderId="55" xfId="1" applyNumberFormat="1" applyFont="1" applyFill="1" applyBorder="1"/>
    <xf numFmtId="170" fontId="62" fillId="21" borderId="12" xfId="1" applyNumberFormat="1" applyFont="1" applyFill="1" applyBorder="1"/>
    <xf numFmtId="170" fontId="70" fillId="21" borderId="53" xfId="1" applyNumberFormat="1" applyFont="1" applyFill="1" applyBorder="1"/>
    <xf numFmtId="0" fontId="70" fillId="2" borderId="0" xfId="0" applyFont="1" applyFill="1" applyAlignment="1">
      <alignment horizontal="left" indent="2"/>
    </xf>
    <xf numFmtId="170" fontId="62" fillId="2" borderId="56" xfId="1" applyNumberFormat="1" applyFont="1" applyFill="1" applyBorder="1"/>
    <xf numFmtId="165" fontId="62" fillId="2" borderId="56" xfId="1" applyNumberFormat="1" applyFont="1" applyFill="1" applyBorder="1"/>
    <xf numFmtId="168" fontId="62" fillId="2" borderId="56" xfId="2" applyNumberFormat="1" applyFont="1" applyFill="1" applyBorder="1"/>
    <xf numFmtId="170" fontId="62" fillId="21" borderId="56" xfId="1" applyNumberFormat="1" applyFont="1" applyFill="1" applyBorder="1"/>
    <xf numFmtId="0" fontId="74" fillId="2" borderId="0" xfId="0" applyFont="1" applyFill="1" applyAlignment="1">
      <alignment horizontal="left"/>
    </xf>
    <xf numFmtId="0" fontId="74" fillId="2" borderId="0" xfId="0" applyFont="1" applyFill="1"/>
    <xf numFmtId="165" fontId="74" fillId="2" borderId="49" xfId="1" applyNumberFormat="1" applyFont="1" applyFill="1" applyBorder="1"/>
    <xf numFmtId="168" fontId="74" fillId="2" borderId="49" xfId="2" applyNumberFormat="1" applyFont="1" applyFill="1" applyBorder="1"/>
    <xf numFmtId="170" fontId="74" fillId="21" borderId="49" xfId="1" applyNumberFormat="1" applyFont="1" applyFill="1" applyBorder="1"/>
    <xf numFmtId="170" fontId="74" fillId="2" borderId="0" xfId="1" applyNumberFormat="1" applyFont="1" applyFill="1" applyBorder="1"/>
    <xf numFmtId="170" fontId="74" fillId="21" borderId="0" xfId="1" applyNumberFormat="1" applyFont="1" applyFill="1" applyBorder="1"/>
    <xf numFmtId="0" fontId="74" fillId="2" borderId="0" xfId="0" applyFont="1" applyFill="1" applyAlignment="1">
      <alignment horizontal="left" indent="2"/>
    </xf>
    <xf numFmtId="170" fontId="74" fillId="2" borderId="50" xfId="1" applyNumberFormat="1" applyFont="1" applyFill="1" applyBorder="1"/>
    <xf numFmtId="165" fontId="74" fillId="2" borderId="50" xfId="1" applyNumberFormat="1" applyFont="1" applyFill="1" applyBorder="1"/>
    <xf numFmtId="168" fontId="74" fillId="2" borderId="50" xfId="2" applyNumberFormat="1" applyFont="1" applyFill="1" applyBorder="1"/>
    <xf numFmtId="170" fontId="74" fillId="21" borderId="50" xfId="1" applyNumberFormat="1" applyFont="1" applyFill="1" applyBorder="1"/>
    <xf numFmtId="0" fontId="62" fillId="2" borderId="14" xfId="0" applyFont="1" applyFill="1" applyBorder="1" applyAlignment="1">
      <alignment horizontal="center"/>
    </xf>
    <xf numFmtId="170" fontId="62" fillId="2" borderId="14" xfId="1" applyNumberFormat="1" applyFont="1" applyFill="1" applyBorder="1"/>
    <xf numFmtId="165" fontId="62" fillId="2" borderId="14" xfId="1" applyNumberFormat="1" applyFont="1" applyFill="1" applyBorder="1"/>
    <xf numFmtId="168" fontId="62" fillId="2" borderId="14" xfId="2" applyNumberFormat="1" applyFont="1" applyFill="1" applyBorder="1"/>
    <xf numFmtId="164" fontId="62" fillId="2" borderId="12" xfId="1" applyNumberFormat="1" applyFont="1" applyFill="1" applyBorder="1"/>
    <xf numFmtId="164" fontId="62" fillId="2" borderId="0" xfId="1" applyNumberFormat="1" applyFont="1" applyFill="1" applyBorder="1"/>
    <xf numFmtId="0" fontId="66" fillId="5" borderId="0" xfId="0" applyFont="1" applyFill="1"/>
    <xf numFmtId="43" fontId="70" fillId="2" borderId="0" xfId="1" applyFont="1" applyFill="1" applyBorder="1" applyAlignment="1">
      <alignment horizontal="center"/>
    </xf>
    <xf numFmtId="10" fontId="70" fillId="2" borderId="0" xfId="1" applyNumberFormat="1" applyFont="1" applyFill="1" applyBorder="1"/>
    <xf numFmtId="170" fontId="70" fillId="2" borderId="45" xfId="1" applyNumberFormat="1" applyFont="1" applyFill="1" applyBorder="1"/>
    <xf numFmtId="168" fontId="70" fillId="2" borderId="45" xfId="2" applyNumberFormat="1" applyFont="1" applyFill="1" applyBorder="1"/>
    <xf numFmtId="43" fontId="70" fillId="11" borderId="49" xfId="1" applyFont="1" applyFill="1" applyBorder="1" applyAlignment="1">
      <alignment horizontal="right"/>
    </xf>
    <xf numFmtId="165" fontId="70" fillId="11" borderId="49" xfId="1" applyNumberFormat="1" applyFont="1" applyFill="1" applyBorder="1"/>
    <xf numFmtId="170" fontId="70" fillId="11" borderId="49" xfId="1" applyNumberFormat="1" applyFont="1" applyFill="1" applyBorder="1"/>
    <xf numFmtId="10" fontId="70" fillId="2" borderId="49" xfId="2" applyNumberFormat="1" applyFont="1" applyFill="1" applyBorder="1"/>
    <xf numFmtId="170" fontId="70" fillId="2" borderId="57" xfId="1" applyNumberFormat="1" applyFont="1" applyFill="1" applyBorder="1"/>
    <xf numFmtId="165" fontId="70" fillId="2" borderId="58" xfId="1" applyNumberFormat="1" applyFont="1" applyFill="1" applyBorder="1"/>
    <xf numFmtId="170" fontId="70" fillId="2" borderId="58" xfId="1" applyNumberFormat="1" applyFont="1" applyFill="1" applyBorder="1"/>
    <xf numFmtId="168" fontId="70" fillId="2" borderId="58" xfId="2" applyNumberFormat="1" applyFont="1" applyFill="1" applyBorder="1"/>
    <xf numFmtId="170" fontId="70" fillId="21" borderId="58" xfId="1" applyNumberFormat="1" applyFont="1" applyFill="1" applyBorder="1"/>
    <xf numFmtId="170" fontId="62" fillId="21" borderId="53" xfId="1" applyNumberFormat="1" applyFont="1" applyFill="1" applyBorder="1"/>
    <xf numFmtId="10" fontId="70" fillId="2" borderId="0" xfId="1" applyNumberFormat="1" applyFont="1" applyFill="1" applyBorder="1" applyAlignment="1">
      <alignment horizontal="center"/>
    </xf>
    <xf numFmtId="165" fontId="70" fillId="2" borderId="45" xfId="1" applyNumberFormat="1" applyFont="1" applyFill="1" applyBorder="1"/>
    <xf numFmtId="43" fontId="70" fillId="11" borderId="49" xfId="1" applyFont="1" applyFill="1" applyBorder="1"/>
    <xf numFmtId="4" fontId="15" fillId="8" borderId="0" xfId="1" applyNumberFormat="1" applyFont="1" applyFill="1" applyBorder="1" applyAlignment="1"/>
    <xf numFmtId="10" fontId="83" fillId="2" borderId="0" xfId="2" applyNumberFormat="1" applyFont="1" applyFill="1"/>
    <xf numFmtId="4" fontId="24" fillId="6" borderId="0" xfId="1" applyNumberFormat="1" applyFont="1" applyFill="1" applyBorder="1"/>
    <xf numFmtId="170" fontId="15" fillId="6" borderId="0" xfId="1" applyNumberFormat="1" applyFont="1" applyFill="1" applyBorder="1"/>
    <xf numFmtId="168" fontId="23" fillId="2" borderId="2" xfId="2" applyNumberFormat="1" applyFont="1" applyFill="1" applyBorder="1" applyAlignment="1">
      <alignment horizontal="right" vertical="center"/>
    </xf>
    <xf numFmtId="4" fontId="17" fillId="2" borderId="8" xfId="1" applyNumberFormat="1" applyFont="1" applyFill="1" applyBorder="1" applyAlignment="1">
      <alignment vertical="center"/>
    </xf>
    <xf numFmtId="4" fontId="15" fillId="2" borderId="2" xfId="1" applyNumberFormat="1" applyFont="1" applyFill="1" applyBorder="1" applyAlignment="1">
      <alignment vertical="center"/>
    </xf>
    <xf numFmtId="168" fontId="23" fillId="2" borderId="2" xfId="2" applyNumberFormat="1" applyFont="1" applyFill="1" applyBorder="1"/>
    <xf numFmtId="168" fontId="15" fillId="2" borderId="2" xfId="2" applyNumberFormat="1" applyFont="1" applyFill="1" applyBorder="1" applyAlignment="1"/>
    <xf numFmtId="4" fontId="15" fillId="2" borderId="2" xfId="1" applyNumberFormat="1" applyFont="1" applyFill="1" applyBorder="1" applyAlignment="1"/>
    <xf numFmtId="10" fontId="23" fillId="2" borderId="2" xfId="2" applyNumberFormat="1" applyFont="1" applyFill="1" applyBorder="1"/>
    <xf numFmtId="4" fontId="17" fillId="2" borderId="8" xfId="0" applyNumberFormat="1" applyFont="1" applyFill="1" applyBorder="1"/>
    <xf numFmtId="4" fontId="15" fillId="2" borderId="2" xfId="0" applyNumberFormat="1" applyFont="1" applyFill="1" applyBorder="1"/>
    <xf numFmtId="10" fontId="15" fillId="2" borderId="2" xfId="2" applyNumberFormat="1" applyFont="1" applyFill="1" applyBorder="1" applyAlignment="1"/>
    <xf numFmtId="4" fontId="15" fillId="2" borderId="2" xfId="0" applyNumberFormat="1" applyFont="1" applyFill="1" applyBorder="1" applyAlignment="1">
      <alignment vertical="center"/>
    </xf>
    <xf numFmtId="4" fontId="25" fillId="2" borderId="2" xfId="1" applyNumberFormat="1" applyFont="1" applyFill="1" applyBorder="1" applyAlignment="1">
      <alignment vertical="center"/>
    </xf>
    <xf numFmtId="4" fontId="20" fillId="2" borderId="2" xfId="2" applyNumberFormat="1" applyFont="1" applyFill="1" applyBorder="1" applyAlignment="1">
      <alignment vertical="center"/>
    </xf>
    <xf numFmtId="4" fontId="20" fillId="2" borderId="2" xfId="1" applyNumberFormat="1" applyFont="1" applyFill="1" applyBorder="1" applyAlignment="1">
      <alignment vertical="center"/>
    </xf>
    <xf numFmtId="4" fontId="15" fillId="2" borderId="2" xfId="2" applyNumberFormat="1" applyFont="1" applyFill="1" applyBorder="1" applyAlignment="1">
      <alignment vertical="center"/>
    </xf>
    <xf numFmtId="4" fontId="20" fillId="2" borderId="2" xfId="0" applyNumberFormat="1" applyFont="1" applyFill="1" applyBorder="1" applyAlignment="1">
      <alignment vertical="center"/>
    </xf>
    <xf numFmtId="10" fontId="17" fillId="2" borderId="2" xfId="1" applyNumberFormat="1" applyFont="1" applyFill="1" applyBorder="1" applyAlignment="1">
      <alignment vertical="center"/>
    </xf>
    <xf numFmtId="10" fontId="23" fillId="2" borderId="2" xfId="2" applyNumberFormat="1" applyFont="1" applyFill="1" applyBorder="1" applyAlignment="1">
      <alignment vertical="center"/>
    </xf>
    <xf numFmtId="3" fontId="27" fillId="2" borderId="2" xfId="2" applyNumberFormat="1" applyFont="1" applyFill="1" applyBorder="1"/>
    <xf numFmtId="10" fontId="83" fillId="2" borderId="2" xfId="2" applyNumberFormat="1" applyFont="1" applyFill="1" applyBorder="1"/>
    <xf numFmtId="10" fontId="23" fillId="2" borderId="6" xfId="2" applyNumberFormat="1" applyFont="1" applyFill="1" applyBorder="1" applyAlignment="1">
      <alignment vertical="center"/>
    </xf>
    <xf numFmtId="4" fontId="17" fillId="2" borderId="8" xfId="0" applyNumberFormat="1" applyFont="1" applyFill="1" applyBorder="1" applyAlignment="1">
      <alignment vertical="center"/>
    </xf>
    <xf numFmtId="4" fontId="23" fillId="2" borderId="2" xfId="1" applyNumberFormat="1" applyFont="1" applyFill="1" applyBorder="1" applyAlignment="1">
      <alignment vertical="center"/>
    </xf>
    <xf numFmtId="3" fontId="17" fillId="2" borderId="2" xfId="1" applyNumberFormat="1" applyFont="1" applyFill="1" applyBorder="1" applyAlignment="1">
      <alignment horizontal="right" vertical="center"/>
    </xf>
    <xf numFmtId="167" fontId="15" fillId="2" borderId="59" xfId="0" applyNumberFormat="1" applyFont="1" applyFill="1" applyBorder="1" applyAlignment="1">
      <alignment vertical="center"/>
    </xf>
    <xf numFmtId="4" fontId="24" fillId="2" borderId="2" xfId="1" applyNumberFormat="1" applyFont="1" applyFill="1" applyBorder="1"/>
    <xf numFmtId="3" fontId="20" fillId="2" borderId="2" xfId="2" applyNumberFormat="1" applyFont="1" applyFill="1" applyBorder="1"/>
    <xf numFmtId="10" fontId="20" fillId="2" borderId="2" xfId="2" applyNumberFormat="1" applyFont="1" applyFill="1" applyBorder="1"/>
    <xf numFmtId="10" fontId="19" fillId="2" borderId="2" xfId="2" applyNumberFormat="1" applyFont="1" applyFill="1" applyBorder="1"/>
    <xf numFmtId="3" fontId="19" fillId="2" borderId="2" xfId="0" applyNumberFormat="1" applyFont="1" applyFill="1" applyBorder="1"/>
    <xf numFmtId="168" fontId="20" fillId="2" borderId="2" xfId="2" applyNumberFormat="1" applyFont="1" applyFill="1" applyBorder="1"/>
    <xf numFmtId="4" fontId="27" fillId="2" borderId="2" xfId="1" applyNumberFormat="1" applyFont="1" applyFill="1" applyBorder="1" applyAlignment="1">
      <alignment vertical="center"/>
    </xf>
    <xf numFmtId="10" fontId="15" fillId="2" borderId="6" xfId="2" applyNumberFormat="1" applyFont="1" applyFill="1" applyBorder="1"/>
    <xf numFmtId="4" fontId="27" fillId="2" borderId="2" xfId="2" applyNumberFormat="1" applyFont="1" applyFill="1" applyBorder="1" applyAlignment="1">
      <alignment vertical="center"/>
    </xf>
    <xf numFmtId="43" fontId="10" fillId="2" borderId="2" xfId="1" applyFont="1" applyFill="1" applyBorder="1" applyAlignment="1">
      <alignment vertical="center"/>
    </xf>
    <xf numFmtId="4" fontId="15" fillId="2" borderId="8" xfId="0" applyNumberFormat="1" applyFont="1" applyFill="1" applyBorder="1" applyAlignment="1">
      <alignment vertical="center"/>
    </xf>
    <xf numFmtId="4" fontId="17" fillId="2" borderId="2" xfId="1" applyNumberFormat="1" applyFont="1" applyFill="1" applyBorder="1" applyAlignment="1">
      <alignment vertical="center"/>
    </xf>
    <xf numFmtId="170" fontId="15" fillId="2" borderId="2" xfId="1" applyNumberFormat="1" applyFont="1" applyFill="1" applyBorder="1"/>
    <xf numFmtId="4" fontId="36" fillId="2" borderId="8" xfId="1" applyNumberFormat="1" applyFont="1" applyFill="1" applyBorder="1"/>
    <xf numFmtId="4" fontId="17" fillId="2" borderId="60" xfId="1" applyNumberFormat="1" applyFont="1" applyFill="1" applyBorder="1"/>
    <xf numFmtId="4" fontId="15" fillId="2" borderId="8" xfId="0" applyNumberFormat="1" applyFont="1" applyFill="1" applyBorder="1"/>
    <xf numFmtId="0" fontId="85" fillId="2" borderId="0" xfId="0" applyFont="1" applyFill="1"/>
    <xf numFmtId="0" fontId="86" fillId="2" borderId="0" xfId="0" applyFont="1" applyFill="1"/>
    <xf numFmtId="168" fontId="86" fillId="2" borderId="0" xfId="2" applyNumberFormat="1" applyFont="1" applyFill="1" applyBorder="1"/>
    <xf numFmtId="0" fontId="8" fillId="2" borderId="0" xfId="3" applyFont="1" applyFill="1" applyBorder="1"/>
    <xf numFmtId="0" fontId="87" fillId="2" borderId="0" xfId="0" applyFont="1" applyFill="1"/>
    <xf numFmtId="0" fontId="88" fillId="2" borderId="4" xfId="0" applyFont="1" applyFill="1" applyBorder="1"/>
    <xf numFmtId="0" fontId="88" fillId="2" borderId="4" xfId="0" applyFont="1" applyFill="1" applyBorder="1" applyAlignment="1">
      <alignment horizontal="center"/>
    </xf>
    <xf numFmtId="0" fontId="88" fillId="2" borderId="0" xfId="0" applyFont="1" applyFill="1"/>
    <xf numFmtId="0" fontId="89" fillId="2" borderId="0" xfId="0" applyFont="1" applyFill="1"/>
    <xf numFmtId="0" fontId="90" fillId="2" borderId="4" xfId="0" applyFont="1" applyFill="1" applyBorder="1" applyAlignment="1">
      <alignment horizontal="centerContinuous"/>
    </xf>
    <xf numFmtId="0" fontId="88" fillId="2" borderId="11" xfId="0" applyFont="1" applyFill="1" applyBorder="1" applyAlignment="1">
      <alignment horizontal="center"/>
    </xf>
    <xf numFmtId="0" fontId="88" fillId="2" borderId="11" xfId="0" applyFont="1" applyFill="1" applyBorder="1"/>
    <xf numFmtId="0" fontId="73" fillId="2" borderId="0" xfId="0" applyFont="1" applyFill="1"/>
    <xf numFmtId="0" fontId="73" fillId="2" borderId="11" xfId="0" applyFont="1" applyFill="1" applyBorder="1"/>
    <xf numFmtId="0" fontId="73" fillId="2" borderId="61" xfId="0" applyFont="1" applyFill="1" applyBorder="1"/>
    <xf numFmtId="0" fontId="86" fillId="0" borderId="0" xfId="0" applyFont="1"/>
    <xf numFmtId="15" fontId="86" fillId="0" borderId="0" xfId="0" applyNumberFormat="1" applyFont="1"/>
    <xf numFmtId="4" fontId="86" fillId="0" borderId="0" xfId="0" applyNumberFormat="1" applyFont="1"/>
    <xf numFmtId="10" fontId="73" fillId="2" borderId="0" xfId="2" applyNumberFormat="1" applyFont="1" applyFill="1" applyBorder="1"/>
    <xf numFmtId="168" fontId="73" fillId="2" borderId="0" xfId="2" applyNumberFormat="1" applyFont="1" applyFill="1" applyBorder="1"/>
    <xf numFmtId="183" fontId="73" fillId="2" borderId="7" xfId="0" applyNumberFormat="1" applyFont="1" applyFill="1" applyBorder="1"/>
    <xf numFmtId="2" fontId="73" fillId="2" borderId="7" xfId="0" applyNumberFormat="1" applyFont="1" applyFill="1" applyBorder="1"/>
    <xf numFmtId="10" fontId="86" fillId="2" borderId="0" xfId="2" applyNumberFormat="1" applyFont="1" applyFill="1" applyBorder="1"/>
    <xf numFmtId="0" fontId="91" fillId="2" borderId="0" xfId="0" applyFont="1" applyFill="1"/>
    <xf numFmtId="0" fontId="92" fillId="2" borderId="0" xfId="0" applyFont="1" applyFill="1"/>
    <xf numFmtId="0" fontId="73" fillId="2" borderId="7" xfId="0" applyFont="1" applyFill="1" applyBorder="1"/>
    <xf numFmtId="10" fontId="73" fillId="9" borderId="7" xfId="2" applyNumberFormat="1" applyFont="1" applyFill="1" applyBorder="1"/>
    <xf numFmtId="0" fontId="86" fillId="0" borderId="12" xfId="0" applyFont="1" applyBorder="1"/>
    <xf numFmtId="2" fontId="73" fillId="2" borderId="0" xfId="0" applyNumberFormat="1" applyFont="1" applyFill="1"/>
    <xf numFmtId="0" fontId="3" fillId="22" borderId="0" xfId="0" applyFont="1" applyFill="1"/>
    <xf numFmtId="10" fontId="3" fillId="22" borderId="0" xfId="2" applyNumberFormat="1" applyFont="1" applyFill="1" applyBorder="1"/>
    <xf numFmtId="0" fontId="93" fillId="2" borderId="62" xfId="0" applyFont="1" applyFill="1" applyBorder="1" applyAlignment="1">
      <alignment horizontal="center"/>
    </xf>
    <xf numFmtId="10" fontId="73" fillId="2" borderId="7" xfId="2" applyNumberFormat="1" applyFont="1" applyFill="1" applyBorder="1"/>
    <xf numFmtId="10" fontId="73" fillId="9" borderId="0" xfId="2" applyNumberFormat="1" applyFont="1" applyFill="1" applyBorder="1"/>
    <xf numFmtId="0" fontId="86" fillId="2" borderId="12" xfId="0" applyFont="1" applyFill="1" applyBorder="1"/>
    <xf numFmtId="0" fontId="73" fillId="9" borderId="0" xfId="0" applyFont="1" applyFill="1"/>
    <xf numFmtId="0" fontId="89" fillId="2" borderId="0" xfId="0" applyFont="1" applyFill="1" applyAlignment="1">
      <alignment horizontal="center"/>
    </xf>
    <xf numFmtId="0" fontId="41" fillId="7" borderId="0" xfId="0" applyFont="1" applyFill="1"/>
    <xf numFmtId="43" fontId="41" fillId="7" borderId="0" xfId="1" applyFont="1" applyFill="1" applyBorder="1"/>
    <xf numFmtId="10" fontId="41" fillId="7" borderId="0" xfId="0" applyNumberFormat="1" applyFont="1" applyFill="1"/>
    <xf numFmtId="9" fontId="41" fillId="7" borderId="0" xfId="0" applyNumberFormat="1" applyFont="1" applyFill="1"/>
    <xf numFmtId="0" fontId="3" fillId="10" borderId="0" xfId="0" applyFont="1" applyFill="1"/>
    <xf numFmtId="43" fontId="3" fillId="10" borderId="0" xfId="1" applyFont="1" applyFill="1" applyBorder="1"/>
    <xf numFmtId="0" fontId="3" fillId="2" borderId="0" xfId="0" applyFont="1" applyFill="1"/>
    <xf numFmtId="43" fontId="3" fillId="2" borderId="0" xfId="1" applyFont="1" applyFill="1" applyBorder="1"/>
    <xf numFmtId="2" fontId="86" fillId="2" borderId="0" xfId="0" applyNumberFormat="1" applyFont="1" applyFill="1"/>
    <xf numFmtId="10" fontId="3" fillId="2" borderId="0" xfId="2" applyNumberFormat="1" applyFont="1" applyFill="1" applyBorder="1"/>
    <xf numFmtId="0" fontId="89" fillId="2" borderId="11" xfId="0" applyFont="1" applyFill="1" applyBorder="1" applyAlignment="1">
      <alignment horizontal="center"/>
    </xf>
    <xf numFmtId="0" fontId="87" fillId="2" borderId="11" xfId="0" applyFont="1" applyFill="1" applyBorder="1" applyAlignment="1">
      <alignment horizontal="center"/>
    </xf>
    <xf numFmtId="0" fontId="87" fillId="2" borderId="11" xfId="0" applyFont="1" applyFill="1" applyBorder="1" applyAlignment="1">
      <alignment horizontal="right"/>
    </xf>
    <xf numFmtId="3" fontId="86" fillId="0" borderId="0" xfId="0" applyNumberFormat="1" applyFont="1"/>
    <xf numFmtId="10" fontId="86" fillId="2" borderId="0" xfId="2" applyNumberFormat="1" applyFont="1" applyFill="1" applyBorder="1" applyAlignment="1">
      <alignment horizontal="right"/>
    </xf>
    <xf numFmtId="184" fontId="86" fillId="2" borderId="0" xfId="0" applyNumberFormat="1" applyFont="1" applyFill="1" applyAlignment="1">
      <alignment horizontal="center"/>
    </xf>
    <xf numFmtId="1" fontId="86" fillId="2" borderId="0" xfId="0" applyNumberFormat="1" applyFont="1" applyFill="1" applyAlignment="1">
      <alignment horizontal="right"/>
    </xf>
    <xf numFmtId="1" fontId="86" fillId="2" borderId="0" xfId="1" applyNumberFormat="1" applyFont="1" applyFill="1" applyBorder="1" applyAlignment="1">
      <alignment horizontal="right"/>
    </xf>
    <xf numFmtId="9" fontId="86" fillId="2" borderId="0" xfId="2" applyFont="1" applyFill="1" applyBorder="1" applyAlignment="1">
      <alignment horizontal="right"/>
    </xf>
    <xf numFmtId="9" fontId="86" fillId="2" borderId="0" xfId="2" applyFont="1" applyFill="1" applyBorder="1" applyAlignment="1">
      <alignment horizontal="center"/>
    </xf>
    <xf numFmtId="4" fontId="17" fillId="24" borderId="7" xfId="1" applyNumberFormat="1" applyFont="1" applyFill="1" applyBorder="1" applyAlignment="1">
      <alignment vertical="center"/>
    </xf>
    <xf numFmtId="4" fontId="27" fillId="6" borderId="0" xfId="1" applyNumberFormat="1" applyFont="1" applyFill="1" applyBorder="1"/>
    <xf numFmtId="4" fontId="16" fillId="6" borderId="0" xfId="1" applyNumberFormat="1" applyFont="1" applyFill="1" applyBorder="1"/>
    <xf numFmtId="0" fontId="16" fillId="24" borderId="0" xfId="0" applyFont="1" applyFill="1" applyAlignment="1">
      <alignment horizontal="left"/>
    </xf>
    <xf numFmtId="3" fontId="16" fillId="24" borderId="0" xfId="0" applyNumberFormat="1" applyFont="1" applyFill="1"/>
    <xf numFmtId="0" fontId="15" fillId="24" borderId="0" xfId="0" applyFont="1" applyFill="1" applyAlignment="1">
      <alignment horizontal="left"/>
    </xf>
    <xf numFmtId="3" fontId="15" fillId="24" borderId="0" xfId="0" applyNumberFormat="1" applyFont="1" applyFill="1"/>
    <xf numFmtId="0" fontId="25" fillId="24" borderId="0" xfId="0" applyFont="1" applyFill="1" applyAlignment="1">
      <alignment horizontal="left"/>
    </xf>
    <xf numFmtId="3" fontId="25" fillId="24" borderId="0" xfId="0" applyNumberFormat="1" applyFont="1" applyFill="1"/>
    <xf numFmtId="3" fontId="25" fillId="24" borderId="0" xfId="1" applyNumberFormat="1" applyFont="1" applyFill="1" applyBorder="1"/>
    <xf numFmtId="0" fontId="25" fillId="2" borderId="0" xfId="0" applyFont="1" applyFill="1" applyAlignment="1">
      <alignment horizontal="left"/>
    </xf>
    <xf numFmtId="4" fontId="25" fillId="2" borderId="0" xfId="1" applyNumberFormat="1" applyFont="1" applyFill="1" applyBorder="1"/>
    <xf numFmtId="3" fontId="25" fillId="6" borderId="0" xfId="1" applyNumberFormat="1" applyFont="1" applyFill="1" applyBorder="1"/>
    <xf numFmtId="3" fontId="15" fillId="2" borderId="30" xfId="0" applyNumberFormat="1" applyFont="1" applyFill="1" applyBorder="1"/>
    <xf numFmtId="3" fontId="16" fillId="6" borderId="0" xfId="1" applyNumberFormat="1" applyFont="1" applyFill="1" applyBorder="1"/>
    <xf numFmtId="4" fontId="27" fillId="6" borderId="0" xfId="0" applyNumberFormat="1" applyFont="1" applyFill="1"/>
    <xf numFmtId="3" fontId="27" fillId="6" borderId="0" xfId="0" applyNumberFormat="1" applyFont="1" applyFill="1"/>
    <xf numFmtId="3" fontId="27" fillId="6" borderId="0" xfId="1" applyNumberFormat="1" applyFont="1" applyFill="1" applyBorder="1"/>
    <xf numFmtId="3" fontId="27" fillId="6" borderId="31" xfId="1" applyNumberFormat="1" applyFont="1" applyFill="1" applyBorder="1"/>
    <xf numFmtId="0" fontId="30" fillId="2" borderId="0" xfId="6" applyFont="1" applyFill="1" applyBorder="1" applyAlignment="1" applyProtection="1">
      <alignment vertical="center"/>
    </xf>
    <xf numFmtId="0" fontId="25" fillId="2" borderId="0" xfId="7" applyFont="1" applyFill="1" applyAlignment="1">
      <alignment vertical="center"/>
    </xf>
    <xf numFmtId="0" fontId="25" fillId="2" borderId="0" xfId="7" applyFont="1" applyFill="1" applyAlignment="1">
      <alignment horizontal="right" vertical="center"/>
    </xf>
    <xf numFmtId="10" fontId="25" fillId="2" borderId="0" xfId="7" applyNumberFormat="1" applyFont="1" applyFill="1" applyAlignment="1">
      <alignment horizontal="right" vertical="center"/>
    </xf>
    <xf numFmtId="0" fontId="25" fillId="2" borderId="2" xfId="7" applyFont="1" applyFill="1" applyBorder="1" applyAlignment="1">
      <alignment horizontal="right" vertical="center"/>
    </xf>
    <xf numFmtId="0" fontId="35" fillId="2" borderId="0" xfId="6" applyFont="1" applyFill="1" applyBorder="1" applyAlignment="1" applyProtection="1">
      <alignment horizontal="left" vertical="center"/>
    </xf>
    <xf numFmtId="185" fontId="30" fillId="2" borderId="64" xfId="8" applyNumberFormat="1" applyFont="1" applyFill="1" applyBorder="1" applyAlignment="1">
      <alignment horizontal="right"/>
    </xf>
    <xf numFmtId="186" fontId="25" fillId="2" borderId="0" xfId="7" applyNumberFormat="1" applyFont="1" applyFill="1" applyAlignment="1">
      <alignment horizontal="right" vertical="center"/>
    </xf>
    <xf numFmtId="186" fontId="25" fillId="2" borderId="2" xfId="7" applyNumberFormat="1" applyFont="1" applyFill="1" applyBorder="1" applyAlignment="1">
      <alignment horizontal="right" vertical="center"/>
    </xf>
    <xf numFmtId="0" fontId="25" fillId="2" borderId="0" xfId="6" applyFont="1" applyFill="1" applyBorder="1" applyAlignment="1" applyProtection="1">
      <alignment horizontal="left" vertical="center"/>
    </xf>
    <xf numFmtId="43" fontId="25" fillId="2" borderId="0" xfId="1" applyFont="1" applyFill="1" applyBorder="1" applyAlignment="1" applyProtection="1">
      <alignment horizontal="right" vertical="center"/>
    </xf>
    <xf numFmtId="0" fontId="22" fillId="10" borderId="0" xfId="6" applyFont="1" applyFill="1" applyBorder="1" applyAlignment="1" applyProtection="1">
      <alignment horizontal="left" vertical="center"/>
    </xf>
    <xf numFmtId="186" fontId="16" fillId="2" borderId="0" xfId="7" applyNumberFormat="1" applyFont="1" applyFill="1" applyAlignment="1">
      <alignment horizontal="right" vertical="center"/>
    </xf>
    <xf numFmtId="186" fontId="15" fillId="2" borderId="0" xfId="7" applyNumberFormat="1" applyFont="1" applyFill="1" applyAlignment="1">
      <alignment horizontal="right" vertical="center"/>
    </xf>
    <xf numFmtId="186" fontId="15" fillId="2" borderId="2" xfId="7" applyNumberFormat="1" applyFont="1" applyFill="1" applyBorder="1" applyAlignment="1">
      <alignment horizontal="right" vertical="center"/>
    </xf>
    <xf numFmtId="164" fontId="13" fillId="6" borderId="3" xfId="8" quotePrefix="1" applyNumberFormat="1" applyFont="1" applyFill="1" applyBorder="1" applyAlignment="1">
      <alignment horizontal="right" vertical="center"/>
    </xf>
    <xf numFmtId="164" fontId="21" fillId="6" borderId="0" xfId="8" quotePrefix="1" applyNumberFormat="1" applyFont="1" applyFill="1" applyAlignment="1">
      <alignment horizontal="right" vertical="center"/>
    </xf>
    <xf numFmtId="0" fontId="35" fillId="2" borderId="0" xfId="8" applyFont="1" applyFill="1" applyAlignment="1">
      <alignment horizontal="left" vertical="center"/>
    </xf>
    <xf numFmtId="0" fontId="22" fillId="10" borderId="27" xfId="7" applyFont="1" applyFill="1" applyBorder="1" applyAlignment="1">
      <alignment horizontal="left" vertical="center"/>
    </xf>
    <xf numFmtId="165" fontId="22" fillId="8" borderId="27" xfId="7" applyNumberFormat="1" applyFont="1" applyFill="1" applyBorder="1" applyAlignment="1">
      <alignment horizontal="right" vertical="center"/>
    </xf>
    <xf numFmtId="165" fontId="17" fillId="2" borderId="27" xfId="0" applyNumberFormat="1" applyFont="1" applyFill="1" applyBorder="1" applyAlignment="1">
      <alignment vertical="center"/>
    </xf>
    <xf numFmtId="165" fontId="17" fillId="2" borderId="28" xfId="0" applyNumberFormat="1" applyFont="1" applyFill="1" applyBorder="1" applyAlignment="1">
      <alignment vertical="center"/>
    </xf>
    <xf numFmtId="165" fontId="21" fillId="6" borderId="27" xfId="0" applyNumberFormat="1" applyFont="1" applyFill="1" applyBorder="1" applyAlignment="1">
      <alignment vertical="center"/>
    </xf>
    <xf numFmtId="0" fontId="22" fillId="2" borderId="0" xfId="7" applyFont="1" applyFill="1" applyAlignment="1">
      <alignment vertical="center"/>
    </xf>
    <xf numFmtId="0" fontId="22" fillId="2" borderId="0" xfId="7" applyFont="1" applyFill="1" applyAlignment="1">
      <alignment horizontal="center" vertical="center" wrapText="1"/>
    </xf>
    <xf numFmtId="0" fontId="15" fillId="2" borderId="0" xfId="7" applyFont="1" applyFill="1" applyAlignment="1">
      <alignment vertical="center"/>
    </xf>
    <xf numFmtId="3" fontId="15" fillId="2" borderId="2" xfId="8" quotePrefix="1" applyNumberFormat="1" applyFont="1" applyFill="1" applyBorder="1" applyAlignment="1">
      <alignment horizontal="right" vertical="center"/>
    </xf>
    <xf numFmtId="3" fontId="15" fillId="2" borderId="0" xfId="8" quotePrefix="1" applyNumberFormat="1" applyFont="1" applyFill="1" applyAlignment="1">
      <alignment horizontal="right" vertical="center"/>
    </xf>
    <xf numFmtId="3" fontId="15" fillId="2" borderId="29" xfId="8" quotePrefix="1" applyNumberFormat="1" applyFont="1" applyFill="1" applyBorder="1" applyAlignment="1">
      <alignment horizontal="right" vertical="center"/>
    </xf>
    <xf numFmtId="4" fontId="15" fillId="2" borderId="29" xfId="8" quotePrefix="1" applyNumberFormat="1" applyFont="1" applyFill="1" applyBorder="1" applyAlignment="1">
      <alignment horizontal="right" vertical="center"/>
    </xf>
    <xf numFmtId="4" fontId="15" fillId="2" borderId="30" xfId="8" quotePrefix="1" applyNumberFormat="1" applyFont="1" applyFill="1" applyBorder="1" applyAlignment="1">
      <alignment horizontal="right" vertical="center"/>
    </xf>
    <xf numFmtId="4" fontId="15" fillId="2" borderId="0" xfId="8" quotePrefix="1" applyNumberFormat="1" applyFont="1" applyFill="1" applyAlignment="1">
      <alignment horizontal="right" vertical="center"/>
    </xf>
    <xf numFmtId="0" fontId="17" fillId="2" borderId="0" xfId="7" applyFont="1" applyFill="1" applyAlignment="1">
      <alignment vertical="center"/>
    </xf>
    <xf numFmtId="4" fontId="15" fillId="2" borderId="2" xfId="8" quotePrefix="1" applyNumberFormat="1" applyFont="1" applyFill="1" applyBorder="1" applyAlignment="1">
      <alignment horizontal="right" vertical="center"/>
    </xf>
    <xf numFmtId="164" fontId="32" fillId="2" borderId="6" xfId="0" applyNumberFormat="1" applyFont="1" applyFill="1" applyBorder="1" applyAlignment="1">
      <alignment vertical="center"/>
    </xf>
    <xf numFmtId="168" fontId="17" fillId="2" borderId="0" xfId="2" applyNumberFormat="1" applyFont="1" applyFill="1" applyBorder="1" applyAlignment="1">
      <alignment horizontal="center" vertical="center"/>
    </xf>
    <xf numFmtId="168" fontId="17" fillId="2" borderId="7" xfId="2" applyNumberFormat="1" applyFont="1" applyFill="1" applyBorder="1" applyAlignment="1">
      <alignment horizontal="center" vertical="center"/>
    </xf>
    <xf numFmtId="168" fontId="17" fillId="2" borderId="0" xfId="2" applyNumberFormat="1" applyFont="1" applyFill="1" applyBorder="1" applyAlignment="1">
      <alignment horizontal="right" vertical="center"/>
    </xf>
    <xf numFmtId="3" fontId="15" fillId="2" borderId="0" xfId="2" applyNumberFormat="1" applyFont="1" applyFill="1" applyBorder="1" applyAlignment="1">
      <alignment horizontal="center" vertical="center"/>
    </xf>
    <xf numFmtId="3" fontId="15" fillId="2" borderId="63" xfId="2" applyNumberFormat="1" applyFont="1" applyFill="1" applyBorder="1" applyAlignment="1">
      <alignment horizontal="center" vertical="center"/>
    </xf>
    <xf numFmtId="3" fontId="15" fillId="2" borderId="0" xfId="1" applyNumberFormat="1" applyFont="1" applyFill="1" applyBorder="1" applyAlignment="1">
      <alignment horizontal="center" vertical="center"/>
    </xf>
    <xf numFmtId="3" fontId="15" fillId="2" borderId="63" xfId="1" applyNumberFormat="1" applyFont="1" applyFill="1" applyBorder="1" applyAlignment="1">
      <alignment horizontal="center" vertical="center"/>
    </xf>
    <xf numFmtId="3" fontId="15" fillId="2" borderId="33" xfId="1" applyNumberFormat="1" applyFont="1" applyFill="1" applyBorder="1" applyAlignment="1">
      <alignment horizontal="center" vertical="center"/>
    </xf>
    <xf numFmtId="3" fontId="15" fillId="2" borderId="1" xfId="1" applyNumberFormat="1" applyFont="1" applyFill="1" applyBorder="1" applyAlignment="1">
      <alignment horizontal="center" vertical="center"/>
    </xf>
    <xf numFmtId="4" fontId="15" fillId="2" borderId="6" xfId="8" quotePrefix="1" applyNumberFormat="1" applyFont="1" applyFill="1" applyBorder="1" applyAlignment="1">
      <alignment horizontal="right" vertical="center"/>
    </xf>
    <xf numFmtId="164" fontId="15" fillId="2" borderId="0" xfId="1" applyNumberFormat="1" applyFont="1" applyFill="1" applyBorder="1" applyAlignment="1" applyProtection="1">
      <alignment vertical="center"/>
    </xf>
    <xf numFmtId="172" fontId="15" fillId="2" borderId="0" xfId="7" applyNumberFormat="1" applyFont="1" applyFill="1" applyAlignment="1">
      <alignment vertical="center"/>
    </xf>
    <xf numFmtId="0" fontId="17" fillId="2" borderId="7" xfId="7" applyFont="1" applyFill="1" applyBorder="1" applyAlignment="1">
      <alignment vertical="center"/>
    </xf>
    <xf numFmtId="3" fontId="17" fillId="2" borderId="8" xfId="8" quotePrefix="1" applyNumberFormat="1" applyFont="1" applyFill="1" applyBorder="1" applyAlignment="1">
      <alignment horizontal="right" vertical="center"/>
    </xf>
    <xf numFmtId="3" fontId="17" fillId="2" borderId="7" xfId="8" quotePrefix="1" applyNumberFormat="1" applyFont="1" applyFill="1" applyBorder="1" applyAlignment="1">
      <alignment horizontal="right" vertical="center"/>
    </xf>
    <xf numFmtId="4" fontId="17" fillId="2" borderId="7" xfId="8" quotePrefix="1" applyNumberFormat="1" applyFont="1" applyFill="1" applyBorder="1" applyAlignment="1">
      <alignment horizontal="right" vertical="center"/>
    </xf>
    <xf numFmtId="4" fontId="17" fillId="2" borderId="8" xfId="8" quotePrefix="1" applyNumberFormat="1" applyFont="1" applyFill="1" applyBorder="1" applyAlignment="1">
      <alignment horizontal="right" vertical="center"/>
    </xf>
    <xf numFmtId="3" fontId="15" fillId="2" borderId="11" xfId="8" quotePrefix="1" applyNumberFormat="1" applyFont="1" applyFill="1" applyBorder="1" applyAlignment="1">
      <alignment horizontal="right" vertical="center"/>
    </xf>
    <xf numFmtId="4" fontId="15" fillId="2" borderId="11" xfId="8" quotePrefix="1" applyNumberFormat="1" applyFont="1" applyFill="1" applyBorder="1" applyAlignment="1">
      <alignment horizontal="right" vertical="center"/>
    </xf>
    <xf numFmtId="164" fontId="17" fillId="2" borderId="0" xfId="1" applyNumberFormat="1" applyFont="1" applyFill="1" applyBorder="1" applyAlignment="1" applyProtection="1">
      <alignment vertical="center"/>
    </xf>
    <xf numFmtId="164" fontId="17" fillId="2" borderId="0" xfId="8" quotePrefix="1" applyNumberFormat="1" applyFont="1" applyFill="1" applyAlignment="1">
      <alignment horizontal="right" vertical="center"/>
    </xf>
    <xf numFmtId="164" fontId="17" fillId="2" borderId="2" xfId="8" quotePrefix="1" applyNumberFormat="1" applyFont="1" applyFill="1" applyBorder="1" applyAlignment="1">
      <alignment horizontal="right" vertical="center"/>
    </xf>
    <xf numFmtId="3" fontId="17" fillId="2" borderId="0" xfId="8" quotePrefix="1" applyNumberFormat="1" applyFont="1" applyFill="1" applyAlignment="1">
      <alignment horizontal="right" vertical="center"/>
    </xf>
    <xf numFmtId="4" fontId="17" fillId="2" borderId="0" xfId="8" quotePrefix="1" applyNumberFormat="1" applyFont="1" applyFill="1" applyAlignment="1">
      <alignment horizontal="right" vertical="center"/>
    </xf>
    <xf numFmtId="0" fontId="15" fillId="2" borderId="0" xfId="7" applyFont="1" applyFill="1" applyAlignment="1">
      <alignment horizontal="right" vertical="center"/>
    </xf>
    <xf numFmtId="168" fontId="17" fillId="2" borderId="0" xfId="2" applyNumberFormat="1" applyFont="1" applyFill="1" applyBorder="1" applyAlignment="1" applyProtection="1">
      <alignment vertical="center"/>
    </xf>
    <xf numFmtId="164" fontId="15" fillId="2" borderId="0" xfId="8" quotePrefix="1" applyNumberFormat="1" applyFont="1" applyFill="1" applyAlignment="1">
      <alignment horizontal="right" vertical="center"/>
    </xf>
    <xf numFmtId="164" fontId="15" fillId="2" borderId="2" xfId="8" quotePrefix="1" applyNumberFormat="1" applyFont="1" applyFill="1" applyBorder="1" applyAlignment="1">
      <alignment horizontal="right" vertical="center"/>
    </xf>
    <xf numFmtId="168" fontId="15" fillId="2" borderId="0" xfId="2" applyNumberFormat="1" applyFont="1" applyFill="1" applyBorder="1" applyAlignment="1" applyProtection="1">
      <alignment vertical="center"/>
    </xf>
    <xf numFmtId="10" fontId="17" fillId="2" borderId="0" xfId="2" quotePrefix="1" applyNumberFormat="1" applyFont="1" applyFill="1" applyBorder="1" applyAlignment="1" applyProtection="1">
      <alignment horizontal="right" vertical="center"/>
    </xf>
    <xf numFmtId="43" fontId="15" fillId="2" borderId="0" xfId="1" quotePrefix="1" applyFont="1" applyFill="1" applyBorder="1" applyAlignment="1" applyProtection="1">
      <alignment horizontal="right" vertical="center"/>
    </xf>
    <xf numFmtId="2" fontId="15" fillId="2" borderId="2" xfId="1" quotePrefix="1" applyNumberFormat="1" applyFont="1" applyFill="1" applyBorder="1" applyAlignment="1" applyProtection="1">
      <alignment horizontal="right" vertical="center"/>
    </xf>
    <xf numFmtId="4" fontId="15" fillId="2" borderId="0" xfId="1" quotePrefix="1" applyNumberFormat="1" applyFont="1" applyFill="1" applyBorder="1" applyAlignment="1" applyProtection="1">
      <alignment horizontal="right" vertical="center"/>
    </xf>
    <xf numFmtId="169" fontId="15" fillId="2" borderId="0" xfId="1" quotePrefix="1" applyNumberFormat="1" applyFont="1" applyFill="1" applyBorder="1" applyAlignment="1" applyProtection="1">
      <alignment horizontal="right" vertical="center"/>
    </xf>
    <xf numFmtId="169" fontId="15" fillId="2" borderId="0" xfId="8" quotePrefix="1" applyNumberFormat="1" applyFont="1" applyFill="1" applyAlignment="1">
      <alignment horizontal="right" vertical="center"/>
    </xf>
    <xf numFmtId="164" fontId="97" fillId="2" borderId="7" xfId="8" quotePrefix="1" applyNumberFormat="1" applyFont="1" applyFill="1" applyBorder="1" applyAlignment="1">
      <alignment horizontal="right" vertical="center"/>
    </xf>
    <xf numFmtId="164" fontId="97" fillId="2" borderId="8" xfId="8" quotePrefix="1" applyNumberFormat="1" applyFont="1" applyFill="1" applyBorder="1" applyAlignment="1">
      <alignment horizontal="right" vertical="center"/>
    </xf>
    <xf numFmtId="3" fontId="15" fillId="2" borderId="0" xfId="1" applyNumberFormat="1" applyFont="1" applyFill="1" applyBorder="1" applyAlignment="1" applyProtection="1">
      <alignment vertical="center"/>
    </xf>
    <xf numFmtId="167" fontId="31" fillId="2" borderId="0" xfId="7" applyNumberFormat="1" applyFont="1" applyFill="1" applyAlignment="1">
      <alignment vertical="center"/>
    </xf>
    <xf numFmtId="167" fontId="31" fillId="2" borderId="2" xfId="7" applyNumberFormat="1" applyFont="1" applyFill="1" applyBorder="1" applyAlignment="1">
      <alignment vertical="center"/>
    </xf>
    <xf numFmtId="4" fontId="15" fillId="2" borderId="0" xfId="7" applyNumberFormat="1" applyFont="1" applyFill="1" applyAlignment="1">
      <alignment vertical="center"/>
    </xf>
    <xf numFmtId="167" fontId="15" fillId="2" borderId="0" xfId="7" applyNumberFormat="1" applyFont="1" applyFill="1" applyAlignment="1">
      <alignment vertical="center"/>
    </xf>
    <xf numFmtId="0" fontId="31" fillId="2" borderId="0" xfId="7" applyFont="1" applyFill="1" applyAlignment="1">
      <alignment horizontal="right" vertical="center"/>
    </xf>
    <xf numFmtId="0" fontId="31" fillId="2" borderId="2" xfId="7" applyFont="1" applyFill="1" applyBorder="1" applyAlignment="1">
      <alignment horizontal="right" vertical="center"/>
    </xf>
    <xf numFmtId="0" fontId="17" fillId="2" borderId="0" xfId="0" applyFont="1" applyFill="1" applyAlignment="1">
      <alignment vertical="center" textRotation="90"/>
    </xf>
    <xf numFmtId="0" fontId="22" fillId="7" borderId="0" xfId="7" applyFont="1" applyFill="1" applyAlignment="1">
      <alignment vertical="center"/>
    </xf>
    <xf numFmtId="3" fontId="22" fillId="7" borderId="0" xfId="1" applyNumberFormat="1" applyFont="1" applyFill="1" applyBorder="1" applyAlignment="1" applyProtection="1">
      <alignment vertical="center"/>
    </xf>
    <xf numFmtId="164" fontId="31" fillId="2" borderId="0" xfId="7" applyNumberFormat="1" applyFont="1" applyFill="1" applyAlignment="1">
      <alignment horizontal="right" vertical="center"/>
    </xf>
    <xf numFmtId="164" fontId="25" fillId="2" borderId="0" xfId="7" applyNumberFormat="1" applyFont="1" applyFill="1" applyAlignment="1">
      <alignment horizontal="right" vertical="center"/>
    </xf>
    <xf numFmtId="0" fontId="28" fillId="2" borderId="0" xfId="0" applyFont="1" applyFill="1" applyAlignment="1">
      <alignment vertical="center" textRotation="90"/>
    </xf>
    <xf numFmtId="0" fontId="35" fillId="2" borderId="0" xfId="7" applyFont="1" applyFill="1" applyAlignment="1">
      <alignment vertical="center"/>
    </xf>
    <xf numFmtId="0" fontId="15" fillId="2" borderId="0" xfId="7" quotePrefix="1" applyFont="1" applyFill="1" applyAlignment="1">
      <alignment vertical="center"/>
    </xf>
    <xf numFmtId="3" fontId="15" fillId="8" borderId="0" xfId="1" applyNumberFormat="1" applyFont="1" applyFill="1" applyBorder="1" applyAlignment="1" applyProtection="1">
      <alignment vertical="center"/>
    </xf>
    <xf numFmtId="164" fontId="97" fillId="2" borderId="0" xfId="7" applyNumberFormat="1" applyFont="1" applyFill="1" applyAlignment="1">
      <alignment vertical="center"/>
    </xf>
    <xf numFmtId="0" fontId="97" fillId="2" borderId="0" xfId="7" applyFont="1" applyFill="1" applyAlignment="1">
      <alignment vertical="center"/>
    </xf>
    <xf numFmtId="0" fontId="97" fillId="2" borderId="2" xfId="7" applyFont="1" applyFill="1" applyBorder="1" applyAlignment="1">
      <alignment vertical="center"/>
    </xf>
    <xf numFmtId="164" fontId="32" fillId="2" borderId="0" xfId="0" applyNumberFormat="1" applyFont="1" applyFill="1" applyAlignment="1">
      <alignment vertical="center"/>
    </xf>
    <xf numFmtId="168" fontId="28" fillId="2" borderId="0" xfId="2" applyNumberFormat="1" applyFont="1" applyFill="1" applyBorder="1" applyAlignment="1">
      <alignment horizontal="right" vertical="center"/>
    </xf>
    <xf numFmtId="3" fontId="17" fillId="2" borderId="0" xfId="2" applyNumberFormat="1" applyFont="1" applyFill="1" applyBorder="1" applyAlignment="1">
      <alignment horizontal="center" vertical="center"/>
    </xf>
    <xf numFmtId="3" fontId="22" fillId="2" borderId="0" xfId="1" applyNumberFormat="1" applyFont="1" applyFill="1" applyBorder="1" applyAlignment="1" applyProtection="1">
      <alignment vertical="center"/>
    </xf>
    <xf numFmtId="3" fontId="14" fillId="2" borderId="0" xfId="1" applyNumberFormat="1" applyFont="1" applyFill="1" applyBorder="1" applyAlignment="1">
      <alignment horizontal="center" vertical="center"/>
    </xf>
    <xf numFmtId="169" fontId="15" fillId="2" borderId="0" xfId="1" applyNumberFormat="1" applyFont="1" applyFill="1" applyBorder="1" applyAlignment="1" applyProtection="1">
      <alignment vertical="center"/>
    </xf>
    <xf numFmtId="170" fontId="31" fillId="2" borderId="0" xfId="7" applyNumberFormat="1" applyFont="1" applyFill="1" applyAlignment="1">
      <alignment horizontal="right" vertical="center"/>
    </xf>
    <xf numFmtId="0" fontId="22" fillId="29" borderId="0" xfId="7" applyFont="1" applyFill="1" applyAlignment="1">
      <alignment vertical="center"/>
    </xf>
    <xf numFmtId="3" fontId="22" fillId="29" borderId="0" xfId="1" applyNumberFormat="1" applyFont="1" applyFill="1" applyBorder="1" applyAlignment="1" applyProtection="1">
      <alignment vertical="center"/>
    </xf>
    <xf numFmtId="164" fontId="97" fillId="2" borderId="0" xfId="1" applyNumberFormat="1" applyFont="1" applyFill="1" applyBorder="1" applyAlignment="1" applyProtection="1">
      <alignment vertical="center"/>
    </xf>
    <xf numFmtId="3" fontId="25" fillId="2" borderId="0" xfId="7" applyNumberFormat="1" applyFont="1" applyFill="1" applyAlignment="1">
      <alignment vertical="center"/>
    </xf>
    <xf numFmtId="167" fontId="25" fillId="2" borderId="0" xfId="7" applyNumberFormat="1" applyFont="1" applyFill="1" applyAlignment="1">
      <alignment vertical="center"/>
    </xf>
    <xf numFmtId="0" fontId="22" fillId="7" borderId="65" xfId="7" applyFont="1" applyFill="1" applyBorder="1" applyAlignment="1">
      <alignment vertical="center"/>
    </xf>
    <xf numFmtId="0" fontId="35" fillId="2" borderId="14" xfId="7" applyFont="1" applyFill="1" applyBorder="1" applyAlignment="1">
      <alignment vertical="center"/>
    </xf>
    <xf numFmtId="0" fontId="35" fillId="2" borderId="14" xfId="7" applyFont="1" applyFill="1" applyBorder="1" applyAlignment="1">
      <alignment horizontal="right" vertical="center"/>
    </xf>
    <xf numFmtId="0" fontId="35" fillId="2" borderId="59" xfId="7" applyFont="1" applyFill="1" applyBorder="1" applyAlignment="1">
      <alignment horizontal="right" vertical="center"/>
    </xf>
    <xf numFmtId="0" fontId="17" fillId="2" borderId="66" xfId="7" applyFont="1" applyFill="1" applyBorder="1" applyAlignment="1">
      <alignment vertical="center"/>
    </xf>
    <xf numFmtId="10" fontId="17" fillId="2" borderId="0" xfId="7" applyNumberFormat="1" applyFont="1" applyFill="1" applyAlignment="1">
      <alignment vertical="center"/>
    </xf>
    <xf numFmtId="0" fontId="15" fillId="2" borderId="2" xfId="7" applyFont="1" applyFill="1" applyBorder="1" applyAlignment="1">
      <alignment horizontal="right" vertical="center"/>
    </xf>
    <xf numFmtId="0" fontId="17" fillId="2" borderId="0" xfId="7" applyFont="1" applyFill="1" applyAlignment="1">
      <alignment horizontal="right" vertical="center"/>
    </xf>
    <xf numFmtId="2" fontId="17" fillId="2" borderId="0" xfId="7" applyNumberFormat="1" applyFont="1" applyFill="1" applyAlignment="1">
      <alignment vertical="center"/>
    </xf>
    <xf numFmtId="10" fontId="17" fillId="2" borderId="0" xfId="2" applyNumberFormat="1" applyFont="1" applyFill="1" applyBorder="1" applyAlignment="1" applyProtection="1">
      <alignment vertical="center"/>
    </xf>
    <xf numFmtId="0" fontId="15" fillId="2" borderId="66" xfId="7" applyFont="1" applyFill="1" applyBorder="1" applyAlignment="1">
      <alignment vertical="center"/>
    </xf>
    <xf numFmtId="2" fontId="15" fillId="2" borderId="0" xfId="7" applyNumberFormat="1" applyFont="1" applyFill="1" applyAlignment="1">
      <alignment horizontal="right" vertical="center"/>
    </xf>
    <xf numFmtId="43" fontId="15" fillId="2" borderId="2" xfId="1" applyFont="1" applyFill="1" applyBorder="1" applyAlignment="1" applyProtection="1">
      <alignment horizontal="right" vertical="center"/>
    </xf>
    <xf numFmtId="43" fontId="15" fillId="2" borderId="0" xfId="1" applyFont="1" applyFill="1" applyBorder="1" applyAlignment="1" applyProtection="1">
      <alignment horizontal="right" vertical="center"/>
    </xf>
    <xf numFmtId="9" fontId="15" fillId="2" borderId="0" xfId="7" applyNumberFormat="1" applyFont="1" applyFill="1" applyAlignment="1">
      <alignment vertical="center"/>
    </xf>
    <xf numFmtId="10" fontId="15" fillId="2" borderId="0" xfId="7" applyNumberFormat="1" applyFont="1" applyFill="1" applyAlignment="1">
      <alignment vertical="center"/>
    </xf>
    <xf numFmtId="10" fontId="17" fillId="2" borderId="0" xfId="2" applyNumberFormat="1" applyFont="1" applyFill="1" applyBorder="1" applyAlignment="1" applyProtection="1">
      <alignment horizontal="right" vertical="center"/>
    </xf>
    <xf numFmtId="168" fontId="17" fillId="2" borderId="2" xfId="2" applyNumberFormat="1" applyFont="1" applyFill="1" applyBorder="1" applyAlignment="1" applyProtection="1">
      <alignment horizontal="right" vertical="center"/>
    </xf>
    <xf numFmtId="168" fontId="17" fillId="2" borderId="0" xfId="2" applyNumberFormat="1" applyFont="1" applyFill="1" applyBorder="1" applyAlignment="1" applyProtection="1">
      <alignment horizontal="right" vertical="center"/>
    </xf>
    <xf numFmtId="168" fontId="15" fillId="2" borderId="0" xfId="2" applyNumberFormat="1" applyFont="1" applyFill="1" applyBorder="1" applyAlignment="1" applyProtection="1">
      <alignment horizontal="right" vertical="center"/>
    </xf>
    <xf numFmtId="168" fontId="15" fillId="2" borderId="2" xfId="2" applyNumberFormat="1" applyFont="1" applyFill="1" applyBorder="1" applyAlignment="1" applyProtection="1">
      <alignment horizontal="right" vertical="center"/>
    </xf>
    <xf numFmtId="10" fontId="15" fillId="2" borderId="0" xfId="2" applyNumberFormat="1" applyFont="1" applyFill="1" applyBorder="1" applyAlignment="1" applyProtection="1">
      <alignment horizontal="right" vertical="center"/>
    </xf>
    <xf numFmtId="2" fontId="15" fillId="2" borderId="2" xfId="7" applyNumberFormat="1" applyFont="1" applyFill="1" applyBorder="1" applyAlignment="1">
      <alignment horizontal="right" vertical="center"/>
    </xf>
    <xf numFmtId="9" fontId="15" fillId="2" borderId="0" xfId="2" applyFont="1" applyFill="1" applyBorder="1" applyAlignment="1" applyProtection="1">
      <alignment horizontal="right" vertical="center"/>
    </xf>
    <xf numFmtId="0" fontId="17" fillId="2" borderId="67" xfId="7" applyFont="1" applyFill="1" applyBorder="1" applyAlignment="1">
      <alignment vertical="center"/>
    </xf>
    <xf numFmtId="0" fontId="17" fillId="2" borderId="12" xfId="7" applyFont="1" applyFill="1" applyBorder="1" applyAlignment="1">
      <alignment vertical="center"/>
    </xf>
    <xf numFmtId="0" fontId="17" fillId="2" borderId="12" xfId="7" applyFont="1" applyFill="1" applyBorder="1" applyAlignment="1">
      <alignment horizontal="right" vertical="center"/>
    </xf>
    <xf numFmtId="168" fontId="17" fillId="2" borderId="12" xfId="2" applyNumberFormat="1" applyFont="1" applyFill="1" applyBorder="1" applyAlignment="1" applyProtection="1">
      <alignment horizontal="right" vertical="center"/>
    </xf>
    <xf numFmtId="168" fontId="17" fillId="2" borderId="13" xfId="2" applyNumberFormat="1" applyFont="1" applyFill="1" applyBorder="1" applyAlignment="1" applyProtection="1">
      <alignment horizontal="right" vertical="center"/>
    </xf>
    <xf numFmtId="10" fontId="17" fillId="2" borderId="12" xfId="2" applyNumberFormat="1" applyFont="1" applyFill="1" applyBorder="1" applyAlignment="1" applyProtection="1">
      <alignment horizontal="right" vertical="center"/>
    </xf>
    <xf numFmtId="43" fontId="17" fillId="2" borderId="0" xfId="1" applyFont="1" applyFill="1" applyBorder="1" applyAlignment="1" applyProtection="1">
      <alignment horizontal="right" vertical="center"/>
    </xf>
    <xf numFmtId="0" fontId="17" fillId="2" borderId="2" xfId="7" applyFont="1" applyFill="1" applyBorder="1" applyAlignment="1">
      <alignment horizontal="right" vertical="center"/>
    </xf>
    <xf numFmtId="10" fontId="35" fillId="2" borderId="0" xfId="7" applyNumberFormat="1" applyFont="1" applyFill="1" applyAlignment="1">
      <alignment vertical="center"/>
    </xf>
    <xf numFmtId="0" fontId="35" fillId="2" borderId="0" xfId="7" applyFont="1" applyFill="1" applyAlignment="1">
      <alignment horizontal="right" vertical="center"/>
    </xf>
    <xf numFmtId="43" fontId="35" fillId="2" borderId="0" xfId="1" applyFont="1" applyFill="1" applyBorder="1" applyAlignment="1" applyProtection="1">
      <alignment horizontal="right" vertical="center"/>
    </xf>
    <xf numFmtId="0" fontId="35" fillId="2" borderId="2" xfId="7" applyFont="1" applyFill="1" applyBorder="1" applyAlignment="1">
      <alignment horizontal="right" vertical="center"/>
    </xf>
    <xf numFmtId="0" fontId="22" fillId="10" borderId="11" xfId="7" applyFont="1" applyFill="1" applyBorder="1" applyAlignment="1">
      <alignment horizontal="left" vertical="center"/>
    </xf>
    <xf numFmtId="165" fontId="22" fillId="10" borderId="11" xfId="7" applyNumberFormat="1" applyFont="1" applyFill="1" applyBorder="1" applyAlignment="1">
      <alignment horizontal="right" vertical="center"/>
    </xf>
    <xf numFmtId="165" fontId="22" fillId="10" borderId="6" xfId="7" applyNumberFormat="1" applyFont="1" applyFill="1" applyBorder="1" applyAlignment="1">
      <alignment horizontal="right" vertical="center"/>
    </xf>
    <xf numFmtId="0" fontId="25" fillId="32" borderId="0" xfId="7" applyFont="1" applyFill="1" applyAlignment="1">
      <alignment vertical="center"/>
    </xf>
    <xf numFmtId="3" fontId="15" fillId="2" borderId="0" xfId="7" applyNumberFormat="1" applyFont="1" applyFill="1" applyAlignment="1">
      <alignment vertical="center"/>
    </xf>
    <xf numFmtId="4" fontId="15" fillId="2" borderId="2" xfId="7" applyNumberFormat="1" applyFont="1" applyFill="1" applyBorder="1" applyAlignment="1">
      <alignment vertical="center"/>
    </xf>
    <xf numFmtId="168" fontId="17" fillId="2" borderId="19" xfId="2" applyNumberFormat="1" applyFont="1" applyFill="1" applyBorder="1" applyAlignment="1">
      <alignment horizontal="right" vertical="center"/>
    </xf>
    <xf numFmtId="168" fontId="17" fillId="2" borderId="15" xfId="2" applyNumberFormat="1" applyFont="1" applyFill="1" applyBorder="1" applyAlignment="1">
      <alignment horizontal="right" vertical="center"/>
    </xf>
    <xf numFmtId="4" fontId="14" fillId="2" borderId="0" xfId="0" applyNumberFormat="1" applyFont="1" applyFill="1" applyAlignment="1">
      <alignment vertical="center"/>
    </xf>
    <xf numFmtId="3" fontId="14" fillId="2" borderId="0" xfId="0" applyNumberFormat="1" applyFont="1" applyFill="1" applyAlignment="1">
      <alignment vertical="center"/>
    </xf>
    <xf numFmtId="164" fontId="17" fillId="2" borderId="7" xfId="8" quotePrefix="1" applyNumberFormat="1" applyFont="1" applyFill="1" applyBorder="1" applyAlignment="1">
      <alignment horizontal="right" vertical="center"/>
    </xf>
    <xf numFmtId="164" fontId="17" fillId="2" borderId="8" xfId="8" quotePrefix="1" applyNumberFormat="1" applyFont="1" applyFill="1" applyBorder="1" applyAlignment="1">
      <alignment horizontal="right" vertical="center"/>
    </xf>
    <xf numFmtId="43" fontId="15" fillId="2" borderId="2" xfId="1" quotePrefix="1" applyFont="1" applyFill="1" applyBorder="1" applyAlignment="1" applyProtection="1">
      <alignment horizontal="right" vertical="center"/>
    </xf>
    <xf numFmtId="3" fontId="14" fillId="0" borderId="0" xfId="0" applyNumberFormat="1" applyFont="1" applyAlignment="1">
      <alignment vertical="center"/>
    </xf>
    <xf numFmtId="4" fontId="15" fillId="2" borderId="0" xfId="7" applyNumberFormat="1" applyFont="1" applyFill="1" applyAlignment="1">
      <alignment horizontal="right" vertical="center"/>
    </xf>
    <xf numFmtId="4" fontId="25" fillId="2" borderId="0" xfId="7" applyNumberFormat="1" applyFont="1" applyFill="1" applyAlignment="1">
      <alignment horizontal="right" vertical="center"/>
    </xf>
    <xf numFmtId="3" fontId="25" fillId="2" borderId="0" xfId="7" applyNumberFormat="1" applyFont="1" applyFill="1" applyAlignment="1">
      <alignment horizontal="right" vertical="center"/>
    </xf>
    <xf numFmtId="3" fontId="25" fillId="2" borderId="0" xfId="8" quotePrefix="1" applyNumberFormat="1" applyFont="1" applyFill="1" applyAlignment="1">
      <alignment horizontal="right" vertical="center"/>
    </xf>
    <xf numFmtId="3" fontId="25" fillId="2" borderId="2" xfId="8" quotePrefix="1" applyNumberFormat="1" applyFont="1" applyFill="1" applyBorder="1" applyAlignment="1">
      <alignment horizontal="right" vertical="center"/>
    </xf>
    <xf numFmtId="0" fontId="25" fillId="2" borderId="2" xfId="7" applyFont="1" applyFill="1" applyBorder="1" applyAlignment="1">
      <alignment vertical="center"/>
    </xf>
    <xf numFmtId="0" fontId="25" fillId="33" borderId="0" xfId="7" applyFont="1" applyFill="1" applyAlignment="1">
      <alignment horizontal="right" vertical="center"/>
    </xf>
    <xf numFmtId="0" fontId="98" fillId="33" borderId="0" xfId="7" applyFont="1" applyFill="1" applyAlignment="1">
      <alignment horizontal="right" vertical="center"/>
    </xf>
    <xf numFmtId="9" fontId="20" fillId="24" borderId="0" xfId="2" applyFont="1" applyFill="1" applyBorder="1"/>
    <xf numFmtId="167" fontId="16" fillId="24" borderId="0" xfId="0" applyNumberFormat="1" applyFont="1" applyFill="1"/>
    <xf numFmtId="9" fontId="33" fillId="24" borderId="0" xfId="2" applyFont="1" applyFill="1" applyBorder="1" applyAlignment="1">
      <alignment vertical="center" wrapText="1"/>
    </xf>
    <xf numFmtId="9" fontId="33" fillId="24" borderId="0" xfId="2" applyFont="1" applyFill="1" applyBorder="1" applyAlignment="1">
      <alignment vertical="center"/>
    </xf>
    <xf numFmtId="9" fontId="33" fillId="24" borderId="11" xfId="2" applyFont="1" applyFill="1" applyBorder="1" applyAlignment="1">
      <alignment vertical="center"/>
    </xf>
    <xf numFmtId="0" fontId="30" fillId="2" borderId="0" xfId="0" applyFont="1" applyFill="1" applyAlignment="1">
      <alignment horizontal="center"/>
    </xf>
    <xf numFmtId="0" fontId="25" fillId="2" borderId="19" xfId="0" applyFont="1" applyFill="1" applyBorder="1"/>
    <xf numFmtId="0" fontId="25" fillId="2" borderId="7" xfId="0" applyFont="1" applyFill="1" applyBorder="1"/>
    <xf numFmtId="0" fontId="25" fillId="2" borderId="8" xfId="0" applyFont="1" applyFill="1" applyBorder="1"/>
    <xf numFmtId="0" fontId="25" fillId="2" borderId="15" xfId="0" applyFont="1" applyFill="1" applyBorder="1" applyAlignment="1">
      <alignment vertical="center"/>
    </xf>
    <xf numFmtId="0" fontId="25" fillId="2" borderId="2" xfId="0" applyFont="1" applyFill="1" applyBorder="1" applyAlignment="1">
      <alignment vertical="center"/>
    </xf>
    <xf numFmtId="0" fontId="22" fillId="2" borderId="0" xfId="0" applyFont="1" applyFill="1" applyAlignment="1">
      <alignment horizontal="center" vertical="center" wrapText="1"/>
    </xf>
    <xf numFmtId="0" fontId="22" fillId="10" borderId="0" xfId="7" applyFont="1" applyFill="1" applyAlignment="1">
      <alignment horizontal="center" vertical="center"/>
    </xf>
    <xf numFmtId="0" fontId="25" fillId="2" borderId="15" xfId="0" applyFont="1" applyFill="1" applyBorder="1"/>
    <xf numFmtId="0" fontId="22" fillId="2" borderId="0" xfId="0" applyFont="1" applyFill="1" applyAlignment="1">
      <alignment horizontal="center"/>
    </xf>
    <xf numFmtId="0" fontId="25" fillId="2" borderId="2" xfId="0" applyFont="1" applyFill="1" applyBorder="1"/>
    <xf numFmtId="168" fontId="17" fillId="2" borderId="0" xfId="2" quotePrefix="1" applyNumberFormat="1" applyFont="1" applyFill="1" applyBorder="1" applyAlignment="1" applyProtection="1">
      <alignment horizontal="right" vertical="center"/>
    </xf>
    <xf numFmtId="14" fontId="15" fillId="2" borderId="0" xfId="0" applyNumberFormat="1" applyFont="1" applyFill="1" applyAlignment="1">
      <alignment horizontal="left"/>
    </xf>
    <xf numFmtId="0" fontId="35" fillId="2" borderId="15" xfId="0" applyFont="1" applyFill="1" applyBorder="1"/>
    <xf numFmtId="3" fontId="15" fillId="2" borderId="0" xfId="2" quotePrefix="1" applyNumberFormat="1" applyFont="1" applyFill="1" applyBorder="1" applyAlignment="1" applyProtection="1">
      <alignment horizontal="right" vertical="center"/>
    </xf>
    <xf numFmtId="0" fontId="35" fillId="2" borderId="2" xfId="0" applyFont="1" applyFill="1" applyBorder="1"/>
    <xf numFmtId="10" fontId="100" fillId="34" borderId="64" xfId="0" applyNumberFormat="1" applyFont="1" applyFill="1" applyBorder="1"/>
    <xf numFmtId="10" fontId="100" fillId="2" borderId="0" xfId="0" applyNumberFormat="1" applyFont="1" applyFill="1"/>
    <xf numFmtId="9" fontId="100" fillId="34" borderId="64" xfId="0" applyNumberFormat="1" applyFont="1" applyFill="1" applyBorder="1"/>
    <xf numFmtId="164" fontId="15" fillId="8" borderId="64" xfId="5" applyNumberFormat="1" applyFont="1" applyFill="1" applyBorder="1"/>
    <xf numFmtId="172" fontId="100" fillId="34" borderId="64" xfId="4" applyFont="1" applyFill="1" applyBorder="1"/>
    <xf numFmtId="172" fontId="100" fillId="2" borderId="0" xfId="4" applyFont="1" applyFill="1" applyBorder="1"/>
    <xf numFmtId="10" fontId="15" fillId="34" borderId="64" xfId="9" applyNumberFormat="1" applyFont="1" applyFill="1" applyBorder="1"/>
    <xf numFmtId="0" fontId="15" fillId="2" borderId="0" xfId="7" applyFont="1" applyFill="1" applyAlignment="1">
      <alignment horizontal="left" vertical="center"/>
    </xf>
    <xf numFmtId="168" fontId="15" fillId="2" borderId="0" xfId="2" quotePrefix="1" applyNumberFormat="1" applyFont="1" applyFill="1" applyBorder="1" applyAlignment="1" applyProtection="1">
      <alignment horizontal="right" vertical="center"/>
    </xf>
    <xf numFmtId="0" fontId="100" fillId="2" borderId="0" xfId="0" applyFont="1" applyFill="1"/>
    <xf numFmtId="43" fontId="15" fillId="34" borderId="64" xfId="1" applyFont="1" applyFill="1" applyBorder="1"/>
    <xf numFmtId="0" fontId="17" fillId="6" borderId="2" xfId="0" applyFont="1" applyFill="1" applyBorder="1" applyAlignment="1">
      <alignment horizontal="left"/>
    </xf>
    <xf numFmtId="10" fontId="17" fillId="34" borderId="64" xfId="9" applyNumberFormat="1" applyFont="1" applyFill="1" applyBorder="1"/>
    <xf numFmtId="3" fontId="17" fillId="2" borderId="0" xfId="2" quotePrefix="1" applyNumberFormat="1" applyFont="1" applyFill="1" applyBorder="1" applyAlignment="1" applyProtection="1">
      <alignment horizontal="right" vertical="center"/>
    </xf>
    <xf numFmtId="0" fontId="17" fillId="2" borderId="0" xfId="7" applyFont="1" applyFill="1" applyAlignment="1">
      <alignment horizontal="left" vertical="center"/>
    </xf>
    <xf numFmtId="0" fontId="9" fillId="2" borderId="11" xfId="0" applyFont="1" applyFill="1" applyBorder="1"/>
    <xf numFmtId="172" fontId="9" fillId="2" borderId="11" xfId="4" applyFont="1" applyFill="1" applyBorder="1"/>
    <xf numFmtId="3" fontId="22" fillId="26" borderId="0" xfId="1" quotePrefix="1" applyNumberFormat="1" applyFont="1" applyFill="1" applyBorder="1" applyAlignment="1" applyProtection="1">
      <alignment horizontal="right" vertical="center"/>
    </xf>
    <xf numFmtId="10" fontId="15" fillId="8" borderId="64" xfId="9" applyNumberFormat="1" applyFont="1" applyFill="1" applyBorder="1"/>
    <xf numFmtId="0" fontId="102" fillId="2" borderId="0" xfId="7" applyFont="1" applyFill="1" applyAlignment="1">
      <alignment vertical="center"/>
    </xf>
    <xf numFmtId="3" fontId="102" fillId="2" borderId="0" xfId="1" applyNumberFormat="1" applyFont="1" applyFill="1" applyBorder="1" applyAlignment="1" applyProtection="1">
      <alignment vertical="center"/>
    </xf>
    <xf numFmtId="10" fontId="15" fillId="2" borderId="0" xfId="0" applyNumberFormat="1" applyFont="1" applyFill="1"/>
    <xf numFmtId="0" fontId="97" fillId="2" borderId="11" xfId="7" applyFont="1" applyFill="1" applyBorder="1" applyAlignment="1">
      <alignment vertical="center"/>
    </xf>
    <xf numFmtId="168" fontId="97" fillId="2" borderId="11" xfId="2" applyNumberFormat="1" applyFont="1" applyFill="1" applyBorder="1" applyAlignment="1" applyProtection="1">
      <alignment vertical="center"/>
    </xf>
    <xf numFmtId="10" fontId="15" fillId="34" borderId="64" xfId="9" applyNumberFormat="1" applyFont="1" applyFill="1" applyBorder="1" applyAlignment="1">
      <alignment vertical="center"/>
    </xf>
    <xf numFmtId="14" fontId="15" fillId="2" borderId="0" xfId="0" applyNumberFormat="1" applyFont="1" applyFill="1" applyAlignment="1">
      <alignment horizontal="left" vertical="center"/>
    </xf>
    <xf numFmtId="0" fontId="103" fillId="10" borderId="0" xfId="0" applyFont="1" applyFill="1" applyAlignment="1">
      <alignment vertical="center"/>
    </xf>
    <xf numFmtId="0" fontId="22" fillId="10" borderId="0" xfId="0" applyFont="1" applyFill="1" applyAlignment="1">
      <alignment horizontal="right" vertical="center"/>
    </xf>
    <xf numFmtId="0" fontId="22" fillId="10" borderId="0" xfId="0" applyFont="1" applyFill="1" applyAlignment="1">
      <alignment horizontal="right" vertical="center" wrapText="1"/>
    </xf>
    <xf numFmtId="10" fontId="15" fillId="8" borderId="64" xfId="5" applyNumberFormat="1" applyFont="1" applyFill="1" applyBorder="1"/>
    <xf numFmtId="9" fontId="15" fillId="2" borderId="0" xfId="0" applyNumberFormat="1" applyFont="1" applyFill="1"/>
    <xf numFmtId="164" fontId="15" fillId="2" borderId="0" xfId="0" applyNumberFormat="1" applyFont="1" applyFill="1"/>
    <xf numFmtId="0" fontId="22" fillId="26" borderId="0" xfId="0" applyFont="1" applyFill="1"/>
    <xf numFmtId="164" fontId="22" fillId="26" borderId="0" xfId="0" applyNumberFormat="1" applyFont="1" applyFill="1"/>
    <xf numFmtId="0" fontId="31" fillId="10" borderId="0" xfId="0" applyFont="1" applyFill="1"/>
    <xf numFmtId="0" fontId="31" fillId="10" borderId="0" xfId="0" applyFont="1" applyFill="1" applyAlignment="1">
      <alignment vertical="center"/>
    </xf>
    <xf numFmtId="0" fontId="25" fillId="2" borderId="20" xfId="0" applyFont="1" applyFill="1" applyBorder="1"/>
    <xf numFmtId="0" fontId="15" fillId="2" borderId="11" xfId="0" applyFont="1" applyFill="1" applyBorder="1"/>
    <xf numFmtId="0" fontId="15" fillId="2" borderId="6" xfId="0" applyFont="1" applyFill="1" applyBorder="1"/>
    <xf numFmtId="0" fontId="25" fillId="26" borderId="0" xfId="0" applyFont="1" applyFill="1"/>
    <xf numFmtId="168" fontId="22" fillId="26" borderId="0" xfId="2" applyNumberFormat="1" applyFont="1" applyFill="1" applyBorder="1"/>
    <xf numFmtId="0" fontId="25" fillId="2" borderId="11" xfId="0" applyFont="1" applyFill="1" applyBorder="1"/>
    <xf numFmtId="0" fontId="25" fillId="2" borderId="6" xfId="0" applyFont="1" applyFill="1" applyBorder="1"/>
    <xf numFmtId="168" fontId="97" fillId="2" borderId="0" xfId="2" applyNumberFormat="1" applyFont="1" applyFill="1" applyBorder="1" applyAlignment="1" applyProtection="1"/>
    <xf numFmtId="0" fontId="97" fillId="2" borderId="0" xfId="0" applyFont="1" applyFill="1"/>
    <xf numFmtId="165" fontId="25" fillId="2" borderId="0" xfId="7" applyNumberFormat="1" applyFont="1" applyFill="1" applyAlignment="1">
      <alignment horizontal="right" vertical="center"/>
    </xf>
    <xf numFmtId="0" fontId="15" fillId="0" borderId="0" xfId="0" applyFont="1"/>
    <xf numFmtId="0" fontId="15" fillId="0" borderId="0" xfId="0" applyFont="1" applyAlignment="1">
      <alignment horizontal="center"/>
    </xf>
    <xf numFmtId="0" fontId="15" fillId="0" borderId="0" xfId="10" applyFont="1"/>
    <xf numFmtId="0" fontId="17" fillId="0" borderId="0" xfId="10" applyFont="1" applyAlignment="1">
      <alignment horizontal="right"/>
    </xf>
    <xf numFmtId="0" fontId="22" fillId="0" borderId="0" xfId="10" applyFont="1" applyAlignment="1">
      <alignment horizontal="right"/>
    </xf>
    <xf numFmtId="0" fontId="17" fillId="2" borderId="0" xfId="10" applyFont="1" applyFill="1" applyAlignment="1">
      <alignment horizontal="right"/>
    </xf>
    <xf numFmtId="0" fontId="17" fillId="2" borderId="2" xfId="10" applyFont="1" applyFill="1" applyBorder="1" applyAlignment="1">
      <alignment horizontal="right"/>
    </xf>
    <xf numFmtId="0" fontId="17" fillId="6" borderId="0" xfId="10" applyFont="1" applyFill="1" applyAlignment="1">
      <alignment horizontal="right"/>
    </xf>
    <xf numFmtId="0" fontId="17" fillId="0" borderId="0" xfId="10" applyFont="1"/>
    <xf numFmtId="0" fontId="17" fillId="2" borderId="4" xfId="10" applyFont="1" applyFill="1" applyBorder="1"/>
    <xf numFmtId="0" fontId="15" fillId="0" borderId="2" xfId="0" applyFont="1" applyBorder="1"/>
    <xf numFmtId="0" fontId="17" fillId="2" borderId="12" xfId="0" applyFont="1" applyFill="1" applyBorder="1"/>
    <xf numFmtId="0" fontId="15" fillId="0" borderId="12" xfId="0" applyFont="1" applyBorder="1"/>
    <xf numFmtId="164" fontId="15" fillId="0" borderId="12" xfId="0" applyNumberFormat="1" applyFont="1" applyBorder="1"/>
    <xf numFmtId="164" fontId="15" fillId="0" borderId="13" xfId="0" applyNumberFormat="1" applyFont="1" applyBorder="1"/>
    <xf numFmtId="164" fontId="15" fillId="0" borderId="0" xfId="0" applyNumberFormat="1" applyFont="1"/>
    <xf numFmtId="43" fontId="15" fillId="0" borderId="0" xfId="0" applyNumberFormat="1" applyFont="1"/>
    <xf numFmtId="188" fontId="15" fillId="0" borderId="0" xfId="0" applyNumberFormat="1" applyFont="1"/>
    <xf numFmtId="182" fontId="15" fillId="0" borderId="0" xfId="0" applyNumberFormat="1" applyFont="1"/>
    <xf numFmtId="182" fontId="15" fillId="0" borderId="2" xfId="0" applyNumberFormat="1" applyFont="1" applyBorder="1"/>
    <xf numFmtId="0" fontId="53" fillId="0" borderId="0" xfId="0" applyFont="1"/>
    <xf numFmtId="0" fontId="55" fillId="0" borderId="0" xfId="0" applyFont="1"/>
    <xf numFmtId="168" fontId="55" fillId="0" borderId="0" xfId="2" applyNumberFormat="1" applyFont="1" applyFill="1" applyBorder="1"/>
    <xf numFmtId="164" fontId="55" fillId="0" borderId="0" xfId="0" applyNumberFormat="1" applyFont="1"/>
    <xf numFmtId="3" fontId="15" fillId="0" borderId="0" xfId="0" applyNumberFormat="1" applyFont="1"/>
    <xf numFmtId="4" fontId="15" fillId="0" borderId="0" xfId="0" applyNumberFormat="1" applyFont="1"/>
    <xf numFmtId="168" fontId="55" fillId="0" borderId="0" xfId="2" applyNumberFormat="1" applyFont="1" applyFill="1" applyBorder="1" applyAlignment="1"/>
    <xf numFmtId="10" fontId="55" fillId="0" borderId="0" xfId="2" applyNumberFormat="1" applyFont="1" applyFill="1" applyBorder="1"/>
    <xf numFmtId="188" fontId="15" fillId="0" borderId="0" xfId="2" applyNumberFormat="1" applyFont="1" applyFill="1" applyBorder="1" applyAlignment="1"/>
    <xf numFmtId="182" fontId="15" fillId="0" borderId="0" xfId="2" applyNumberFormat="1" applyFont="1" applyFill="1" applyBorder="1" applyAlignment="1"/>
    <xf numFmtId="182" fontId="15" fillId="0" borderId="2" xfId="2" applyNumberFormat="1" applyFont="1" applyFill="1" applyBorder="1" applyAlignment="1"/>
    <xf numFmtId="0" fontId="13" fillId="2" borderId="0" xfId="7" applyFont="1" applyFill="1"/>
    <xf numFmtId="3" fontId="55" fillId="0" borderId="0" xfId="0" applyNumberFormat="1" applyFont="1"/>
    <xf numFmtId="3" fontId="55" fillId="2" borderId="0" xfId="0" applyNumberFormat="1" applyFont="1" applyFill="1" applyAlignment="1">
      <alignment horizontal="left" indent="2"/>
    </xf>
    <xf numFmtId="3" fontId="55" fillId="0" borderId="0" xfId="1" applyNumberFormat="1" applyFont="1" applyFill="1" applyBorder="1"/>
    <xf numFmtId="3" fontId="55" fillId="0" borderId="2" xfId="1" applyNumberFormat="1" applyFont="1" applyFill="1" applyBorder="1"/>
    <xf numFmtId="3" fontId="55" fillId="0" borderId="0" xfId="2" applyNumberFormat="1" applyFont="1" applyFill="1" applyBorder="1"/>
    <xf numFmtId="4" fontId="55" fillId="0" borderId="0" xfId="1" applyNumberFormat="1" applyFont="1" applyFill="1" applyBorder="1"/>
    <xf numFmtId="188" fontId="15" fillId="0" borderId="0" xfId="1" applyNumberFormat="1" applyFont="1" applyFill="1" applyBorder="1"/>
    <xf numFmtId="182" fontId="15" fillId="0" borderId="0" xfId="1" applyNumberFormat="1" applyFont="1" applyFill="1" applyBorder="1"/>
    <xf numFmtId="182" fontId="15" fillId="0" borderId="2" xfId="1" applyNumberFormat="1" applyFont="1" applyFill="1" applyBorder="1"/>
    <xf numFmtId="164" fontId="15" fillId="0" borderId="0" xfId="1" applyNumberFormat="1" applyFont="1" applyFill="1" applyBorder="1"/>
    <xf numFmtId="168" fontId="15" fillId="0" borderId="0" xfId="2" applyNumberFormat="1" applyFont="1" applyFill="1" applyBorder="1"/>
    <xf numFmtId="164" fontId="15" fillId="0" borderId="2" xfId="0" applyNumberFormat="1" applyFont="1" applyBorder="1"/>
    <xf numFmtId="43" fontId="15" fillId="0" borderId="12" xfId="0" applyNumberFormat="1" applyFont="1" applyBorder="1"/>
    <xf numFmtId="10" fontId="15" fillId="0" borderId="0" xfId="2" applyNumberFormat="1" applyFont="1" applyFill="1" applyBorder="1"/>
    <xf numFmtId="10" fontId="15" fillId="0" borderId="2" xfId="2" applyNumberFormat="1" applyFont="1" applyFill="1" applyBorder="1"/>
    <xf numFmtId="9" fontId="15" fillId="0" borderId="0" xfId="2" applyFont="1" applyFill="1" applyBorder="1"/>
    <xf numFmtId="188" fontId="15" fillId="0" borderId="0" xfId="2" applyNumberFormat="1" applyFont="1" applyFill="1" applyBorder="1"/>
    <xf numFmtId="182" fontId="15" fillId="0" borderId="0" xfId="2" applyNumberFormat="1" applyFont="1" applyFill="1" applyBorder="1"/>
    <xf numFmtId="182" fontId="15" fillId="0" borderId="2" xfId="2" applyNumberFormat="1" applyFont="1" applyFill="1" applyBorder="1"/>
    <xf numFmtId="168" fontId="15" fillId="0" borderId="2" xfId="2" applyNumberFormat="1" applyFont="1" applyFill="1" applyBorder="1"/>
    <xf numFmtId="168" fontId="15" fillId="0" borderId="12" xfId="2" applyNumberFormat="1" applyFont="1" applyFill="1" applyBorder="1"/>
    <xf numFmtId="168" fontId="15" fillId="0" borderId="13" xfId="2" applyNumberFormat="1" applyFont="1" applyFill="1" applyBorder="1"/>
    <xf numFmtId="170" fontId="15" fillId="0" borderId="0" xfId="2" applyNumberFormat="1" applyFont="1" applyFill="1" applyBorder="1"/>
    <xf numFmtId="181" fontId="15" fillId="0" borderId="0" xfId="4" applyNumberFormat="1" applyFont="1" applyFill="1" applyBorder="1"/>
    <xf numFmtId="182" fontId="15" fillId="0" borderId="0" xfId="4" applyNumberFormat="1" applyFont="1" applyFill="1" applyBorder="1"/>
    <xf numFmtId="182" fontId="15" fillId="0" borderId="2" xfId="4" applyNumberFormat="1" applyFont="1" applyFill="1" applyBorder="1"/>
    <xf numFmtId="189" fontId="15" fillId="0" borderId="0" xfId="4" applyNumberFormat="1" applyFont="1" applyFill="1" applyBorder="1"/>
    <xf numFmtId="181" fontId="15" fillId="0" borderId="0" xfId="1" applyNumberFormat="1" applyFont="1" applyFill="1" applyBorder="1"/>
    <xf numFmtId="170" fontId="15" fillId="0" borderId="0" xfId="1" applyNumberFormat="1" applyFont="1" applyFill="1" applyBorder="1"/>
    <xf numFmtId="164" fontId="15" fillId="0" borderId="0" xfId="2" applyNumberFormat="1" applyFont="1" applyFill="1" applyBorder="1"/>
    <xf numFmtId="181" fontId="15" fillId="0" borderId="0" xfId="2" applyNumberFormat="1" applyFont="1" applyFill="1" applyBorder="1"/>
    <xf numFmtId="168" fontId="16" fillId="2" borderId="0" xfId="2" applyNumberFormat="1" applyFont="1" applyFill="1" applyBorder="1"/>
    <xf numFmtId="164" fontId="15" fillId="0" borderId="0" xfId="4" applyNumberFormat="1" applyFont="1" applyFill="1" applyBorder="1"/>
    <xf numFmtId="0" fontId="10" fillId="2" borderId="0" xfId="0" applyFont="1" applyFill="1" applyAlignment="1">
      <alignment horizontal="left" indent="3"/>
    </xf>
    <xf numFmtId="188" fontId="15" fillId="2" borderId="0" xfId="1" applyNumberFormat="1" applyFont="1" applyFill="1" applyBorder="1"/>
    <xf numFmtId="0" fontId="10" fillId="2" borderId="11" xfId="0" applyFont="1" applyFill="1" applyBorder="1" applyAlignment="1">
      <alignment horizontal="left" indent="3"/>
    </xf>
    <xf numFmtId="0" fontId="15" fillId="0" borderId="11" xfId="0" applyFont="1" applyBorder="1"/>
    <xf numFmtId="188" fontId="15" fillId="0" borderId="11" xfId="1" applyNumberFormat="1" applyFont="1" applyFill="1" applyBorder="1"/>
    <xf numFmtId="188" fontId="15" fillId="0" borderId="6" xfId="1" applyNumberFormat="1" applyFont="1" applyFill="1" applyBorder="1"/>
    <xf numFmtId="164" fontId="15" fillId="0" borderId="11" xfId="1" applyNumberFormat="1" applyFont="1" applyFill="1" applyBorder="1"/>
    <xf numFmtId="188" fontId="15" fillId="0" borderId="2" xfId="1" applyNumberFormat="1" applyFont="1" applyFill="1" applyBorder="1"/>
    <xf numFmtId="182" fontId="15" fillId="0" borderId="11" xfId="1" applyNumberFormat="1" applyFont="1" applyFill="1" applyBorder="1"/>
    <xf numFmtId="182" fontId="15" fillId="0" borderId="6" xfId="1" applyNumberFormat="1" applyFont="1" applyFill="1" applyBorder="1"/>
    <xf numFmtId="182" fontId="15" fillId="16" borderId="0" xfId="1" applyNumberFormat="1" applyFont="1" applyFill="1" applyBorder="1"/>
    <xf numFmtId="182" fontId="15" fillId="16" borderId="2" xfId="1" applyNumberFormat="1" applyFont="1" applyFill="1" applyBorder="1"/>
    <xf numFmtId="0" fontId="16" fillId="0" borderId="0" xfId="0" applyFont="1"/>
    <xf numFmtId="168" fontId="16" fillId="0" borderId="0" xfId="2" applyNumberFormat="1" applyFont="1" applyFill="1" applyBorder="1"/>
    <xf numFmtId="10" fontId="16" fillId="0" borderId="0" xfId="2" applyNumberFormat="1" applyFont="1" applyFill="1" applyBorder="1"/>
    <xf numFmtId="170" fontId="79" fillId="2" borderId="0" xfId="1" applyNumberFormat="1" applyFont="1" applyFill="1" applyBorder="1" applyAlignment="1">
      <alignment wrapText="1"/>
    </xf>
    <xf numFmtId="43" fontId="31" fillId="2" borderId="0" xfId="7" applyNumberFormat="1" applyFont="1" applyFill="1" applyAlignment="1">
      <alignment horizontal="right" vertical="center"/>
    </xf>
    <xf numFmtId="9" fontId="31" fillId="2" borderId="0" xfId="2" applyFont="1" applyFill="1" applyAlignment="1">
      <alignment horizontal="right" vertical="center"/>
    </xf>
    <xf numFmtId="10" fontId="15" fillId="2" borderId="2" xfId="7" applyNumberFormat="1" applyFont="1" applyFill="1" applyBorder="1" applyAlignment="1">
      <alignment vertical="center"/>
    </xf>
    <xf numFmtId="170" fontId="31" fillId="0" borderId="0" xfId="1" applyNumberFormat="1" applyFont="1" applyFill="1" applyBorder="1"/>
    <xf numFmtId="168" fontId="31" fillId="0" borderId="0" xfId="2" applyNumberFormat="1" applyFont="1" applyFill="1" applyBorder="1"/>
    <xf numFmtId="168" fontId="31" fillId="2" borderId="0" xfId="2" applyNumberFormat="1" applyFont="1" applyFill="1" applyBorder="1"/>
    <xf numFmtId="0" fontId="105" fillId="2" borderId="0" xfId="0" applyFont="1" applyFill="1"/>
    <xf numFmtId="0" fontId="105" fillId="0" borderId="0" xfId="0" applyFont="1"/>
    <xf numFmtId="0" fontId="106" fillId="0" borderId="12" xfId="0" applyFont="1" applyBorder="1"/>
    <xf numFmtId="0" fontId="107" fillId="2" borderId="0" xfId="0" applyFont="1" applyFill="1"/>
    <xf numFmtId="9" fontId="105" fillId="0" borderId="0" xfId="2" applyFont="1" applyFill="1" applyBorder="1"/>
    <xf numFmtId="168" fontId="105" fillId="0" borderId="0" xfId="2" applyNumberFormat="1" applyFont="1" applyFill="1" applyBorder="1"/>
    <xf numFmtId="10" fontId="105" fillId="0" borderId="0" xfId="2" applyNumberFormat="1" applyFont="1" applyFill="1" applyBorder="1"/>
    <xf numFmtId="10" fontId="105" fillId="0" borderId="2" xfId="2" applyNumberFormat="1" applyFont="1" applyFill="1" applyBorder="1"/>
    <xf numFmtId="0" fontId="105" fillId="0" borderId="12" xfId="0" applyFont="1" applyBorder="1"/>
    <xf numFmtId="168" fontId="105" fillId="0" borderId="12" xfId="2" applyNumberFormat="1" applyFont="1" applyFill="1" applyBorder="1"/>
    <xf numFmtId="168" fontId="105" fillId="0" borderId="13" xfId="2" applyNumberFormat="1" applyFont="1" applyFill="1" applyBorder="1"/>
    <xf numFmtId="188" fontId="15" fillId="35" borderId="0" xfId="1" applyNumberFormat="1" applyFont="1" applyFill="1"/>
    <xf numFmtId="188" fontId="15" fillId="35" borderId="0" xfId="1" applyNumberFormat="1" applyFont="1" applyFill="1" applyBorder="1"/>
    <xf numFmtId="188" fontId="15" fillId="35" borderId="2" xfId="1" applyNumberFormat="1" applyFont="1" applyFill="1" applyBorder="1"/>
    <xf numFmtId="188" fontId="15" fillId="0" borderId="11" xfId="1" applyNumberFormat="1" applyFont="1" applyBorder="1"/>
    <xf numFmtId="188" fontId="15" fillId="0" borderId="6" xfId="1" applyNumberFormat="1" applyFont="1" applyBorder="1"/>
    <xf numFmtId="182" fontId="15" fillId="0" borderId="0" xfId="1" applyNumberFormat="1" applyFont="1"/>
    <xf numFmtId="182" fontId="15" fillId="0" borderId="2" xfId="1" applyNumberFormat="1" applyFont="1" applyBorder="1"/>
    <xf numFmtId="43" fontId="15" fillId="0" borderId="2" xfId="0" applyNumberFormat="1" applyFont="1" applyBorder="1"/>
    <xf numFmtId="10" fontId="55" fillId="0" borderId="2" xfId="2" applyNumberFormat="1" applyFont="1" applyFill="1" applyBorder="1"/>
    <xf numFmtId="4" fontId="15" fillId="0" borderId="2" xfId="0" applyNumberFormat="1" applyFont="1" applyBorder="1"/>
    <xf numFmtId="188" fontId="15" fillId="0" borderId="2" xfId="2" applyNumberFormat="1" applyFont="1" applyFill="1" applyBorder="1"/>
    <xf numFmtId="168" fontId="105" fillId="0" borderId="2" xfId="2" applyNumberFormat="1" applyFont="1" applyFill="1" applyBorder="1"/>
    <xf numFmtId="167" fontId="25" fillId="6" borderId="0" xfId="0" applyNumberFormat="1" applyFont="1" applyFill="1"/>
    <xf numFmtId="0" fontId="55" fillId="2" borderId="0" xfId="0" quotePrefix="1" applyFont="1" applyFill="1" applyAlignment="1">
      <alignment horizontal="left" indent="2"/>
    </xf>
    <xf numFmtId="0" fontId="58" fillId="2" borderId="0" xfId="0" quotePrefix="1" applyFont="1" applyFill="1" applyAlignment="1">
      <alignment horizontal="left" indent="4"/>
    </xf>
    <xf numFmtId="4" fontId="58" fillId="2" borderId="0" xfId="1" applyNumberFormat="1" applyFont="1" applyFill="1" applyBorder="1"/>
    <xf numFmtId="4" fontId="58" fillId="2" borderId="2" xfId="1" applyNumberFormat="1" applyFont="1" applyFill="1" applyBorder="1"/>
    <xf numFmtId="0" fontId="27" fillId="2" borderId="31" xfId="0" applyFont="1" applyFill="1" applyBorder="1" applyAlignment="1">
      <alignment horizontal="left"/>
    </xf>
    <xf numFmtId="172" fontId="27" fillId="2" borderId="31" xfId="0" applyNumberFormat="1" applyFont="1" applyFill="1" applyBorder="1"/>
    <xf numFmtId="3" fontId="27" fillId="2" borderId="31" xfId="0" applyNumberFormat="1" applyFont="1" applyFill="1" applyBorder="1"/>
    <xf numFmtId="4" fontId="27" fillId="2" borderId="31" xfId="1" applyNumberFormat="1" applyFont="1" applyFill="1" applyBorder="1"/>
    <xf numFmtId="164" fontId="15" fillId="2" borderId="11" xfId="1" applyNumberFormat="1" applyFont="1" applyFill="1" applyBorder="1"/>
    <xf numFmtId="4" fontId="55" fillId="2" borderId="8" xfId="1" applyNumberFormat="1" applyFont="1" applyFill="1" applyBorder="1"/>
    <xf numFmtId="0" fontId="39" fillId="2" borderId="0" xfId="3" applyFill="1"/>
    <xf numFmtId="0" fontId="15" fillId="2" borderId="2" xfId="0" quotePrefix="1" applyFont="1" applyFill="1" applyBorder="1"/>
    <xf numFmtId="0" fontId="15" fillId="2" borderId="0" xfId="0" quotePrefix="1" applyFont="1" applyFill="1"/>
    <xf numFmtId="4" fontId="27" fillId="6" borderId="31" xfId="1" applyNumberFormat="1" applyFont="1" applyFill="1" applyBorder="1"/>
    <xf numFmtId="0" fontId="108" fillId="2" borderId="0" xfId="0" applyFont="1" applyFill="1"/>
    <xf numFmtId="0" fontId="109" fillId="2" borderId="3" xfId="0" applyFont="1" applyFill="1" applyBorder="1"/>
    <xf numFmtId="0" fontId="109" fillId="2" borderId="9" xfId="0" applyFont="1" applyFill="1" applyBorder="1"/>
    <xf numFmtId="0" fontId="109" fillId="6" borderId="3" xfId="0" applyFont="1" applyFill="1" applyBorder="1"/>
    <xf numFmtId="0" fontId="108" fillId="0" borderId="0" xfId="10" applyFont="1"/>
    <xf numFmtId="0" fontId="110" fillId="0" borderId="0" xfId="10" applyFont="1" applyAlignment="1">
      <alignment horizontal="right"/>
    </xf>
    <xf numFmtId="0" fontId="111" fillId="0" borderId="0" xfId="10" applyFont="1" applyAlignment="1">
      <alignment horizontal="right"/>
    </xf>
    <xf numFmtId="0" fontId="111" fillId="2" borderId="0" xfId="10" applyFont="1" applyFill="1" applyAlignment="1">
      <alignment horizontal="right"/>
    </xf>
    <xf numFmtId="0" fontId="111" fillId="2" borderId="2" xfId="10" applyFont="1" applyFill="1" applyBorder="1" applyAlignment="1">
      <alignment horizontal="right"/>
    </xf>
    <xf numFmtId="0" fontId="111" fillId="6" borderId="0" xfId="10" applyFont="1" applyFill="1" applyAlignment="1">
      <alignment horizontal="right"/>
    </xf>
    <xf numFmtId="0" fontId="111" fillId="2" borderId="4" xfId="10" applyFont="1" applyFill="1" applyBorder="1"/>
    <xf numFmtId="165" fontId="112" fillId="11" borderId="4" xfId="0" applyNumberFormat="1" applyFont="1" applyFill="1" applyBorder="1" applyAlignment="1">
      <alignment vertical="center"/>
    </xf>
    <xf numFmtId="165" fontId="112" fillId="2" borderId="27" xfId="0" applyNumberFormat="1" applyFont="1" applyFill="1" applyBorder="1"/>
    <xf numFmtId="165" fontId="111" fillId="2" borderId="4" xfId="10" applyNumberFormat="1" applyFont="1" applyFill="1" applyBorder="1"/>
    <xf numFmtId="165" fontId="111" fillId="6" borderId="4" xfId="10" applyNumberFormat="1" applyFont="1" applyFill="1" applyBorder="1"/>
    <xf numFmtId="0" fontId="111" fillId="0" borderId="0" xfId="10" applyFont="1"/>
    <xf numFmtId="0" fontId="108" fillId="0" borderId="0" xfId="0" applyFont="1"/>
    <xf numFmtId="0" fontId="108" fillId="0" borderId="29" xfId="0" applyFont="1" applyBorder="1"/>
    <xf numFmtId="0" fontId="108" fillId="0" borderId="10" xfId="0" applyFont="1" applyBorder="1"/>
    <xf numFmtId="168" fontId="108" fillId="0" borderId="0" xfId="2" applyNumberFormat="1" applyFont="1" applyFill="1" applyBorder="1"/>
    <xf numFmtId="10" fontId="108" fillId="0" borderId="0" xfId="2" applyNumberFormat="1" applyFont="1" applyFill="1" applyBorder="1"/>
    <xf numFmtId="10" fontId="108" fillId="0" borderId="2" xfId="2" applyNumberFormat="1" applyFont="1" applyFill="1" applyBorder="1"/>
    <xf numFmtId="0" fontId="111" fillId="0" borderId="7" xfId="0" applyFont="1" applyBorder="1"/>
    <xf numFmtId="168" fontId="111" fillId="0" borderId="7" xfId="2" applyNumberFormat="1" applyFont="1" applyFill="1" applyBorder="1"/>
    <xf numFmtId="10" fontId="111" fillId="0" borderId="7" xfId="2" applyNumberFormat="1" applyFont="1" applyFill="1" applyBorder="1"/>
    <xf numFmtId="10" fontId="111" fillId="0" borderId="8" xfId="2" applyNumberFormat="1" applyFont="1" applyFill="1" applyBorder="1"/>
    <xf numFmtId="0" fontId="111" fillId="0" borderId="0" xfId="0" applyFont="1"/>
    <xf numFmtId="168" fontId="108" fillId="0" borderId="2" xfId="2" applyNumberFormat="1" applyFont="1" applyFill="1" applyBorder="1"/>
    <xf numFmtId="10" fontId="111" fillId="0" borderId="0" xfId="2" applyNumberFormat="1" applyFont="1" applyFill="1" applyBorder="1"/>
    <xf numFmtId="10" fontId="111" fillId="0" borderId="2" xfId="2" applyNumberFormat="1" applyFont="1" applyFill="1" applyBorder="1"/>
    <xf numFmtId="0" fontId="111" fillId="0" borderId="17" xfId="0" applyFont="1" applyBorder="1"/>
    <xf numFmtId="168" fontId="111" fillId="0" borderId="17" xfId="2" applyNumberFormat="1" applyFont="1" applyFill="1" applyBorder="1"/>
    <xf numFmtId="10" fontId="111" fillId="0" borderId="17" xfId="2" applyNumberFormat="1" applyFont="1" applyFill="1" applyBorder="1"/>
    <xf numFmtId="10" fontId="111" fillId="0" borderId="32" xfId="2" applyNumberFormat="1" applyFont="1" applyFill="1" applyBorder="1"/>
    <xf numFmtId="168" fontId="108" fillId="0" borderId="31" xfId="2" applyNumberFormat="1" applyFont="1" applyFill="1" applyBorder="1"/>
    <xf numFmtId="0" fontId="108" fillId="0" borderId="2" xfId="0" applyFont="1" applyBorder="1"/>
    <xf numFmtId="0" fontId="113" fillId="2" borderId="0" xfId="0" applyFont="1" applyFill="1"/>
    <xf numFmtId="0" fontId="111" fillId="0" borderId="2" xfId="10" applyFont="1" applyBorder="1" applyAlignment="1">
      <alignment horizontal="right"/>
    </xf>
    <xf numFmtId="0" fontId="110" fillId="10" borderId="4" xfId="10" applyFont="1" applyFill="1" applyBorder="1"/>
    <xf numFmtId="0" fontId="111" fillId="10" borderId="4" xfId="10" applyFont="1" applyFill="1" applyBorder="1"/>
    <xf numFmtId="165" fontId="111" fillId="0" borderId="4" xfId="10" applyNumberFormat="1" applyFont="1" applyBorder="1"/>
    <xf numFmtId="165" fontId="111" fillId="0" borderId="5" xfId="10" applyNumberFormat="1" applyFont="1" applyBorder="1"/>
    <xf numFmtId="0" fontId="111" fillId="0" borderId="10" xfId="0" applyFont="1" applyBorder="1"/>
    <xf numFmtId="168" fontId="111" fillId="0" borderId="0" xfId="2" applyNumberFormat="1" applyFont="1" applyFill="1" applyBorder="1"/>
    <xf numFmtId="168" fontId="111" fillId="0" borderId="2" xfId="2" applyNumberFormat="1" applyFont="1" applyFill="1" applyBorder="1"/>
    <xf numFmtId="0" fontId="108" fillId="0" borderId="11" xfId="0" applyFont="1" applyBorder="1"/>
    <xf numFmtId="168" fontId="108" fillId="0" borderId="11" xfId="2" applyNumberFormat="1" applyFont="1" applyFill="1" applyBorder="1"/>
    <xf numFmtId="10" fontId="108" fillId="0" borderId="11" xfId="2" applyNumberFormat="1" applyFont="1" applyFill="1" applyBorder="1"/>
    <xf numFmtId="10" fontId="108" fillId="0" borderId="6" xfId="2" applyNumberFormat="1" applyFont="1" applyFill="1" applyBorder="1"/>
    <xf numFmtId="0" fontId="112" fillId="0" borderId="0" xfId="0" applyFont="1"/>
    <xf numFmtId="168" fontId="108" fillId="0" borderId="33" xfId="2" applyNumberFormat="1" applyFont="1" applyFill="1" applyBorder="1"/>
    <xf numFmtId="0" fontId="111" fillId="0" borderId="33" xfId="0" applyFont="1" applyBorder="1"/>
    <xf numFmtId="168" fontId="111" fillId="0" borderId="33" xfId="2" applyNumberFormat="1" applyFont="1" applyFill="1" applyBorder="1"/>
    <xf numFmtId="10" fontId="111" fillId="0" borderId="33" xfId="2" applyNumberFormat="1" applyFont="1" applyFill="1" applyBorder="1"/>
    <xf numFmtId="10" fontId="111" fillId="0" borderId="34" xfId="2" applyNumberFormat="1" applyFont="1" applyFill="1" applyBorder="1"/>
    <xf numFmtId="0" fontId="108" fillId="0" borderId="31" xfId="0" applyFont="1" applyBorder="1"/>
    <xf numFmtId="10" fontId="108" fillId="36" borderId="0" xfId="2" applyNumberFormat="1" applyFont="1" applyFill="1" applyBorder="1"/>
    <xf numFmtId="10" fontId="111" fillId="36" borderId="7" xfId="2" applyNumberFormat="1" applyFont="1" applyFill="1" applyBorder="1"/>
    <xf numFmtId="168" fontId="108" fillId="36" borderId="0" xfId="2" applyNumberFormat="1" applyFont="1" applyFill="1" applyBorder="1"/>
    <xf numFmtId="0" fontId="108" fillId="36" borderId="0" xfId="0" applyFont="1" applyFill="1"/>
    <xf numFmtId="10" fontId="111" fillId="36" borderId="0" xfId="2" applyNumberFormat="1" applyFont="1" applyFill="1" applyBorder="1"/>
    <xf numFmtId="10" fontId="111" fillId="36" borderId="17" xfId="2" applyNumberFormat="1" applyFont="1" applyFill="1" applyBorder="1"/>
    <xf numFmtId="165" fontId="111" fillId="36" borderId="4" xfId="10" applyNumberFormat="1" applyFont="1" applyFill="1" applyBorder="1"/>
    <xf numFmtId="10" fontId="108" fillId="36" borderId="11" xfId="2" applyNumberFormat="1" applyFont="1" applyFill="1" applyBorder="1"/>
    <xf numFmtId="10" fontId="111" fillId="36" borderId="33" xfId="2" applyNumberFormat="1" applyFont="1" applyFill="1" applyBorder="1"/>
    <xf numFmtId="0" fontId="16" fillId="37" borderId="0" xfId="0" applyFont="1" applyFill="1" applyAlignment="1">
      <alignment vertical="center"/>
    </xf>
    <xf numFmtId="0" fontId="16" fillId="37" borderId="0" xfId="0" applyFont="1" applyFill="1" applyAlignment="1">
      <alignment horizontal="right" vertical="center"/>
    </xf>
    <xf numFmtId="2" fontId="15" fillId="2" borderId="7" xfId="0" applyNumberFormat="1" applyFont="1" applyFill="1" applyBorder="1" applyAlignment="1">
      <alignment horizontal="right" vertical="center"/>
    </xf>
    <xf numFmtId="0" fontId="114" fillId="2" borderId="7" xfId="0" applyFont="1" applyFill="1" applyBorder="1"/>
    <xf numFmtId="3" fontId="114" fillId="2" borderId="7" xfId="0" applyNumberFormat="1" applyFont="1" applyFill="1" applyBorder="1"/>
    <xf numFmtId="166" fontId="15" fillId="0" borderId="0" xfId="0" applyNumberFormat="1" applyFont="1"/>
    <xf numFmtId="166" fontId="20" fillId="0" borderId="0" xfId="0" applyNumberFormat="1" applyFont="1"/>
    <xf numFmtId="166" fontId="15" fillId="0" borderId="7" xfId="0" applyNumberFormat="1" applyFont="1" applyBorder="1"/>
    <xf numFmtId="10" fontId="24" fillId="2" borderId="0" xfId="2" applyNumberFormat="1" applyFont="1" applyFill="1" applyBorder="1" applyAlignment="1">
      <alignment vertical="center"/>
    </xf>
    <xf numFmtId="10" fontId="24" fillId="2" borderId="2" xfId="2" applyNumberFormat="1" applyFont="1" applyFill="1" applyBorder="1" applyAlignment="1">
      <alignment vertical="center"/>
    </xf>
    <xf numFmtId="10" fontId="24" fillId="6" borderId="0" xfId="2" applyNumberFormat="1" applyFont="1" applyFill="1" applyBorder="1" applyAlignment="1">
      <alignment vertical="center"/>
    </xf>
    <xf numFmtId="4" fontId="27" fillId="23" borderId="0" xfId="1" applyNumberFormat="1" applyFont="1" applyFill="1" applyBorder="1"/>
    <xf numFmtId="49" fontId="4" fillId="35" borderId="1" xfId="0" applyNumberFormat="1" applyFont="1" applyFill="1" applyBorder="1"/>
    <xf numFmtId="4" fontId="4" fillId="35" borderId="1" xfId="0" applyNumberFormat="1" applyFont="1" applyFill="1" applyBorder="1"/>
    <xf numFmtId="0" fontId="2" fillId="35" borderId="0" xfId="0" applyFont="1" applyFill="1"/>
    <xf numFmtId="0" fontId="15" fillId="9" borderId="0" xfId="0" applyFont="1" applyFill="1"/>
    <xf numFmtId="0" fontId="15" fillId="9" borderId="0" xfId="0" applyFont="1" applyFill="1" applyAlignment="1">
      <alignment horizontal="left"/>
    </xf>
    <xf numFmtId="0" fontId="15" fillId="6" borderId="0" xfId="0" applyFont="1" applyFill="1" applyAlignment="1">
      <alignment horizontal="left"/>
    </xf>
    <xf numFmtId="0" fontId="94" fillId="36" borderId="0" xfId="0" quotePrefix="1" applyFont="1" applyFill="1" applyAlignment="1">
      <alignment horizontal="left" indent="2"/>
    </xf>
    <xf numFmtId="0" fontId="58" fillId="36" borderId="0" xfId="0" quotePrefix="1" applyFont="1" applyFill="1" applyAlignment="1">
      <alignment horizontal="left" indent="4"/>
    </xf>
    <xf numFmtId="0" fontId="17" fillId="6" borderId="0" xfId="0" applyFont="1" applyFill="1" applyAlignment="1">
      <alignment horizontal="left"/>
    </xf>
    <xf numFmtId="0" fontId="17" fillId="6" borderId="33" xfId="0" applyFont="1" applyFill="1" applyBorder="1" applyAlignment="1">
      <alignment horizontal="left"/>
    </xf>
    <xf numFmtId="0" fontId="15" fillId="6" borderId="0" xfId="0" applyFont="1" applyFill="1"/>
    <xf numFmtId="0" fontId="55" fillId="6" borderId="0" xfId="0" applyFont="1" applyFill="1" applyAlignment="1">
      <alignment horizontal="left" indent="2"/>
    </xf>
    <xf numFmtId="0" fontId="17" fillId="6" borderId="33" xfId="0" applyFont="1" applyFill="1" applyBorder="1"/>
    <xf numFmtId="0" fontId="17" fillId="6" borderId="4" xfId="0" applyFont="1" applyFill="1" applyBorder="1"/>
    <xf numFmtId="0" fontId="15" fillId="6" borderId="0" xfId="1" applyNumberFormat="1" applyFont="1" applyFill="1" applyBorder="1" applyAlignment="1">
      <alignment vertical="center"/>
    </xf>
    <xf numFmtId="0" fontId="16" fillId="5" borderId="0" xfId="0" applyFont="1" applyFill="1" applyAlignment="1">
      <alignment horizontal="center"/>
    </xf>
    <xf numFmtId="0" fontId="16" fillId="5" borderId="2" xfId="0" applyFont="1" applyFill="1" applyBorder="1" applyAlignment="1">
      <alignment horizontal="center"/>
    </xf>
    <xf numFmtId="0" fontId="42" fillId="16" borderId="0" xfId="0" applyFont="1" applyFill="1" applyAlignment="1">
      <alignment horizontal="center" vertical="center"/>
    </xf>
    <xf numFmtId="0" fontId="4" fillId="0" borderId="1" xfId="0" applyFont="1" applyBorder="1" applyAlignment="1">
      <alignment horizontal="right" vertical="center"/>
    </xf>
    <xf numFmtId="3" fontId="41" fillId="19" borderId="15" xfId="0" applyNumberFormat="1" applyFont="1" applyFill="1" applyBorder="1" applyAlignment="1">
      <alignment horizontal="left" vertical="center" wrapText="1"/>
    </xf>
    <xf numFmtId="3" fontId="41" fillId="19" borderId="0" xfId="0" applyNumberFormat="1" applyFont="1" applyFill="1" applyAlignment="1">
      <alignment horizontal="left" vertical="center" wrapText="1"/>
    </xf>
    <xf numFmtId="173" fontId="63" fillId="5" borderId="15" xfId="0" applyNumberFormat="1" applyFont="1" applyFill="1" applyBorder="1" applyAlignment="1">
      <alignment horizontal="center"/>
    </xf>
    <xf numFmtId="173" fontId="63" fillId="5" borderId="0" xfId="0" applyNumberFormat="1" applyFont="1" applyFill="1" applyAlignment="1">
      <alignment horizontal="center"/>
    </xf>
    <xf numFmtId="168" fontId="66" fillId="5" borderId="0" xfId="2" applyNumberFormat="1" applyFont="1" applyFill="1" applyBorder="1" applyAlignment="1">
      <alignment horizontal="center"/>
    </xf>
    <xf numFmtId="168" fontId="66" fillId="5" borderId="2" xfId="2" applyNumberFormat="1" applyFont="1" applyFill="1" applyBorder="1" applyAlignment="1">
      <alignment horizontal="center"/>
    </xf>
    <xf numFmtId="0" fontId="16" fillId="24" borderId="0" xfId="0" applyFont="1" applyFill="1" applyAlignment="1">
      <alignment horizontal="center"/>
    </xf>
    <xf numFmtId="1" fontId="16" fillId="24" borderId="0" xfId="2" applyNumberFormat="1" applyFont="1" applyFill="1" applyBorder="1" applyAlignment="1">
      <alignment horizontal="center" vertical="center"/>
    </xf>
    <xf numFmtId="164" fontId="15" fillId="2" borderId="0" xfId="1" applyNumberFormat="1" applyFont="1" applyFill="1" applyBorder="1" applyAlignment="1">
      <alignment horizontal="left" vertical="top" wrapText="1"/>
    </xf>
    <xf numFmtId="165" fontId="35" fillId="2" borderId="29" xfId="0" applyNumberFormat="1" applyFont="1" applyFill="1" applyBorder="1" applyAlignment="1">
      <alignment horizontal="center"/>
    </xf>
    <xf numFmtId="170" fontId="35" fillId="2" borderId="0" xfId="1" applyNumberFormat="1" applyFont="1" applyFill="1" applyBorder="1" applyAlignment="1">
      <alignment horizontal="center" vertical="center"/>
    </xf>
    <xf numFmtId="43" fontId="15" fillId="2" borderId="0" xfId="1" applyFont="1" applyFill="1" applyBorder="1" applyAlignment="1">
      <alignment vertical="top" wrapText="1"/>
    </xf>
    <xf numFmtId="180" fontId="16" fillId="12" borderId="0" xfId="1" applyNumberFormat="1" applyFont="1" applyFill="1" applyBorder="1" applyAlignment="1">
      <alignment horizontal="center" vertical="center"/>
    </xf>
    <xf numFmtId="43" fontId="15" fillId="2" borderId="0" xfId="1" applyFont="1" applyFill="1" applyBorder="1" applyAlignment="1">
      <alignment horizontal="left" vertical="top" wrapText="1"/>
    </xf>
    <xf numFmtId="170" fontId="66" fillId="5" borderId="14" xfId="1" applyNumberFormat="1" applyFont="1" applyFill="1" applyBorder="1" applyAlignment="1">
      <alignment horizontal="center" wrapText="1"/>
    </xf>
    <xf numFmtId="170" fontId="66" fillId="5" borderId="14" xfId="1" applyNumberFormat="1" applyFont="1" applyFill="1" applyBorder="1" applyAlignment="1">
      <alignment horizontal="center"/>
    </xf>
    <xf numFmtId="170" fontId="66" fillId="5" borderId="0" xfId="1" applyNumberFormat="1" applyFont="1" applyFill="1" applyBorder="1" applyAlignment="1">
      <alignment horizontal="center"/>
    </xf>
    <xf numFmtId="0" fontId="62" fillId="2" borderId="45" xfId="0" applyFont="1" applyFill="1" applyBorder="1" applyAlignment="1">
      <alignment horizontal="center"/>
    </xf>
    <xf numFmtId="0" fontId="62" fillId="2" borderId="11" xfId="0" applyFont="1" applyFill="1" applyBorder="1" applyAlignment="1">
      <alignment horizontal="center"/>
    </xf>
    <xf numFmtId="0" fontId="63" fillId="2" borderId="11" xfId="0" applyFont="1" applyFill="1" applyBorder="1" applyAlignment="1">
      <alignment horizontal="center"/>
    </xf>
    <xf numFmtId="0" fontId="62" fillId="6" borderId="45" xfId="0" applyFont="1" applyFill="1" applyBorder="1" applyAlignment="1">
      <alignment horizontal="center"/>
    </xf>
    <xf numFmtId="0" fontId="62" fillId="6" borderId="46" xfId="0" applyFont="1" applyFill="1" applyBorder="1" applyAlignment="1">
      <alignment horizontal="center"/>
    </xf>
    <xf numFmtId="0" fontId="15" fillId="2" borderId="0" xfId="2" applyNumberFormat="1" applyFont="1" applyFill="1" applyBorder="1" applyAlignment="1">
      <alignment horizontal="left" vertical="center"/>
    </xf>
    <xf numFmtId="0" fontId="15" fillId="2" borderId="11" xfId="2" applyNumberFormat="1" applyFont="1" applyFill="1" applyBorder="1" applyAlignment="1">
      <alignment horizontal="left" vertical="center"/>
    </xf>
    <xf numFmtId="0" fontId="15" fillId="2" borderId="0" xfId="1" applyNumberFormat="1" applyFont="1" applyFill="1" applyBorder="1" applyAlignment="1">
      <alignment horizontal="left" vertical="center" wrapText="1"/>
    </xf>
    <xf numFmtId="0" fontId="15" fillId="2" borderId="11" xfId="1" applyNumberFormat="1" applyFont="1" applyFill="1" applyBorder="1" applyAlignment="1">
      <alignment horizontal="left" vertical="center" wrapText="1"/>
    </xf>
    <xf numFmtId="0" fontId="15" fillId="2" borderId="0" xfId="0" applyFont="1" applyFill="1" applyAlignment="1">
      <alignment horizontal="left" vertical="center" wrapText="1"/>
    </xf>
    <xf numFmtId="167" fontId="17" fillId="9" borderId="0" xfId="0" applyNumberFormat="1" applyFont="1" applyFill="1" applyAlignment="1">
      <alignment horizontal="center" vertical="center"/>
    </xf>
    <xf numFmtId="167" fontId="17" fillId="9" borderId="11" xfId="0" applyNumberFormat="1" applyFont="1" applyFill="1" applyBorder="1" applyAlignment="1">
      <alignment horizontal="center" vertical="center"/>
    </xf>
    <xf numFmtId="0" fontId="30" fillId="2" borderId="0" xfId="0" applyFont="1" applyFill="1" applyAlignment="1">
      <alignment horizontal="center" vertical="center"/>
    </xf>
    <xf numFmtId="0" fontId="30" fillId="2" borderId="27" xfId="0" applyFont="1" applyFill="1" applyBorder="1" applyAlignment="1">
      <alignment horizontal="center" vertical="center"/>
    </xf>
    <xf numFmtId="0" fontId="22" fillId="10" borderId="0" xfId="0" applyFont="1" applyFill="1" applyAlignment="1">
      <alignment horizontal="center" vertical="center"/>
    </xf>
    <xf numFmtId="0" fontId="22" fillId="10" borderId="12" xfId="0" applyFont="1" applyFill="1" applyBorder="1" applyAlignment="1">
      <alignment horizontal="center" vertical="center"/>
    </xf>
    <xf numFmtId="0" fontId="22" fillId="10" borderId="27" xfId="0" applyFont="1" applyFill="1" applyBorder="1" applyAlignment="1">
      <alignment horizontal="center" vertical="center"/>
    </xf>
    <xf numFmtId="0" fontId="88" fillId="2" borderId="4" xfId="0" applyFont="1" applyFill="1" applyBorder="1" applyAlignment="1">
      <alignment horizontal="center"/>
    </xf>
    <xf numFmtId="0" fontId="88" fillId="2" borderId="0" xfId="0" applyFont="1" applyFill="1" applyAlignment="1">
      <alignment horizontal="center"/>
    </xf>
    <xf numFmtId="0" fontId="89" fillId="2" borderId="0" xfId="0" applyFont="1" applyFill="1" applyAlignment="1">
      <alignment horizontal="center"/>
    </xf>
    <xf numFmtId="0" fontId="89" fillId="2" borderId="7" xfId="0" applyFont="1" applyFill="1" applyBorder="1" applyAlignment="1">
      <alignment horizontal="center"/>
    </xf>
    <xf numFmtId="9" fontId="17" fillId="2" borderId="11" xfId="2" applyFont="1" applyFill="1" applyBorder="1" applyAlignment="1">
      <alignment horizontal="center" vertical="center"/>
    </xf>
    <xf numFmtId="9" fontId="17" fillId="2" borderId="0" xfId="2" applyFont="1" applyFill="1" applyBorder="1" applyAlignment="1">
      <alignment horizontal="center" vertical="center"/>
    </xf>
    <xf numFmtId="0" fontId="17" fillId="2" borderId="2" xfId="7" applyFont="1" applyFill="1" applyBorder="1" applyAlignment="1">
      <alignment horizontal="center" vertical="center"/>
    </xf>
    <xf numFmtId="0" fontId="22" fillId="2" borderId="0" xfId="0" applyFont="1" applyFill="1" applyAlignment="1">
      <alignment horizontal="center" vertical="center"/>
    </xf>
    <xf numFmtId="9" fontId="28" fillId="2" borderId="0" xfId="2" applyFont="1" applyFill="1" applyBorder="1" applyAlignment="1">
      <alignment horizontal="center" vertical="center"/>
    </xf>
    <xf numFmtId="0" fontId="28" fillId="2" borderId="0" xfId="0" applyFont="1" applyFill="1" applyAlignment="1">
      <alignment horizontal="center" vertical="center" textRotation="90"/>
    </xf>
    <xf numFmtId="0" fontId="22" fillId="31" borderId="0" xfId="0" applyFont="1" applyFill="1" applyAlignment="1">
      <alignment horizontal="center" vertical="center"/>
    </xf>
    <xf numFmtId="0" fontId="17" fillId="2" borderId="0" xfId="0" applyFont="1" applyFill="1" applyAlignment="1">
      <alignment horizontal="center" vertical="center"/>
    </xf>
    <xf numFmtId="0" fontId="22" fillId="15" borderId="0" xfId="0" applyFont="1" applyFill="1" applyAlignment="1">
      <alignment horizontal="center" vertical="center"/>
    </xf>
    <xf numFmtId="0" fontId="99" fillId="2" borderId="0" xfId="0" applyFont="1" applyFill="1" applyAlignment="1">
      <alignment horizontal="center"/>
    </xf>
    <xf numFmtId="0" fontId="22" fillId="26" borderId="0" xfId="7" applyFont="1" applyFill="1" applyAlignment="1">
      <alignment vertical="center"/>
    </xf>
    <xf numFmtId="0" fontId="30" fillId="2" borderId="0" xfId="0" applyFont="1" applyFill="1" applyAlignment="1">
      <alignment horizontal="center"/>
    </xf>
    <xf numFmtId="0" fontId="22" fillId="2" borderId="0" xfId="0" applyFont="1" applyFill="1" applyAlignment="1">
      <alignment horizontal="center" vertical="center" wrapText="1"/>
    </xf>
    <xf numFmtId="0" fontId="22" fillId="10" borderId="0" xfId="7" applyFont="1" applyFill="1" applyAlignment="1">
      <alignment horizontal="center" vertical="center"/>
    </xf>
    <xf numFmtId="0" fontId="22" fillId="10" borderId="0" xfId="10" applyFont="1" applyFill="1" applyAlignment="1">
      <alignment horizontal="center"/>
    </xf>
    <xf numFmtId="0" fontId="22" fillId="10" borderId="4" xfId="10" applyFont="1" applyFill="1" applyBorder="1" applyAlignment="1">
      <alignment horizontal="center"/>
    </xf>
    <xf numFmtId="0" fontId="110" fillId="10" borderId="0" xfId="10" applyFont="1" applyFill="1" applyAlignment="1">
      <alignment horizontal="center" vertical="center"/>
    </xf>
    <xf numFmtId="0" fontId="110" fillId="10" borderId="4" xfId="10" applyFont="1" applyFill="1" applyBorder="1" applyAlignment="1">
      <alignment horizontal="center" vertical="center"/>
    </xf>
  </cellXfs>
  <cellStyles count="11">
    <cellStyle name="Accent6" xfId="5" builtinId="49"/>
    <cellStyle name="Comma" xfId="1" builtinId="3"/>
    <cellStyle name="Comma 3" xfId="4" xr:uid="{6F28BA25-27FA-428F-B301-DFF70A227A9B}"/>
    <cellStyle name="Hyperlink" xfId="3" builtinId="8"/>
    <cellStyle name="Hyperlink 2" xfId="6" xr:uid="{14F810B1-C77B-42E9-B797-592D0144CF46}"/>
    <cellStyle name="Normal" xfId="0" builtinId="0"/>
    <cellStyle name="Normal 2" xfId="8" xr:uid="{9B0A10D4-5FFA-41B6-86D3-5112B67B662C}"/>
    <cellStyle name="Normal 2 2" xfId="10" xr:uid="{7DF73898-F3E9-4F1E-87BA-1640894E65EC}"/>
    <cellStyle name="Normal 3 2" xfId="7" xr:uid="{C74CFD73-EA68-4CA5-A2BD-5C7C203D1619}"/>
    <cellStyle name="Percent" xfId="2" builtinId="5"/>
    <cellStyle name="Percent 2" xfId="9" xr:uid="{F1EE7140-C921-4354-AA25-5918FEF949FC}"/>
  </cellStyles>
  <dxfs count="2">
    <dxf>
      <font>
        <color rgb="FF6EAA46"/>
      </font>
    </dxf>
    <dxf>
      <font>
        <color rgb="FFFF0000"/>
      </font>
    </dxf>
  </dxfs>
  <tableStyles count="0" defaultTableStyle="TableStyleMedium2" defaultPivotStyle="PivotStyleLight16"/>
  <colors>
    <mruColors>
      <color rgb="FFD9D9D9"/>
      <color rgb="FF6EAA46"/>
      <color rgb="FF404040"/>
      <color rgb="FFFAB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tm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tmp"/><Relationship Id="rId1" Type="http://schemas.openxmlformats.org/officeDocument/2006/relationships/image" Target="../media/image4.tmp"/></Relationships>
</file>

<file path=xl/drawings/_rels/drawing4.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730249</xdr:colOff>
      <xdr:row>116</xdr:row>
      <xdr:rowOff>15195</xdr:rowOff>
    </xdr:from>
    <xdr:to>
      <xdr:col>12</xdr:col>
      <xdr:colOff>630744</xdr:colOff>
      <xdr:row>135</xdr:row>
      <xdr:rowOff>48294</xdr:rowOff>
    </xdr:to>
    <xdr:pic>
      <xdr:nvPicPr>
        <xdr:cNvPr id="2" name="Picture 1">
          <a:extLst>
            <a:ext uri="{FF2B5EF4-FFF2-40B4-BE49-F238E27FC236}">
              <a16:creationId xmlns:a16="http://schemas.microsoft.com/office/drawing/2014/main" id="{E0FCEDEB-E93A-4695-B8CA-E6B47B56CB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03416" y="19361528"/>
          <a:ext cx="4758245" cy="3451516"/>
        </a:xfrm>
        <a:prstGeom prst="rect">
          <a:avLst/>
        </a:prstGeom>
      </xdr:spPr>
    </xdr:pic>
    <xdr:clientData/>
  </xdr:twoCellAnchor>
  <xdr:twoCellAnchor>
    <xdr:from>
      <xdr:col>8</xdr:col>
      <xdr:colOff>588325</xdr:colOff>
      <xdr:row>117</xdr:row>
      <xdr:rowOff>128671</xdr:rowOff>
    </xdr:from>
    <xdr:to>
      <xdr:col>12</xdr:col>
      <xdr:colOff>240189</xdr:colOff>
      <xdr:row>136</xdr:row>
      <xdr:rowOff>38434</xdr:rowOff>
    </xdr:to>
    <xdr:sp macro="" textlink="">
      <xdr:nvSpPr>
        <xdr:cNvPr id="3" name="TextBox 2">
          <a:extLst>
            <a:ext uri="{FF2B5EF4-FFF2-40B4-BE49-F238E27FC236}">
              <a16:creationId xmlns:a16="http://schemas.microsoft.com/office/drawing/2014/main" id="{DDC95F1A-FC0A-4DA8-817C-6C060351C376}"/>
            </a:ext>
          </a:extLst>
        </xdr:cNvPr>
        <xdr:cNvSpPr txBox="1"/>
      </xdr:nvSpPr>
      <xdr:spPr>
        <a:xfrm>
          <a:off x="12388742" y="19654921"/>
          <a:ext cx="2382364" cy="3328180"/>
        </a:xfrm>
        <a:prstGeom prst="rect">
          <a:avLst/>
        </a:prstGeom>
        <a:solidFill>
          <a:srgbClr val="0F7A2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Năm</a:t>
          </a:r>
          <a:r>
            <a:rPr lang="en-US" sz="1100" baseline="0">
              <a:solidFill>
                <a:schemeClr val="bg1"/>
              </a:solidFill>
            </a:rPr>
            <a:t> 1999 có nhà máy đạt chuẩn GMP-ASEAN. Năm 2006 đầu tư nâng cấp GMP-WHO. BCB 2010 của bidiphar1 (cty con của DBD phụ trách mảng sản xuất, năm 2015 sát nhập hoàn toàn vào DBD) đã có thông tin về 7 phân xưởng (1) &gt;&gt; (7). Như vậy có thể dự đoán 7 phân xưởng này bắt đầu hoạt động ổn định theo chuẩn GMP-WHO là khoảng 2008-2009. Như vậy sau 10-11 năm hoạt động thì công suất vận hành như kế bên.</a:t>
          </a:r>
        </a:p>
        <a:p>
          <a:endParaRPr lang="en-US" sz="1100" baseline="0">
            <a:solidFill>
              <a:schemeClr val="bg1"/>
            </a:solidFill>
          </a:endParaRPr>
        </a:p>
        <a:p>
          <a:r>
            <a:rPr lang="en-US" sz="1100" baseline="0">
              <a:solidFill>
                <a:schemeClr val="bg1"/>
              </a:solidFill>
            </a:rPr>
            <a:t>Dựa vào các dữ kiện này và dự phóng tăng trưởng ngành dược Việt Nam của Fitch solution thì tăng trưởng công suất từ 2022 được thể hiện như kế bên.</a:t>
          </a:r>
        </a:p>
        <a:p>
          <a:endParaRPr lang="en-US" sz="1100" baseline="0">
            <a:solidFill>
              <a:schemeClr val="bg1"/>
            </a:solidFill>
          </a:endParaRPr>
        </a:p>
        <a:p>
          <a:endParaRPr lang="en-US" sz="1100">
            <a:solidFill>
              <a:schemeClr val="bg1"/>
            </a:solidFill>
          </a:endParaRPr>
        </a:p>
      </xdr:txBody>
    </xdr:sp>
    <xdr:clientData/>
  </xdr:twoCellAnchor>
  <xdr:twoCellAnchor>
    <xdr:from>
      <xdr:col>30</xdr:col>
      <xdr:colOff>1233911</xdr:colOff>
      <xdr:row>116</xdr:row>
      <xdr:rowOff>84667</xdr:rowOff>
    </xdr:from>
    <xdr:to>
      <xdr:col>30</xdr:col>
      <xdr:colOff>3479805</xdr:colOff>
      <xdr:row>135</xdr:row>
      <xdr:rowOff>134799</xdr:rowOff>
    </xdr:to>
    <xdr:sp macro="" textlink="">
      <xdr:nvSpPr>
        <xdr:cNvPr id="4" name="TextBox 3">
          <a:extLst>
            <a:ext uri="{FF2B5EF4-FFF2-40B4-BE49-F238E27FC236}">
              <a16:creationId xmlns:a16="http://schemas.microsoft.com/office/drawing/2014/main" id="{76CF97D6-9C5F-4805-AFDC-ADBD57C9F475}"/>
            </a:ext>
          </a:extLst>
        </xdr:cNvPr>
        <xdr:cNvSpPr txBox="1"/>
      </xdr:nvSpPr>
      <xdr:spPr>
        <a:xfrm>
          <a:off x="33015661" y="19431000"/>
          <a:ext cx="2245894" cy="3468549"/>
        </a:xfrm>
        <a:prstGeom prst="rect">
          <a:avLst/>
        </a:prstGeom>
        <a:solidFill>
          <a:srgbClr val="0F7A2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Thuốc</a:t>
          </a:r>
          <a:r>
            <a:rPr lang="en-US" sz="1100" baseline="0">
              <a:solidFill>
                <a:schemeClr val="bg1"/>
              </a:solidFill>
            </a:rPr>
            <a:t> ung thư của DBD được sản xuất chủ yếu ở 2 xưởng (1) và (7), theo số liệu quá khư thì có thể thấy 2 xưởng này công suất hoạt động lớn hơn rất nhiều các xưởng còn lại vì thuốc trị ung thư là sản phẩm chủ lực của DBD.</a:t>
          </a:r>
        </a:p>
        <a:p>
          <a:endParaRPr lang="en-US" sz="1100" baseline="0">
            <a:solidFill>
              <a:schemeClr val="bg1"/>
            </a:solidFill>
          </a:endParaRPr>
        </a:p>
        <a:p>
          <a:r>
            <a:rPr lang="en-US" sz="1100" baseline="0">
              <a:solidFill>
                <a:schemeClr val="bg1"/>
              </a:solidFill>
            </a:rPr>
            <a:t>Như vậy ước lượng tăng trưởng của xưởng 8-9 sẽ tăng mạnh hơn các xưởng còn lại.</a:t>
          </a:r>
        </a:p>
        <a:p>
          <a:endParaRPr lang="en-US" sz="1100" baseline="0">
            <a:solidFill>
              <a:schemeClr val="bg1"/>
            </a:solidFill>
          </a:endParaRPr>
        </a:p>
        <a:p>
          <a:r>
            <a:rPr lang="en-US" sz="1100" baseline="0">
              <a:solidFill>
                <a:schemeClr val="bg1"/>
              </a:solidFill>
            </a:rPr>
            <a:t>Dựa vào tăng trưởng số ca bệnh ung thư ở Việt Nam và ưu thế trong mảng sản xuất thuốc trị ung thu của DBD , ta ước 2 năm đầu hoạt động theo chuẩn GMP-WHO là 7%, khi được duyệt GMP-EU thì là 14%.</a:t>
          </a:r>
          <a:endParaRPr lang="en-US" sz="1100">
            <a:solidFill>
              <a:schemeClr val="bg1"/>
            </a:solidFill>
          </a:endParaRPr>
        </a:p>
      </xdr:txBody>
    </xdr:sp>
    <xdr:clientData/>
  </xdr:twoCellAnchor>
  <xdr:twoCellAnchor editAs="oneCell">
    <xdr:from>
      <xdr:col>30</xdr:col>
      <xdr:colOff>1344083</xdr:colOff>
      <xdr:row>144</xdr:row>
      <xdr:rowOff>1</xdr:rowOff>
    </xdr:from>
    <xdr:to>
      <xdr:col>30</xdr:col>
      <xdr:colOff>9380158</xdr:colOff>
      <xdr:row>154</xdr:row>
      <xdr:rowOff>42507</xdr:rowOff>
    </xdr:to>
    <xdr:pic>
      <xdr:nvPicPr>
        <xdr:cNvPr id="5" name="Picture 4">
          <a:extLst>
            <a:ext uri="{FF2B5EF4-FFF2-40B4-BE49-F238E27FC236}">
              <a16:creationId xmlns:a16="http://schemas.microsoft.com/office/drawing/2014/main" id="{A5653994-BD41-4112-9501-CE8FDB37BD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125833" y="24384001"/>
          <a:ext cx="8036075" cy="1841673"/>
        </a:xfrm>
        <a:prstGeom prst="rect">
          <a:avLst/>
        </a:prstGeom>
      </xdr:spPr>
    </xdr:pic>
    <xdr:clientData/>
  </xdr:twoCellAnchor>
  <xdr:twoCellAnchor editAs="oneCell">
    <xdr:from>
      <xdr:col>8</xdr:col>
      <xdr:colOff>107461</xdr:colOff>
      <xdr:row>321</xdr:row>
      <xdr:rowOff>78153</xdr:rowOff>
    </xdr:from>
    <xdr:to>
      <xdr:col>15</xdr:col>
      <xdr:colOff>1044439</xdr:colOff>
      <xdr:row>338</xdr:row>
      <xdr:rowOff>119475</xdr:rowOff>
    </xdr:to>
    <xdr:pic>
      <xdr:nvPicPr>
        <xdr:cNvPr id="10" name="Picture 9">
          <a:extLst>
            <a:ext uri="{FF2B5EF4-FFF2-40B4-BE49-F238E27FC236}">
              <a16:creationId xmlns:a16="http://schemas.microsoft.com/office/drawing/2014/main" id="{BC397C2E-BC96-8F75-6935-FE249F38894F}"/>
            </a:ext>
          </a:extLst>
        </xdr:cNvPr>
        <xdr:cNvPicPr>
          <a:picLocks noChangeAspect="1"/>
        </xdr:cNvPicPr>
      </xdr:nvPicPr>
      <xdr:blipFill>
        <a:blip xmlns:r="http://schemas.openxmlformats.org/officeDocument/2006/relationships" r:embed="rId3"/>
        <a:stretch>
          <a:fillRect/>
        </a:stretch>
      </xdr:blipFill>
      <xdr:spPr>
        <a:xfrm>
          <a:off x="11898923" y="55704153"/>
          <a:ext cx="6212362" cy="33530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434051</xdr:colOff>
      <xdr:row>85</xdr:row>
      <xdr:rowOff>250785</xdr:rowOff>
    </xdr:from>
    <xdr:to>
      <xdr:col>6</xdr:col>
      <xdr:colOff>856818</xdr:colOff>
      <xdr:row>96</xdr:row>
      <xdr:rowOff>38540</xdr:rowOff>
    </xdr:to>
    <xdr:sp macro="" textlink="">
      <xdr:nvSpPr>
        <xdr:cNvPr id="2" name="TextBox 1">
          <a:extLst>
            <a:ext uri="{FF2B5EF4-FFF2-40B4-BE49-F238E27FC236}">
              <a16:creationId xmlns:a16="http://schemas.microsoft.com/office/drawing/2014/main" id="{2CEA7A59-5A3C-4F6B-872D-679AF16D5D52}"/>
            </a:ext>
          </a:extLst>
        </xdr:cNvPr>
        <xdr:cNvSpPr txBox="1"/>
      </xdr:nvSpPr>
      <xdr:spPr>
        <a:xfrm>
          <a:off x="6530051" y="14825241"/>
          <a:ext cx="1204058" cy="3925704"/>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Năm</a:t>
          </a:r>
          <a:r>
            <a:rPr lang="en-US" sz="1100" baseline="0">
              <a:solidFill>
                <a:schemeClr val="bg1"/>
              </a:solidFill>
            </a:rPr>
            <a:t> 2024 dự kiến được duyệt GMP-EU 2 xưởng (8),(9), 2025 dự kiến duyệt GMP-EU xưởng (10), 2027 duyệt GMP-EU xưởng 13, tại các thời điểm này DBD sẽ đấu thầu vào N2 nên chi phí marketing, chi phí cho đội sale và đấu thầu sẽ tăng mạnh hơn các năm khác</a:t>
          </a:r>
          <a:endParaRPr lang="en-US" sz="11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59</xdr:col>
      <xdr:colOff>523875</xdr:colOff>
      <xdr:row>7</xdr:row>
      <xdr:rowOff>152400</xdr:rowOff>
    </xdr:from>
    <xdr:to>
      <xdr:col>70</xdr:col>
      <xdr:colOff>86398</xdr:colOff>
      <xdr:row>41</xdr:row>
      <xdr:rowOff>28575</xdr:rowOff>
    </xdr:to>
    <xdr:pic>
      <xdr:nvPicPr>
        <xdr:cNvPr id="2" name="Picture 1">
          <a:extLst>
            <a:ext uri="{FF2B5EF4-FFF2-40B4-BE49-F238E27FC236}">
              <a16:creationId xmlns:a16="http://schemas.microsoft.com/office/drawing/2014/main" id="{6D42926E-BBDE-4596-B999-10B6A24EBC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183600" y="1581150"/>
          <a:ext cx="8154073" cy="5715000"/>
        </a:xfrm>
        <a:prstGeom prst="rect">
          <a:avLst/>
        </a:prstGeom>
      </xdr:spPr>
    </xdr:pic>
    <xdr:clientData/>
  </xdr:twoCellAnchor>
  <xdr:twoCellAnchor editAs="oneCell">
    <xdr:from>
      <xdr:col>59</xdr:col>
      <xdr:colOff>0</xdr:colOff>
      <xdr:row>109</xdr:row>
      <xdr:rowOff>0</xdr:rowOff>
    </xdr:from>
    <xdr:to>
      <xdr:col>66</xdr:col>
      <xdr:colOff>116901</xdr:colOff>
      <xdr:row>177</xdr:row>
      <xdr:rowOff>2822</xdr:rowOff>
    </xdr:to>
    <xdr:pic>
      <xdr:nvPicPr>
        <xdr:cNvPr id="3" name="Picture 2">
          <a:extLst>
            <a:ext uri="{FF2B5EF4-FFF2-40B4-BE49-F238E27FC236}">
              <a16:creationId xmlns:a16="http://schemas.microsoft.com/office/drawing/2014/main" id="{675154FF-B3FD-4C66-A1E6-6CC4AD9B50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9725" y="13144500"/>
          <a:ext cx="6193851" cy="5965472"/>
        </a:xfrm>
        <a:prstGeom prst="rect">
          <a:avLst/>
        </a:prstGeom>
      </xdr:spPr>
    </xdr:pic>
    <xdr:clientData/>
  </xdr:twoCellAnchor>
  <xdr:twoCellAnchor>
    <xdr:from>
      <xdr:col>3</xdr:col>
      <xdr:colOff>742950</xdr:colOff>
      <xdr:row>6</xdr:row>
      <xdr:rowOff>161925</xdr:rowOff>
    </xdr:from>
    <xdr:to>
      <xdr:col>6</xdr:col>
      <xdr:colOff>428637</xdr:colOff>
      <xdr:row>26</xdr:row>
      <xdr:rowOff>22638</xdr:rowOff>
    </xdr:to>
    <xdr:sp macro="" textlink="">
      <xdr:nvSpPr>
        <xdr:cNvPr id="9" name="TextBox 8">
          <a:extLst>
            <a:ext uri="{FF2B5EF4-FFF2-40B4-BE49-F238E27FC236}">
              <a16:creationId xmlns:a16="http://schemas.microsoft.com/office/drawing/2014/main" id="{AAFD6A0F-88C8-4314-B7E4-A663719D515D}"/>
            </a:ext>
          </a:extLst>
        </xdr:cNvPr>
        <xdr:cNvSpPr txBox="1"/>
      </xdr:nvSpPr>
      <xdr:spPr>
        <a:xfrm>
          <a:off x="6934200" y="1419225"/>
          <a:ext cx="1924062" cy="3289713"/>
        </a:xfrm>
        <a:prstGeom prst="rect">
          <a:avLst/>
        </a:prstGeom>
        <a:solidFill>
          <a:srgbClr val="0F7A28"/>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a:ea typeface="+mn-ea"/>
              <a:cs typeface="+mn-cs"/>
            </a:rPr>
            <a:t>lãi suất trung bình tính ra chỉ có 1.47% là hơi bất hợp lý. Chủ yếu là vì lãi vay 2021 chỉ có 1.32 tỷ (số này chưa được kiểm toán). Đối chiếu lại các khoản vay ngắn và dài hạn khác của DBD trong BCTC 2020 trở về trước thì mức lãi suất ngắn và dài hạn của doanh nghiệp dao động quanh mức 7%. Như vậy điều chỉnh lại mức lãi suất chung ước tính thêm 4%.</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124243</xdr:colOff>
      <xdr:row>41</xdr:row>
      <xdr:rowOff>0</xdr:rowOff>
    </xdr:from>
    <xdr:to>
      <xdr:col>10</xdr:col>
      <xdr:colOff>326276</xdr:colOff>
      <xdr:row>70</xdr:row>
      <xdr:rowOff>32658</xdr:rowOff>
    </xdr:to>
    <xdr:pic>
      <xdr:nvPicPr>
        <xdr:cNvPr id="2" name="Picture 1">
          <a:extLst>
            <a:ext uri="{FF2B5EF4-FFF2-40B4-BE49-F238E27FC236}">
              <a16:creationId xmlns:a16="http://schemas.microsoft.com/office/drawing/2014/main" id="{9F3F5029-E8BD-440F-AD55-C2F2C902F55B}"/>
            </a:ext>
          </a:extLst>
        </xdr:cNvPr>
        <xdr:cNvPicPr>
          <a:picLocks noChangeAspect="1"/>
        </xdr:cNvPicPr>
      </xdr:nvPicPr>
      <xdr:blipFill>
        <a:blip xmlns:r="http://schemas.openxmlformats.org/officeDocument/2006/relationships" r:embed="rId1"/>
        <a:stretch>
          <a:fillRect/>
        </a:stretch>
      </xdr:blipFill>
      <xdr:spPr>
        <a:xfrm>
          <a:off x="745875" y="7008395"/>
          <a:ext cx="8193006" cy="4975631"/>
        </a:xfrm>
        <a:prstGeom prst="rect">
          <a:avLst/>
        </a:prstGeom>
      </xdr:spPr>
    </xdr:pic>
    <xdr:clientData/>
  </xdr:twoCellAnchor>
  <xdr:twoCellAnchor editAs="oneCell">
    <xdr:from>
      <xdr:col>10</xdr:col>
      <xdr:colOff>432441</xdr:colOff>
      <xdr:row>44</xdr:row>
      <xdr:rowOff>70109</xdr:rowOff>
    </xdr:from>
    <xdr:to>
      <xdr:col>18</xdr:col>
      <xdr:colOff>891031</xdr:colOff>
      <xdr:row>87</xdr:row>
      <xdr:rowOff>127962</xdr:rowOff>
    </xdr:to>
    <xdr:pic>
      <xdr:nvPicPr>
        <xdr:cNvPr id="3" name="Picture 2">
          <a:extLst>
            <a:ext uri="{FF2B5EF4-FFF2-40B4-BE49-F238E27FC236}">
              <a16:creationId xmlns:a16="http://schemas.microsoft.com/office/drawing/2014/main" id="{199E915F-E7A8-4ECD-84B0-44F4716C3FD2}"/>
            </a:ext>
          </a:extLst>
        </xdr:cNvPr>
        <xdr:cNvPicPr>
          <a:picLocks noChangeAspect="1"/>
        </xdr:cNvPicPr>
      </xdr:nvPicPr>
      <xdr:blipFill>
        <a:blip xmlns:r="http://schemas.openxmlformats.org/officeDocument/2006/relationships" r:embed="rId2"/>
        <a:stretch>
          <a:fillRect/>
        </a:stretch>
      </xdr:blipFill>
      <xdr:spPr>
        <a:xfrm>
          <a:off x="9045046" y="7589846"/>
          <a:ext cx="8519748" cy="7387090"/>
        </a:xfrm>
        <a:prstGeom prst="rect">
          <a:avLst/>
        </a:prstGeom>
      </xdr:spPr>
    </xdr:pic>
    <xdr:clientData/>
  </xdr:twoCellAnchor>
  <xdr:twoCellAnchor editAs="oneCell">
    <xdr:from>
      <xdr:col>1</xdr:col>
      <xdr:colOff>386667</xdr:colOff>
      <xdr:row>70</xdr:row>
      <xdr:rowOff>126332</xdr:rowOff>
    </xdr:from>
    <xdr:to>
      <xdr:col>10</xdr:col>
      <xdr:colOff>331557</xdr:colOff>
      <xdr:row>91</xdr:row>
      <xdr:rowOff>60122</xdr:rowOff>
    </xdr:to>
    <xdr:pic>
      <xdr:nvPicPr>
        <xdr:cNvPr id="4" name="Picture 3">
          <a:extLst>
            <a:ext uri="{FF2B5EF4-FFF2-40B4-BE49-F238E27FC236}">
              <a16:creationId xmlns:a16="http://schemas.microsoft.com/office/drawing/2014/main" id="{951AEB5B-197F-4614-8132-0E3E57AEE72C}"/>
            </a:ext>
          </a:extLst>
        </xdr:cNvPr>
        <xdr:cNvPicPr>
          <a:picLocks noChangeAspect="1"/>
        </xdr:cNvPicPr>
      </xdr:nvPicPr>
      <xdr:blipFill>
        <a:blip xmlns:r="http://schemas.openxmlformats.org/officeDocument/2006/relationships" r:embed="rId3"/>
        <a:stretch>
          <a:fillRect/>
        </a:stretch>
      </xdr:blipFill>
      <xdr:spPr>
        <a:xfrm>
          <a:off x="1008299" y="12077700"/>
          <a:ext cx="7935863" cy="3513185"/>
        </a:xfrm>
        <a:prstGeom prst="rect">
          <a:avLst/>
        </a:prstGeom>
      </xdr:spPr>
    </xdr:pic>
    <xdr:clientData/>
  </xdr:twoCellAnchor>
  <xdr:twoCellAnchor editAs="oneCell">
    <xdr:from>
      <xdr:col>11</xdr:col>
      <xdr:colOff>100282</xdr:colOff>
      <xdr:row>90</xdr:row>
      <xdr:rowOff>55910</xdr:rowOff>
    </xdr:from>
    <xdr:to>
      <xdr:col>18</xdr:col>
      <xdr:colOff>715750</xdr:colOff>
      <xdr:row>122</xdr:row>
      <xdr:rowOff>58422</xdr:rowOff>
    </xdr:to>
    <xdr:pic>
      <xdr:nvPicPr>
        <xdr:cNvPr id="5" name="Picture 4">
          <a:extLst>
            <a:ext uri="{FF2B5EF4-FFF2-40B4-BE49-F238E27FC236}">
              <a16:creationId xmlns:a16="http://schemas.microsoft.com/office/drawing/2014/main" id="{AF10DC89-0146-4345-9215-77AFEE9B5070}"/>
            </a:ext>
          </a:extLst>
        </xdr:cNvPr>
        <xdr:cNvPicPr>
          <a:picLocks noChangeAspect="1"/>
        </xdr:cNvPicPr>
      </xdr:nvPicPr>
      <xdr:blipFill>
        <a:blip xmlns:r="http://schemas.openxmlformats.org/officeDocument/2006/relationships" r:embed="rId4"/>
        <a:stretch>
          <a:fillRect/>
        </a:stretch>
      </xdr:blipFill>
      <xdr:spPr>
        <a:xfrm>
          <a:off x="9334519" y="15416226"/>
          <a:ext cx="8054994" cy="5456828"/>
        </a:xfrm>
        <a:prstGeom prst="rect">
          <a:avLst/>
        </a:prstGeom>
      </xdr:spPr>
    </xdr:pic>
    <xdr:clientData/>
  </xdr:twoCellAnchor>
  <xdr:twoCellAnchor editAs="oneCell">
    <xdr:from>
      <xdr:col>1</xdr:col>
      <xdr:colOff>0</xdr:colOff>
      <xdr:row>94</xdr:row>
      <xdr:rowOff>33327</xdr:rowOff>
    </xdr:from>
    <xdr:to>
      <xdr:col>11</xdr:col>
      <xdr:colOff>414670</xdr:colOff>
      <xdr:row>128</xdr:row>
      <xdr:rowOff>45806</xdr:rowOff>
    </xdr:to>
    <xdr:pic>
      <xdr:nvPicPr>
        <xdr:cNvPr id="6" name="Picture 5">
          <a:extLst>
            <a:ext uri="{FF2B5EF4-FFF2-40B4-BE49-F238E27FC236}">
              <a16:creationId xmlns:a16="http://schemas.microsoft.com/office/drawing/2014/main" id="{E24CB6BB-6C43-488B-B560-E94809E4CA9A}"/>
            </a:ext>
          </a:extLst>
        </xdr:cNvPr>
        <xdr:cNvPicPr>
          <a:picLocks noChangeAspect="1"/>
        </xdr:cNvPicPr>
      </xdr:nvPicPr>
      <xdr:blipFill>
        <a:blip xmlns:r="http://schemas.openxmlformats.org/officeDocument/2006/relationships" r:embed="rId5"/>
        <a:stretch>
          <a:fillRect/>
        </a:stretch>
      </xdr:blipFill>
      <xdr:spPr>
        <a:xfrm>
          <a:off x="621632" y="16075432"/>
          <a:ext cx="9027275" cy="5807690"/>
        </a:xfrm>
        <a:prstGeom prst="rect">
          <a:avLst/>
        </a:prstGeom>
      </xdr:spPr>
    </xdr:pic>
    <xdr:clientData/>
  </xdr:twoCellAnchor>
  <xdr:twoCellAnchor editAs="oneCell">
    <xdr:from>
      <xdr:col>11</xdr:col>
      <xdr:colOff>450068</xdr:colOff>
      <xdr:row>124</xdr:row>
      <xdr:rowOff>161384</xdr:rowOff>
    </xdr:from>
    <xdr:to>
      <xdr:col>18</xdr:col>
      <xdr:colOff>1065536</xdr:colOff>
      <xdr:row>163</xdr:row>
      <xdr:rowOff>84681</xdr:rowOff>
    </xdr:to>
    <xdr:pic>
      <xdr:nvPicPr>
        <xdr:cNvPr id="7" name="Picture 6">
          <a:extLst>
            <a:ext uri="{FF2B5EF4-FFF2-40B4-BE49-F238E27FC236}">
              <a16:creationId xmlns:a16="http://schemas.microsoft.com/office/drawing/2014/main" id="{8D168AFC-03D3-4180-B4B4-54376504AFF1}"/>
            </a:ext>
          </a:extLst>
        </xdr:cNvPr>
        <xdr:cNvPicPr>
          <a:picLocks noChangeAspect="1"/>
        </xdr:cNvPicPr>
      </xdr:nvPicPr>
      <xdr:blipFill>
        <a:blip xmlns:r="http://schemas.openxmlformats.org/officeDocument/2006/relationships" r:embed="rId6"/>
        <a:stretch>
          <a:fillRect/>
        </a:stretch>
      </xdr:blipFill>
      <xdr:spPr>
        <a:xfrm>
          <a:off x="9684305" y="21316910"/>
          <a:ext cx="8054994" cy="6570745"/>
        </a:xfrm>
        <a:prstGeom prst="rect">
          <a:avLst/>
        </a:prstGeom>
      </xdr:spPr>
    </xdr:pic>
    <xdr:clientData/>
  </xdr:twoCellAnchor>
  <xdr:twoCellAnchor editAs="oneCell">
    <xdr:from>
      <xdr:col>1</xdr:col>
      <xdr:colOff>612335</xdr:colOff>
      <xdr:row>130</xdr:row>
      <xdr:rowOff>9694</xdr:rowOff>
    </xdr:from>
    <xdr:to>
      <xdr:col>11</xdr:col>
      <xdr:colOff>162251</xdr:colOff>
      <xdr:row>157</xdr:row>
      <xdr:rowOff>11998</xdr:rowOff>
    </xdr:to>
    <xdr:pic>
      <xdr:nvPicPr>
        <xdr:cNvPr id="8" name="Picture 7">
          <a:extLst>
            <a:ext uri="{FF2B5EF4-FFF2-40B4-BE49-F238E27FC236}">
              <a16:creationId xmlns:a16="http://schemas.microsoft.com/office/drawing/2014/main" id="{A7F6A0A8-D4D3-489F-96D1-C224DC37EBFB}"/>
            </a:ext>
          </a:extLst>
        </xdr:cNvPr>
        <xdr:cNvPicPr>
          <a:picLocks noChangeAspect="1"/>
        </xdr:cNvPicPr>
      </xdr:nvPicPr>
      <xdr:blipFill>
        <a:blip xmlns:r="http://schemas.openxmlformats.org/officeDocument/2006/relationships" r:embed="rId7"/>
        <a:stretch>
          <a:fillRect/>
        </a:stretch>
      </xdr:blipFill>
      <xdr:spPr>
        <a:xfrm>
          <a:off x="1233967" y="22187905"/>
          <a:ext cx="8162521" cy="4604382"/>
        </a:xfrm>
        <a:prstGeom prst="rect">
          <a:avLst/>
        </a:prstGeom>
      </xdr:spPr>
    </xdr:pic>
    <xdr:clientData/>
  </xdr:twoCellAnchor>
  <xdr:twoCellAnchor editAs="oneCell">
    <xdr:from>
      <xdr:col>1</xdr:col>
      <xdr:colOff>717127</xdr:colOff>
      <xdr:row>158</xdr:row>
      <xdr:rowOff>28365</xdr:rowOff>
    </xdr:from>
    <xdr:to>
      <xdr:col>11</xdr:col>
      <xdr:colOff>181329</xdr:colOff>
      <xdr:row>176</xdr:row>
      <xdr:rowOff>49112</xdr:rowOff>
    </xdr:to>
    <xdr:pic>
      <xdr:nvPicPr>
        <xdr:cNvPr id="9" name="Picture 8">
          <a:extLst>
            <a:ext uri="{FF2B5EF4-FFF2-40B4-BE49-F238E27FC236}">
              <a16:creationId xmlns:a16="http://schemas.microsoft.com/office/drawing/2014/main" id="{8EFE3E0B-E43F-44FA-9C28-EDADE4A8BF3B}"/>
            </a:ext>
          </a:extLst>
        </xdr:cNvPr>
        <xdr:cNvPicPr>
          <a:picLocks noChangeAspect="1"/>
        </xdr:cNvPicPr>
      </xdr:nvPicPr>
      <xdr:blipFill>
        <a:blip xmlns:r="http://schemas.openxmlformats.org/officeDocument/2006/relationships" r:embed="rId8"/>
        <a:stretch>
          <a:fillRect/>
        </a:stretch>
      </xdr:blipFill>
      <xdr:spPr>
        <a:xfrm>
          <a:off x="1338759" y="26979102"/>
          <a:ext cx="8076807" cy="30887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www.thuocbietduoc.com.vn/thuoc-goc-1046/colistimethat-natri.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xml"/><Relationship Id="rId1" Type="http://schemas.openxmlformats.org/officeDocument/2006/relationships/hyperlink" Target="https://baodautu.vn/toan-canh-nganh-duoc-viet-nam-tiem-nang-lon-bai-toan-chat-luong-d280901.html" TargetMode="External"/><Relationship Id="rId4" Type="http://schemas.openxmlformats.org/officeDocument/2006/relationships/comments" Target="../comments8.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61"/>
  <sheetViews>
    <sheetView topLeftCell="C19" zoomScale="75" zoomScaleNormal="75" workbookViewId="0">
      <selection activeCell="C33" sqref="A33:XFD33"/>
    </sheetView>
  </sheetViews>
  <sheetFormatPr defaultColWidth="9.109375" defaultRowHeight="12" x14ac:dyDescent="0.3"/>
  <cols>
    <col min="1" max="2" width="0" style="4" hidden="1" customWidth="1"/>
    <col min="3" max="3" width="44.5546875" style="4" customWidth="1"/>
    <col min="4" max="6" width="13.5546875" style="4" bestFit="1" customWidth="1"/>
    <col min="7" max="7" width="15.44140625" style="4" bestFit="1" customWidth="1"/>
    <col min="8" max="16" width="21.109375" style="4" bestFit="1" customWidth="1"/>
    <col min="17" max="17" width="9.109375" style="4"/>
    <col min="18" max="18" width="11.109375" style="4" customWidth="1"/>
    <col min="19" max="19" width="19.44140625" style="4" customWidth="1"/>
    <col min="20" max="20" width="9.109375" style="4"/>
    <col min="21" max="21" width="14" style="4" customWidth="1"/>
    <col min="22" max="16384" width="9.109375" style="4"/>
  </cols>
  <sheetData>
    <row r="1" spans="3:16" s="1" customFormat="1" x14ac:dyDescent="0.3"/>
    <row r="2" spans="3:16" s="1" customFormat="1" x14ac:dyDescent="0.3"/>
    <row r="3" spans="3:16" s="1" customFormat="1" x14ac:dyDescent="0.3"/>
    <row r="4" spans="3:16" s="1" customFormat="1" x14ac:dyDescent="0.3"/>
    <row r="5" spans="3:16" ht="14.4" x14ac:dyDescent="0.3">
      <c r="C5" s="2" t="s">
        <v>0</v>
      </c>
      <c r="D5" s="3"/>
    </row>
    <row r="6" spans="3:16" ht="14.4" x14ac:dyDescent="0.3">
      <c r="C6" s="2" t="s">
        <v>1</v>
      </c>
      <c r="D6" s="3"/>
      <c r="J6" s="4">
        <v>1000000000</v>
      </c>
      <c r="N6" s="5"/>
    </row>
    <row r="7" spans="3:16" x14ac:dyDescent="0.3">
      <c r="E7" s="6"/>
      <c r="J7" s="7">
        <v>7.1963067000069714E-2</v>
      </c>
      <c r="K7" s="7">
        <v>0.59816546199999721</v>
      </c>
      <c r="L7" s="7">
        <v>0.29260159299997213</v>
      </c>
      <c r="M7" s="7">
        <v>-1.4316251000082048E-2</v>
      </c>
      <c r="N7" s="7">
        <v>0.28097851600000467</v>
      </c>
    </row>
    <row r="8" spans="3:16" ht="14.4" x14ac:dyDescent="0.3">
      <c r="C8" s="2" t="s">
        <v>2</v>
      </c>
      <c r="D8" s="8" t="s">
        <v>3</v>
      </c>
      <c r="F8" s="2" t="s">
        <v>4</v>
      </c>
      <c r="G8" s="3" t="s">
        <v>5</v>
      </c>
      <c r="H8" s="3" t="s">
        <v>6</v>
      </c>
      <c r="J8" s="9">
        <v>1225.1400000000001</v>
      </c>
      <c r="K8" s="9">
        <v>1385.5</v>
      </c>
      <c r="L8" s="9">
        <v>1388.52</v>
      </c>
      <c r="M8" s="9">
        <v>1401.01</v>
      </c>
      <c r="N8" s="9">
        <v>1262.01</v>
      </c>
    </row>
    <row r="9" spans="3:16" ht="14.4" x14ac:dyDescent="0.3">
      <c r="C9" s="2" t="s">
        <v>7</v>
      </c>
      <c r="D9" s="3" t="s">
        <v>8</v>
      </c>
      <c r="F9" s="2" t="s">
        <v>9</v>
      </c>
      <c r="G9" s="3" t="s">
        <v>10</v>
      </c>
      <c r="H9" s="3" t="s">
        <v>10</v>
      </c>
      <c r="M9" s="10">
        <v>1256952371543</v>
      </c>
    </row>
    <row r="11" spans="3:16" ht="14.4" x14ac:dyDescent="0.3">
      <c r="C11" s="11"/>
      <c r="D11" s="2">
        <v>2009</v>
      </c>
      <c r="E11" s="2">
        <v>2010</v>
      </c>
      <c r="F11" s="2">
        <v>2011</v>
      </c>
      <c r="G11" s="2">
        <v>2012</v>
      </c>
      <c r="H11" s="12" t="s">
        <v>11</v>
      </c>
      <c r="I11" s="12" t="s">
        <v>12</v>
      </c>
      <c r="J11" s="12" t="s">
        <v>13</v>
      </c>
      <c r="K11" s="12" t="s">
        <v>14</v>
      </c>
      <c r="L11" s="12" t="s">
        <v>15</v>
      </c>
      <c r="M11" s="12" t="s">
        <v>6</v>
      </c>
      <c r="N11" s="12" t="s">
        <v>16</v>
      </c>
      <c r="O11" s="12" t="s">
        <v>17</v>
      </c>
      <c r="P11" s="12" t="s">
        <v>18</v>
      </c>
    </row>
    <row r="12" spans="3:16" ht="14.4" x14ac:dyDescent="0.3">
      <c r="C12" s="3" t="s">
        <v>19</v>
      </c>
      <c r="D12" s="3" t="s">
        <v>20</v>
      </c>
      <c r="E12" s="3" t="s">
        <v>20</v>
      </c>
      <c r="F12" s="3" t="s">
        <v>20</v>
      </c>
      <c r="G12" s="3" t="s">
        <v>20</v>
      </c>
      <c r="H12" s="3" t="s">
        <v>20</v>
      </c>
      <c r="I12" s="3" t="s">
        <v>20</v>
      </c>
      <c r="J12" s="3" t="s">
        <v>20</v>
      </c>
      <c r="K12" s="3" t="s">
        <v>20</v>
      </c>
      <c r="L12" s="3" t="s">
        <v>20</v>
      </c>
      <c r="M12" s="3" t="s">
        <v>20</v>
      </c>
      <c r="N12" s="3" t="s">
        <v>20</v>
      </c>
      <c r="O12" s="3" t="s">
        <v>20</v>
      </c>
      <c r="P12" s="3" t="s">
        <v>20</v>
      </c>
    </row>
    <row r="13" spans="3:16" ht="14.4" x14ac:dyDescent="0.3">
      <c r="C13" s="3" t="s">
        <v>21</v>
      </c>
      <c r="D13" s="3"/>
      <c r="E13" s="3"/>
      <c r="F13" s="3"/>
      <c r="G13" s="3" t="s">
        <v>22</v>
      </c>
      <c r="H13" s="3" t="s">
        <v>22</v>
      </c>
      <c r="I13" s="3" t="s">
        <v>22</v>
      </c>
      <c r="J13" s="3" t="s">
        <v>22</v>
      </c>
      <c r="K13" s="3" t="s">
        <v>22</v>
      </c>
      <c r="L13" s="3" t="s">
        <v>22</v>
      </c>
      <c r="M13" s="3" t="s">
        <v>22</v>
      </c>
      <c r="N13" s="3" t="s">
        <v>22</v>
      </c>
      <c r="O13" s="3" t="s">
        <v>22</v>
      </c>
      <c r="P13" s="3" t="s">
        <v>22</v>
      </c>
    </row>
    <row r="14" spans="3:16" ht="14.4" x14ac:dyDescent="0.3">
      <c r="C14" s="3" t="s">
        <v>23</v>
      </c>
      <c r="D14" s="3"/>
      <c r="E14" s="3"/>
      <c r="F14" s="3"/>
      <c r="G14" s="3" t="s">
        <v>24</v>
      </c>
      <c r="H14" s="3" t="s">
        <v>25</v>
      </c>
      <c r="I14" s="3" t="s">
        <v>25</v>
      </c>
      <c r="J14" s="3" t="s">
        <v>25</v>
      </c>
      <c r="K14" s="3" t="s">
        <v>25</v>
      </c>
      <c r="L14" s="3" t="s">
        <v>25</v>
      </c>
      <c r="M14" s="3" t="s">
        <v>25</v>
      </c>
      <c r="N14" s="3" t="s">
        <v>25</v>
      </c>
      <c r="O14" s="3" t="s">
        <v>25</v>
      </c>
      <c r="P14" s="3" t="s">
        <v>25</v>
      </c>
    </row>
    <row r="15" spans="3:16" ht="14.4" x14ac:dyDescent="0.3">
      <c r="C15" s="3" t="s">
        <v>26</v>
      </c>
      <c r="D15" s="13">
        <v>1365.039478852</v>
      </c>
      <c r="E15" s="13">
        <v>1649.638422597</v>
      </c>
      <c r="F15" s="13">
        <v>1786.893586205</v>
      </c>
      <c r="G15" s="13">
        <v>1739.0176968650001</v>
      </c>
      <c r="H15" s="13">
        <v>2145.0328742679999</v>
      </c>
      <c r="I15" s="13">
        <v>2452.8286199270001</v>
      </c>
      <c r="J15" s="13">
        <v>1266.145619658</v>
      </c>
      <c r="K15" s="13">
        <v>1442.509289677</v>
      </c>
      <c r="L15" s="13">
        <v>1459.521443028</v>
      </c>
      <c r="M15" s="13">
        <v>1474.0190311460001</v>
      </c>
      <c r="N15" s="13">
        <v>1321.0062295600001</v>
      </c>
      <c r="O15" s="13">
        <v>1329.775162011</v>
      </c>
      <c r="P15" s="13">
        <v>0</v>
      </c>
    </row>
    <row r="16" spans="3:16" ht="14.4" x14ac:dyDescent="0.3">
      <c r="C16" s="3" t="s">
        <v>27</v>
      </c>
      <c r="D16" s="13">
        <v>-2.2321603720000001</v>
      </c>
      <c r="E16" s="13">
        <v>-3.641640073</v>
      </c>
      <c r="F16" s="13">
        <v>-2.540298264</v>
      </c>
      <c r="G16" s="13">
        <v>-0.49021098800000001</v>
      </c>
      <c r="H16" s="13">
        <v>-0.868165615</v>
      </c>
      <c r="I16" s="13">
        <v>-0.94931483400000005</v>
      </c>
      <c r="J16" s="13">
        <v>-41.077582724999999</v>
      </c>
      <c r="K16" s="13">
        <v>-57.607455139000002</v>
      </c>
      <c r="L16" s="13">
        <v>-71.294044620999998</v>
      </c>
      <c r="M16" s="13">
        <v>-72.994714895000001</v>
      </c>
      <c r="N16" s="13">
        <v>-59.277208076000001</v>
      </c>
      <c r="O16" s="13">
        <v>-72.822790467999994</v>
      </c>
      <c r="P16" s="13">
        <v>0</v>
      </c>
    </row>
    <row r="17" spans="3:19" ht="14.4" x14ac:dyDescent="0.3">
      <c r="C17" s="3" t="s">
        <v>28</v>
      </c>
      <c r="D17" s="13">
        <v>1362.80731848</v>
      </c>
      <c r="E17" s="13">
        <v>1645.9967825240001</v>
      </c>
      <c r="F17" s="13">
        <v>1784.353287941</v>
      </c>
      <c r="G17" s="13">
        <v>1738.5274858769999</v>
      </c>
      <c r="H17" s="13">
        <v>2144.1647086530002</v>
      </c>
      <c r="I17" s="13">
        <v>2451.8793050929999</v>
      </c>
      <c r="J17" s="13">
        <v>1225.068036933</v>
      </c>
      <c r="K17" s="13">
        <v>1384.901834538</v>
      </c>
      <c r="L17" s="13">
        <v>1388.227398407</v>
      </c>
      <c r="M17" s="13">
        <v>1401.0243162510001</v>
      </c>
      <c r="N17" s="13">
        <v>1261.729021484</v>
      </c>
      <c r="O17" s="13">
        <v>1256.952371543</v>
      </c>
      <c r="P17" s="13">
        <v>1558.5043332830001</v>
      </c>
    </row>
    <row r="18" spans="3:19" ht="14.4" x14ac:dyDescent="0.3">
      <c r="C18" s="3" t="s">
        <v>29</v>
      </c>
      <c r="D18" s="13"/>
      <c r="E18" s="13"/>
      <c r="F18" s="13"/>
      <c r="G18" s="13"/>
      <c r="H18" s="13"/>
      <c r="I18" s="13"/>
      <c r="J18" s="13">
        <v>1119.03</v>
      </c>
      <c r="K18" s="13">
        <v>1260.1400000000001</v>
      </c>
      <c r="L18" s="13">
        <v>1255.6300000000001</v>
      </c>
      <c r="M18" s="13">
        <v>1220.8399999999999</v>
      </c>
      <c r="N18" s="13">
        <v>1143.1400000000001</v>
      </c>
      <c r="O18" s="13">
        <v>1148.3</v>
      </c>
      <c r="P18" s="13">
        <v>1191.05</v>
      </c>
      <c r="Q18" s="7"/>
      <c r="R18" s="7"/>
    </row>
    <row r="19" spans="3:19" ht="14.4" x14ac:dyDescent="0.3">
      <c r="C19" s="3" t="s">
        <v>30</v>
      </c>
      <c r="D19" s="13"/>
      <c r="E19" s="13"/>
      <c r="F19" s="13"/>
      <c r="G19" s="13"/>
      <c r="H19" s="13"/>
      <c r="I19" s="13"/>
      <c r="J19" s="13">
        <v>94.46</v>
      </c>
      <c r="K19" s="13">
        <v>115.1</v>
      </c>
      <c r="L19" s="13">
        <v>117.07</v>
      </c>
      <c r="M19" s="13">
        <v>169.49</v>
      </c>
      <c r="N19" s="13">
        <v>103.75</v>
      </c>
      <c r="O19" s="13">
        <v>92.31</v>
      </c>
      <c r="P19" s="13">
        <v>352.87</v>
      </c>
    </row>
    <row r="20" spans="3:19" ht="14.4" x14ac:dyDescent="0.3">
      <c r="C20" s="3" t="s">
        <v>31</v>
      </c>
      <c r="D20" s="13"/>
      <c r="E20" s="13"/>
      <c r="F20" s="13"/>
      <c r="G20" s="13"/>
      <c r="H20" s="13"/>
      <c r="I20" s="13"/>
      <c r="J20" s="13">
        <v>11.65</v>
      </c>
      <c r="K20" s="13">
        <v>10.26</v>
      </c>
      <c r="L20" s="13">
        <v>15.82</v>
      </c>
      <c r="M20" s="13">
        <v>10.68</v>
      </c>
      <c r="N20" s="13">
        <v>15.120000000000001</v>
      </c>
      <c r="O20" s="13">
        <v>16.349999999999998</v>
      </c>
      <c r="P20" s="13">
        <v>14.58</v>
      </c>
      <c r="R20" s="7"/>
    </row>
    <row r="21" spans="3:19" ht="14.4" x14ac:dyDescent="0.3">
      <c r="C21" s="3" t="s">
        <v>32</v>
      </c>
      <c r="D21" s="13">
        <v>-1238.455062987</v>
      </c>
      <c r="E21" s="13">
        <v>-1469.5634016470001</v>
      </c>
      <c r="F21" s="13">
        <v>-1554.1666793280001</v>
      </c>
      <c r="G21" s="13">
        <v>-1520.0935597499999</v>
      </c>
      <c r="H21" s="13">
        <v>-1869.071904056</v>
      </c>
      <c r="I21" s="13">
        <v>-2128.8437159710002</v>
      </c>
      <c r="J21" s="13">
        <v>-773.07692048900003</v>
      </c>
      <c r="K21" s="13">
        <v>-875.70243685100002</v>
      </c>
      <c r="L21" s="13">
        <v>-897.55493153600003</v>
      </c>
      <c r="M21" s="13">
        <v>-972.89627893099998</v>
      </c>
      <c r="N21" s="13">
        <v>-846.93308036400003</v>
      </c>
      <c r="O21" s="13">
        <v>-765.81309361800004</v>
      </c>
      <c r="P21" s="13">
        <v>-935.938713151</v>
      </c>
      <c r="Q21" s="9"/>
      <c r="S21" s="9"/>
    </row>
    <row r="22" spans="3:19" ht="14.4" x14ac:dyDescent="0.3">
      <c r="C22" s="3" t="s">
        <v>33</v>
      </c>
      <c r="D22" s="13"/>
      <c r="E22" s="13"/>
      <c r="F22" s="13"/>
      <c r="G22" s="13"/>
      <c r="H22" s="13"/>
      <c r="I22" s="13"/>
      <c r="J22" s="13">
        <v>674.42370221199997</v>
      </c>
      <c r="K22" s="13">
        <v>753.29844706400002</v>
      </c>
      <c r="L22" s="13">
        <v>767.29591335400005</v>
      </c>
      <c r="M22" s="13">
        <v>782.32084593499997</v>
      </c>
      <c r="N22" s="13">
        <v>728.57259607799995</v>
      </c>
      <c r="O22" s="13">
        <v>669.32142736699996</v>
      </c>
      <c r="P22" s="13">
        <v>597.87220246599998</v>
      </c>
    </row>
    <row r="23" spans="3:19" ht="14.4" x14ac:dyDescent="0.3">
      <c r="C23" s="3" t="s">
        <v>34</v>
      </c>
      <c r="D23" s="13"/>
      <c r="E23" s="13"/>
      <c r="F23" s="13"/>
      <c r="G23" s="13"/>
      <c r="H23" s="13"/>
      <c r="I23" s="13"/>
      <c r="J23" s="13">
        <v>88.907277527000005</v>
      </c>
      <c r="K23" s="13">
        <v>108.55258259199999</v>
      </c>
      <c r="L23" s="13">
        <v>113.705584153</v>
      </c>
      <c r="M23" s="13">
        <v>179.611550403</v>
      </c>
      <c r="N23" s="13">
        <v>104.470083816</v>
      </c>
      <c r="O23" s="13">
        <v>83.476642029999994</v>
      </c>
      <c r="P23" s="13">
        <v>323.75084307200001</v>
      </c>
    </row>
    <row r="24" spans="3:19" ht="14.4" x14ac:dyDescent="0.3">
      <c r="C24" s="3" t="s">
        <v>35</v>
      </c>
      <c r="D24" s="13"/>
      <c r="E24" s="13"/>
      <c r="F24" s="13"/>
      <c r="G24" s="13"/>
      <c r="H24" s="13"/>
      <c r="I24" s="13"/>
      <c r="J24" s="13">
        <v>9.7459407500000008</v>
      </c>
      <c r="K24" s="13">
        <v>13.851407195</v>
      </c>
      <c r="L24" s="13">
        <v>16.553434029000002</v>
      </c>
      <c r="M24" s="13">
        <v>10.963882592999999</v>
      </c>
      <c r="N24" s="13">
        <v>13.890400469999999</v>
      </c>
      <c r="O24" s="13">
        <v>13.015024220999999</v>
      </c>
      <c r="P24" s="13">
        <v>14.315667614000001</v>
      </c>
    </row>
    <row r="25" spans="3:19" ht="14.4" x14ac:dyDescent="0.3">
      <c r="C25" s="3" t="s">
        <v>36</v>
      </c>
      <c r="D25" s="13">
        <v>124.352255493</v>
      </c>
      <c r="E25" s="13">
        <v>176.43338087699999</v>
      </c>
      <c r="F25" s="13">
        <v>230.186608613</v>
      </c>
      <c r="G25" s="13">
        <v>218.43392612700001</v>
      </c>
      <c r="H25" s="13">
        <v>275.092804597</v>
      </c>
      <c r="I25" s="13">
        <v>323.03558912199998</v>
      </c>
      <c r="J25" s="13">
        <v>451.991116444</v>
      </c>
      <c r="K25" s="13">
        <v>509.19939768699999</v>
      </c>
      <c r="L25" s="13">
        <v>490.67246687099998</v>
      </c>
      <c r="M25" s="13">
        <v>428.12803731999998</v>
      </c>
      <c r="N25" s="13">
        <v>414.79594112000001</v>
      </c>
      <c r="O25" s="13">
        <v>491.13927792499999</v>
      </c>
      <c r="P25" s="13">
        <v>0</v>
      </c>
    </row>
    <row r="26" spans="3:19" ht="14.4" x14ac:dyDescent="0.3">
      <c r="C26" s="3" t="s">
        <v>37</v>
      </c>
      <c r="D26" s="13">
        <v>11.540749590000001</v>
      </c>
      <c r="E26" s="13">
        <v>6.2530332929999997</v>
      </c>
      <c r="F26" s="13">
        <v>7.5311206840000002</v>
      </c>
      <c r="G26" s="13">
        <v>5.8551250350000004</v>
      </c>
      <c r="H26" s="13">
        <v>3.6704648030000002</v>
      </c>
      <c r="I26" s="13">
        <v>4.2809301020000001</v>
      </c>
      <c r="J26" s="13">
        <v>17.714871417000001</v>
      </c>
      <c r="K26" s="13">
        <v>16.213594465</v>
      </c>
      <c r="L26" s="13">
        <v>18.773405464</v>
      </c>
      <c r="M26" s="13">
        <v>16.074493083</v>
      </c>
      <c r="N26" s="13">
        <v>13.251147259</v>
      </c>
      <c r="O26" s="13">
        <v>7.751782188</v>
      </c>
      <c r="P26" s="13">
        <v>6.3201838529999996</v>
      </c>
    </row>
    <row r="27" spans="3:19" ht="14.4" x14ac:dyDescent="0.3">
      <c r="C27" s="3" t="s">
        <v>38</v>
      </c>
      <c r="D27" s="13">
        <v>-36.268105159999998</v>
      </c>
      <c r="E27" s="13">
        <v>-39.1659802</v>
      </c>
      <c r="F27" s="13">
        <v>-55.878307466000003</v>
      </c>
      <c r="G27" s="13">
        <v>-31.547992931</v>
      </c>
      <c r="H27" s="13">
        <v>-23.772301317</v>
      </c>
      <c r="I27" s="13">
        <v>-30.303225344000001</v>
      </c>
      <c r="J27" s="13">
        <v>-15.816122703</v>
      </c>
      <c r="K27" s="13">
        <v>-9.1025276989999995</v>
      </c>
      <c r="L27" s="13">
        <v>-10.81134303</v>
      </c>
      <c r="M27" s="13">
        <v>-12.200034045000001</v>
      </c>
      <c r="N27" s="13">
        <v>-14.622931346</v>
      </c>
      <c r="O27" s="13">
        <v>-14.325530898</v>
      </c>
      <c r="P27" s="13">
        <v>-8.6470170460000002</v>
      </c>
    </row>
    <row r="28" spans="3:19" ht="14.4" x14ac:dyDescent="0.3">
      <c r="C28" s="3" t="s">
        <v>39</v>
      </c>
      <c r="D28" s="13">
        <v>-28.024669814999999</v>
      </c>
      <c r="E28" s="13">
        <v>-36.630792712999998</v>
      </c>
      <c r="F28" s="13">
        <v>-45.318450511000002</v>
      </c>
      <c r="G28" s="13">
        <v>-30.491840007</v>
      </c>
      <c r="H28" s="13">
        <v>-19.654884816999999</v>
      </c>
      <c r="I28" s="13">
        <v>-25.505476234</v>
      </c>
      <c r="J28" s="13">
        <v>-5.4477752500000003</v>
      </c>
      <c r="K28" s="13">
        <v>-4.4980130369999998</v>
      </c>
      <c r="L28" s="13">
        <v>-6.8281941420000001</v>
      </c>
      <c r="M28" s="13">
        <v>-8.3658396649999993</v>
      </c>
      <c r="N28" s="13">
        <v>-10.314154786</v>
      </c>
      <c r="O28" s="13">
        <v>-6.5888547370000001</v>
      </c>
      <c r="P28" s="13">
        <v>0</v>
      </c>
    </row>
    <row r="29" spans="3:19" ht="14.4" x14ac:dyDescent="0.3">
      <c r="C29" s="15" t="s">
        <v>40</v>
      </c>
      <c r="D29" s="13">
        <v>0</v>
      </c>
      <c r="E29" s="13">
        <v>0</v>
      </c>
      <c r="F29" s="13">
        <v>0</v>
      </c>
      <c r="G29" s="13">
        <v>0</v>
      </c>
      <c r="H29" s="13">
        <v>0</v>
      </c>
      <c r="I29" s="13">
        <v>0</v>
      </c>
      <c r="J29" s="13">
        <v>0</v>
      </c>
      <c r="K29" s="13">
        <v>10.724382085</v>
      </c>
      <c r="L29" s="13">
        <v>8.0301361270000005</v>
      </c>
      <c r="M29" s="13">
        <v>10.57976874</v>
      </c>
      <c r="N29" s="13">
        <v>14.439489521</v>
      </c>
      <c r="O29" s="13">
        <v>15.238404243</v>
      </c>
      <c r="P29" s="13">
        <v>16.083128633000001</v>
      </c>
    </row>
    <row r="30" spans="3:19" ht="14.4" x14ac:dyDescent="0.3">
      <c r="C30" s="3" t="s">
        <v>41</v>
      </c>
      <c r="D30" s="13">
        <v>-40.333566994000002</v>
      </c>
      <c r="E30" s="13">
        <v>-51.053570473000001</v>
      </c>
      <c r="F30" s="13">
        <v>-63.830105942000003</v>
      </c>
      <c r="G30" s="13">
        <v>-67.539287939999994</v>
      </c>
      <c r="H30" s="13">
        <v>-68.628661038999994</v>
      </c>
      <c r="I30" s="13">
        <v>-83.251927007000006</v>
      </c>
      <c r="J30" s="13">
        <v>-222.09589608499999</v>
      </c>
      <c r="K30" s="13">
        <v>-260.80345499600003</v>
      </c>
      <c r="L30" s="13">
        <v>-210.957435113</v>
      </c>
      <c r="M30" s="13">
        <v>-174.049858919</v>
      </c>
      <c r="N30" s="13">
        <v>-169.937788281</v>
      </c>
      <c r="O30" s="13">
        <v>-220.85512802299999</v>
      </c>
      <c r="P30" s="13">
        <v>-276.43932295000002</v>
      </c>
    </row>
    <row r="31" spans="3:19" ht="14.4" x14ac:dyDescent="0.3">
      <c r="C31" s="3" t="s">
        <v>42</v>
      </c>
      <c r="D31" s="13">
        <v>-40.655915118000003</v>
      </c>
      <c r="E31" s="13">
        <v>-43.689502986999997</v>
      </c>
      <c r="F31" s="13">
        <v>-49.310941354000001</v>
      </c>
      <c r="G31" s="13">
        <v>-58.072038450000001</v>
      </c>
      <c r="H31" s="13">
        <v>-62.676267232999997</v>
      </c>
      <c r="I31" s="13">
        <v>-71.410843088999997</v>
      </c>
      <c r="J31" s="13">
        <v>-102.01818872299999</v>
      </c>
      <c r="K31" s="13">
        <v>-90.386997007000005</v>
      </c>
      <c r="L31" s="13">
        <v>-92.776906479999994</v>
      </c>
      <c r="M31" s="13">
        <v>-67.521210099000001</v>
      </c>
      <c r="N31" s="13">
        <v>-84.108597928999998</v>
      </c>
      <c r="O31" s="13">
        <v>-88.501075564000004</v>
      </c>
      <c r="P31" s="13">
        <v>-128.99777688099999</v>
      </c>
    </row>
    <row r="32" spans="3:19" ht="14.4" x14ac:dyDescent="0.3">
      <c r="C32" s="15" t="s">
        <v>43</v>
      </c>
      <c r="D32" s="13">
        <v>18.635417811</v>
      </c>
      <c r="E32" s="13">
        <v>48.777360510000001</v>
      </c>
      <c r="F32" s="13">
        <v>68.698374534999999</v>
      </c>
      <c r="G32" s="13">
        <v>67.129731840999995</v>
      </c>
      <c r="H32" s="13">
        <v>123.686039811</v>
      </c>
      <c r="I32" s="13">
        <v>142.35052378399999</v>
      </c>
      <c r="J32" s="13">
        <v>129.77578034999999</v>
      </c>
      <c r="K32" s="13">
        <v>175.84439453499999</v>
      </c>
      <c r="L32" s="13">
        <v>202.93032383900001</v>
      </c>
      <c r="M32" s="13">
        <v>201.01119607999999</v>
      </c>
      <c r="N32" s="13">
        <v>173.817260344</v>
      </c>
      <c r="O32" s="13">
        <v>190.44772987100001</v>
      </c>
      <c r="P32" s="13">
        <v>230.88481574100001</v>
      </c>
    </row>
    <row r="33" spans="3:16" ht="14.4" x14ac:dyDescent="0.3">
      <c r="C33" s="3" t="s">
        <v>44</v>
      </c>
      <c r="D33" s="13">
        <v>4.7799167630000001</v>
      </c>
      <c r="E33" s="13">
        <v>5.8330355640000002</v>
      </c>
      <c r="F33" s="13">
        <v>7.357494118</v>
      </c>
      <c r="G33" s="13">
        <v>23.189036000000002</v>
      </c>
      <c r="H33" s="13">
        <v>6.255663867</v>
      </c>
      <c r="I33" s="13">
        <v>8.7732738030000004</v>
      </c>
      <c r="J33" s="13">
        <v>144.14160363799999</v>
      </c>
      <c r="K33" s="13">
        <v>0.22343835200000001</v>
      </c>
      <c r="L33" s="13">
        <v>0.68875094599999998</v>
      </c>
      <c r="M33" s="13">
        <v>0.23141077800000001</v>
      </c>
      <c r="N33" s="13">
        <v>0.34645156399999999</v>
      </c>
      <c r="O33" s="13">
        <v>2.8734187769999999</v>
      </c>
      <c r="P33" s="13">
        <v>1.8696857170000001</v>
      </c>
    </row>
    <row r="34" spans="3:16" ht="14.4" x14ac:dyDescent="0.3">
      <c r="C34" s="3" t="s">
        <v>45</v>
      </c>
      <c r="D34" s="13">
        <v>-0.94818806200000005</v>
      </c>
      <c r="E34" s="13">
        <v>-2.0307211280000002</v>
      </c>
      <c r="F34" s="13">
        <v>-2.9170077600000002</v>
      </c>
      <c r="G34" s="13">
        <v>-3.0392073769999999</v>
      </c>
      <c r="H34" s="13">
        <v>-1.502851664</v>
      </c>
      <c r="I34" s="13">
        <v>-0.98062654900000001</v>
      </c>
      <c r="J34" s="13">
        <v>-6.1872556000000002E-2</v>
      </c>
      <c r="K34" s="13">
        <v>-0.186788596</v>
      </c>
      <c r="L34" s="13">
        <v>-2.2626146999999999E-2</v>
      </c>
      <c r="M34" s="13">
        <v>-0.21626276</v>
      </c>
      <c r="N34" s="13">
        <v>-0.15042520600000001</v>
      </c>
      <c r="O34" s="13">
        <v>-0.12983325100000001</v>
      </c>
      <c r="P34" s="13">
        <v>0.30660156799999999</v>
      </c>
    </row>
    <row r="35" spans="3:16" ht="14.4" x14ac:dyDescent="0.3">
      <c r="C35" s="3" t="s">
        <v>46</v>
      </c>
      <c r="D35" s="13">
        <v>3.8317287009999998</v>
      </c>
      <c r="E35" s="13">
        <v>3.8023144360000001</v>
      </c>
      <c r="F35" s="13">
        <v>4.4404863580000002</v>
      </c>
      <c r="G35" s="13">
        <v>20.149828623000001</v>
      </c>
      <c r="H35" s="13">
        <v>4.7528122030000004</v>
      </c>
      <c r="I35" s="13">
        <v>7.7926472540000002</v>
      </c>
      <c r="J35" s="13">
        <v>144.079731082</v>
      </c>
      <c r="K35" s="13">
        <v>3.6649755999999999E-2</v>
      </c>
      <c r="L35" s="13">
        <v>0.66612479899999999</v>
      </c>
      <c r="M35" s="13">
        <v>1.5148017999999999E-2</v>
      </c>
      <c r="N35" s="13">
        <v>0.19602635800000001</v>
      </c>
      <c r="O35" s="13">
        <v>2.7435855259999999</v>
      </c>
      <c r="P35" s="13">
        <v>0</v>
      </c>
    </row>
    <row r="36" spans="3:16" ht="14.4" x14ac:dyDescent="0.3">
      <c r="C36" s="15" t="s">
        <v>47</v>
      </c>
      <c r="D36" s="13">
        <v>0</v>
      </c>
      <c r="E36" s="13">
        <v>0</v>
      </c>
      <c r="F36" s="13">
        <v>0</v>
      </c>
      <c r="G36" s="13">
        <v>0</v>
      </c>
      <c r="H36" s="13">
        <v>0</v>
      </c>
      <c r="I36" s="13">
        <v>0</v>
      </c>
      <c r="J36" s="13">
        <v>0</v>
      </c>
      <c r="K36" s="13">
        <v>0</v>
      </c>
      <c r="L36" s="13">
        <v>0</v>
      </c>
      <c r="M36" s="13">
        <v>0</v>
      </c>
      <c r="N36" s="13">
        <v>0</v>
      </c>
      <c r="O36" s="13">
        <v>0</v>
      </c>
      <c r="P36" s="13">
        <v>0</v>
      </c>
    </row>
    <row r="37" spans="3:16" ht="14.4" x14ac:dyDescent="0.3">
      <c r="C37" s="15" t="s">
        <v>48</v>
      </c>
      <c r="D37" s="13">
        <v>22.467146511999999</v>
      </c>
      <c r="E37" s="13">
        <v>52.579674945999997</v>
      </c>
      <c r="F37" s="13">
        <v>73.138860893</v>
      </c>
      <c r="G37" s="13">
        <v>87.279560463999999</v>
      </c>
      <c r="H37" s="13">
        <v>128.43885201399999</v>
      </c>
      <c r="I37" s="13">
        <v>150.14317103799999</v>
      </c>
      <c r="J37" s="13">
        <v>273.85551143200001</v>
      </c>
      <c r="K37" s="13">
        <v>175.88104429099999</v>
      </c>
      <c r="L37" s="13">
        <v>203.596448638</v>
      </c>
      <c r="M37" s="13">
        <v>201.02634409800001</v>
      </c>
      <c r="N37" s="13">
        <v>174.01328670199999</v>
      </c>
      <c r="O37" s="13">
        <v>193.19131539700001</v>
      </c>
      <c r="P37" s="13">
        <v>128.9</v>
      </c>
    </row>
    <row r="38" spans="3:16" ht="14.4" x14ac:dyDescent="0.3">
      <c r="C38" s="3" t="s">
        <v>49</v>
      </c>
      <c r="D38" s="13">
        <v>-4.4444998919999996</v>
      </c>
      <c r="E38" s="13">
        <v>-11.69701792</v>
      </c>
      <c r="F38" s="13">
        <v>-14.159258903</v>
      </c>
      <c r="G38" s="13">
        <v>-16.632764935000001</v>
      </c>
      <c r="H38" s="13">
        <v>-26.869333764</v>
      </c>
      <c r="I38" s="13">
        <v>-29.207910408</v>
      </c>
      <c r="J38" s="13">
        <v>-59.090007555</v>
      </c>
      <c r="K38" s="13">
        <v>-34.389506357000002</v>
      </c>
      <c r="L38" s="13">
        <v>-39.205654510999999</v>
      </c>
      <c r="M38" s="13">
        <v>-38.021545803999999</v>
      </c>
      <c r="N38" s="13">
        <v>-31.894302204999999</v>
      </c>
      <c r="O38" s="13">
        <v>-35.316611782999999</v>
      </c>
      <c r="P38" s="13">
        <v>-46.115823912000003</v>
      </c>
    </row>
    <row r="39" spans="3:16" ht="14.4" x14ac:dyDescent="0.3">
      <c r="C39" s="3" t="s">
        <v>50</v>
      </c>
      <c r="D39" s="13">
        <v>0.36316525999999999</v>
      </c>
      <c r="E39" s="13">
        <v>-0.17918967299999999</v>
      </c>
      <c r="F39" s="13">
        <v>-0.18714837100000001</v>
      </c>
      <c r="G39" s="13">
        <v>-9.8521534999999993E-2</v>
      </c>
      <c r="H39" s="13">
        <v>1.6914861999999999E-2</v>
      </c>
      <c r="I39" s="13">
        <v>0.18368348000000001</v>
      </c>
      <c r="J39" s="13">
        <v>0</v>
      </c>
      <c r="K39" s="13">
        <v>0</v>
      </c>
      <c r="L39" s="13">
        <v>0</v>
      </c>
      <c r="M39" s="13">
        <v>0</v>
      </c>
      <c r="N39" s="13">
        <v>0.10843274</v>
      </c>
      <c r="O39" s="13">
        <v>-1.5138798E-2</v>
      </c>
      <c r="P39" s="13">
        <v>-2.5460035959999998</v>
      </c>
    </row>
    <row r="40" spans="3:16" ht="14.4" x14ac:dyDescent="0.3">
      <c r="C40" s="3" t="s">
        <v>51</v>
      </c>
      <c r="D40" s="13">
        <v>-4.0813346319999999</v>
      </c>
      <c r="E40" s="13">
        <v>-11.876207593</v>
      </c>
      <c r="F40" s="13">
        <v>-14.346407274000001</v>
      </c>
      <c r="G40" s="13">
        <v>-16.731286470000001</v>
      </c>
      <c r="H40" s="13">
        <v>-26.852418902</v>
      </c>
      <c r="I40" s="13">
        <v>-29.024226928000001</v>
      </c>
      <c r="J40" s="13">
        <v>-59.090007555</v>
      </c>
      <c r="K40" s="13">
        <v>-34.389506357000002</v>
      </c>
      <c r="L40" s="13">
        <v>-39.205654510999999</v>
      </c>
      <c r="M40" s="13">
        <v>-38.021545803999999</v>
      </c>
      <c r="N40" s="13">
        <v>-31.785869465000001</v>
      </c>
      <c r="O40" s="13">
        <v>-35.331750581000001</v>
      </c>
      <c r="P40" s="13">
        <v>-48.661827508000002</v>
      </c>
    </row>
    <row r="41" spans="3:16" ht="14.4" x14ac:dyDescent="0.3">
      <c r="C41" s="15" t="s">
        <v>52</v>
      </c>
      <c r="D41" s="13">
        <v>18.385811879999999</v>
      </c>
      <c r="E41" s="13">
        <v>40.703467353000001</v>
      </c>
      <c r="F41" s="13">
        <v>58.792453619</v>
      </c>
      <c r="G41" s="13">
        <v>70.548273993999999</v>
      </c>
      <c r="H41" s="13">
        <v>101.58643311199999</v>
      </c>
      <c r="I41" s="13">
        <v>121.11894411</v>
      </c>
      <c r="J41" s="13">
        <v>214.76550387699999</v>
      </c>
      <c r="K41" s="13">
        <v>141.49153793400001</v>
      </c>
      <c r="L41" s="13">
        <v>164.39079412699999</v>
      </c>
      <c r="M41" s="13">
        <v>163.00479829400001</v>
      </c>
      <c r="N41" s="13">
        <v>142.227417237</v>
      </c>
      <c r="O41" s="13">
        <v>157.85956481599999</v>
      </c>
      <c r="P41" s="13">
        <v>184.4</v>
      </c>
    </row>
    <row r="42" spans="3:16" ht="14.4" x14ac:dyDescent="0.3">
      <c r="C42" s="3" t="s">
        <v>53</v>
      </c>
      <c r="D42" s="13">
        <v>1.713501232</v>
      </c>
      <c r="E42" s="13">
        <v>1.6561585560000001</v>
      </c>
      <c r="F42" s="13">
        <v>2.4669584769999999</v>
      </c>
      <c r="G42" s="13">
        <v>3.1185531960000001</v>
      </c>
      <c r="H42" s="13">
        <v>9.3595911530000002</v>
      </c>
      <c r="I42" s="13">
        <v>9.6224834220000002</v>
      </c>
      <c r="J42" s="13">
        <v>0</v>
      </c>
      <c r="K42" s="13">
        <v>0</v>
      </c>
      <c r="L42" s="13">
        <v>0</v>
      </c>
      <c r="M42" s="13">
        <v>0</v>
      </c>
      <c r="N42" s="13">
        <v>0</v>
      </c>
      <c r="O42" s="13">
        <v>0</v>
      </c>
      <c r="P42" s="13">
        <v>0</v>
      </c>
    </row>
    <row r="43" spans="3:16" ht="14.4" x14ac:dyDescent="0.3">
      <c r="C43" s="3" t="s">
        <v>54</v>
      </c>
      <c r="D43" s="13">
        <v>16.672310648</v>
      </c>
      <c r="E43" s="13">
        <v>39.047308796999999</v>
      </c>
      <c r="F43" s="13">
        <v>56.325495142000001</v>
      </c>
      <c r="G43" s="13">
        <v>67.429720798000005</v>
      </c>
      <c r="H43" s="13">
        <v>92.226841958999998</v>
      </c>
      <c r="I43" s="13">
        <v>111.496460688</v>
      </c>
      <c r="J43" s="13">
        <v>214.76550387699999</v>
      </c>
      <c r="K43" s="13">
        <v>141.49153793400001</v>
      </c>
      <c r="L43" s="13">
        <v>164.39079412699999</v>
      </c>
      <c r="M43" s="13">
        <v>163.00479829400001</v>
      </c>
      <c r="N43" s="13">
        <v>142.227417237</v>
      </c>
      <c r="O43" s="13">
        <v>157.85956481599999</v>
      </c>
      <c r="P43" s="13">
        <v>184.4</v>
      </c>
    </row>
    <row r="44" spans="3:16" ht="14.4" x14ac:dyDescent="0.3">
      <c r="C44" s="15" t="s">
        <v>55</v>
      </c>
      <c r="D44" s="13">
        <v>2779</v>
      </c>
      <c r="E44" s="13">
        <v>5040</v>
      </c>
      <c r="F44" s="13">
        <v>6464</v>
      </c>
      <c r="G44" s="13">
        <v>5619</v>
      </c>
      <c r="H44" s="13">
        <v>7685</v>
      </c>
      <c r="I44" s="13">
        <v>7742</v>
      </c>
      <c r="J44" s="13">
        <v>4500</v>
      </c>
      <c r="K44" s="13">
        <v>2789</v>
      </c>
      <c r="L44" s="13">
        <v>2825</v>
      </c>
      <c r="M44" s="13">
        <v>2801</v>
      </c>
      <c r="N44" s="13">
        <v>2444</v>
      </c>
      <c r="O44" s="13">
        <v>2712</v>
      </c>
      <c r="P44" s="13">
        <v>0</v>
      </c>
    </row>
    <row r="45" spans="3:16" ht="14.4" x14ac:dyDescent="0.3">
      <c r="C45" s="15" t="s">
        <v>56</v>
      </c>
      <c r="D45" s="13">
        <v>0</v>
      </c>
      <c r="E45" s="13">
        <v>0</v>
      </c>
      <c r="F45" s="13">
        <v>0</v>
      </c>
      <c r="G45" s="13">
        <v>0</v>
      </c>
      <c r="H45" s="13">
        <v>0</v>
      </c>
      <c r="I45" s="13">
        <v>0</v>
      </c>
      <c r="J45" s="13">
        <v>0</v>
      </c>
      <c r="K45" s="13">
        <v>0</v>
      </c>
      <c r="L45" s="13">
        <v>0</v>
      </c>
      <c r="M45" s="13">
        <v>0</v>
      </c>
      <c r="N45" s="13">
        <v>0</v>
      </c>
      <c r="O45" s="13">
        <v>2712</v>
      </c>
      <c r="P45" s="13">
        <v>0</v>
      </c>
    </row>
    <row r="46" spans="3:16" ht="15.6" x14ac:dyDescent="0.3">
      <c r="C46" s="16"/>
    </row>
    <row r="47" spans="3:16" ht="15.6" x14ac:dyDescent="0.3">
      <c r="C47" s="16" t="s">
        <v>57</v>
      </c>
    </row>
    <row r="48" spans="3:16" ht="15.6" x14ac:dyDescent="0.3">
      <c r="C48" s="17" t="s">
        <v>58</v>
      </c>
    </row>
    <row r="49" spans="3:3" ht="15.6" x14ac:dyDescent="0.3">
      <c r="C49" s="17" t="s">
        <v>59</v>
      </c>
    </row>
    <row r="50" spans="3:3" ht="14.4" x14ac:dyDescent="0.3">
      <c r="C50" s="18" t="s">
        <v>60</v>
      </c>
    </row>
    <row r="51" spans="3:3" ht="14.4" x14ac:dyDescent="0.3">
      <c r="C51" s="19"/>
    </row>
    <row r="52" spans="3:3" ht="15.6" x14ac:dyDescent="0.3">
      <c r="C52" s="16" t="s">
        <v>61</v>
      </c>
    </row>
    <row r="53" spans="3:3" ht="15.6" x14ac:dyDescent="0.3">
      <c r="C53" s="16" t="s">
        <v>62</v>
      </c>
    </row>
    <row r="54" spans="3:3" ht="15.6" x14ac:dyDescent="0.3">
      <c r="C54" s="17" t="s">
        <v>63</v>
      </c>
    </row>
    <row r="55" spans="3:3" ht="14.4" x14ac:dyDescent="0.3">
      <c r="C55" s="18" t="s">
        <v>64</v>
      </c>
    </row>
    <row r="56" spans="3:3" ht="14.4" x14ac:dyDescent="0.3">
      <c r="C56" s="19" t="s">
        <v>65</v>
      </c>
    </row>
    <row r="57" spans="3:3" ht="15.6" x14ac:dyDescent="0.3">
      <c r="C57" s="16"/>
    </row>
    <row r="58" spans="3:3" ht="15.6" x14ac:dyDescent="0.3">
      <c r="C58" s="17" t="s">
        <v>66</v>
      </c>
    </row>
    <row r="59" spans="3:3" ht="14.4" x14ac:dyDescent="0.3">
      <c r="C59" s="18" t="s">
        <v>67</v>
      </c>
    </row>
    <row r="60" spans="3:3" ht="14.4" x14ac:dyDescent="0.3">
      <c r="C60" s="19" t="s">
        <v>68</v>
      </c>
    </row>
    <row r="61" spans="3:3" ht="14.4" x14ac:dyDescent="0.3">
      <c r="C61" s="19" t="s">
        <v>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8EBC3-F61A-4C84-9758-6BBAF9EA9CF4}">
  <dimension ref="C1:R152"/>
  <sheetViews>
    <sheetView topLeftCell="C88" zoomScale="63" zoomScaleNormal="63" workbookViewId="0">
      <selection activeCell="H20" sqref="H20"/>
    </sheetView>
  </sheetViews>
  <sheetFormatPr defaultColWidth="9.109375" defaultRowHeight="12" x14ac:dyDescent="0.3"/>
  <cols>
    <col min="1" max="2" width="0" style="4" hidden="1" customWidth="1"/>
    <col min="3" max="3" width="40.109375" style="4" customWidth="1"/>
    <col min="4" max="6" width="13.5546875" style="4" bestFit="1" customWidth="1"/>
    <col min="7" max="7" width="15.44140625" style="4" bestFit="1" customWidth="1"/>
    <col min="8" max="16" width="21.109375" style="4" bestFit="1" customWidth="1"/>
    <col min="17" max="17" width="9.109375" style="4"/>
    <col min="18" max="18" width="11.109375" style="4" customWidth="1"/>
    <col min="19" max="19" width="19.44140625" style="4" customWidth="1"/>
    <col min="20" max="20" width="9.109375" style="4"/>
    <col min="21" max="21" width="14" style="4" customWidth="1"/>
    <col min="22" max="16384" width="9.109375" style="4"/>
  </cols>
  <sheetData>
    <row r="1" spans="3:16" s="1" customFormat="1" x14ac:dyDescent="0.3"/>
    <row r="2" spans="3:16" s="1" customFormat="1" x14ac:dyDescent="0.3"/>
    <row r="3" spans="3:16" s="1" customFormat="1" x14ac:dyDescent="0.3"/>
    <row r="4" spans="3:16" s="1" customFormat="1" x14ac:dyDescent="0.3"/>
    <row r="5" spans="3:16" ht="14.4" x14ac:dyDescent="0.3">
      <c r="C5" s="2" t="s">
        <v>0</v>
      </c>
      <c r="D5" s="3"/>
    </row>
    <row r="6" spans="3:16" ht="14.4" x14ac:dyDescent="0.3">
      <c r="C6" s="2" t="s">
        <v>1</v>
      </c>
      <c r="D6" s="3"/>
      <c r="N6" s="5"/>
      <c r="P6" s="4">
        <v>1000000000</v>
      </c>
    </row>
    <row r="7" spans="3:16" x14ac:dyDescent="0.3">
      <c r="E7" s="6"/>
      <c r="N7" s="5"/>
      <c r="P7" s="4">
        <v>48716.391617812151</v>
      </c>
    </row>
    <row r="8" spans="3:16" ht="14.4" x14ac:dyDescent="0.3">
      <c r="C8" s="2" t="s">
        <v>2</v>
      </c>
      <c r="D8" s="3" t="s">
        <v>3</v>
      </c>
      <c r="F8" s="2" t="s">
        <v>4</v>
      </c>
      <c r="G8" s="3" t="s">
        <v>5</v>
      </c>
      <c r="H8" s="3" t="s">
        <v>6</v>
      </c>
      <c r="K8" s="4" t="s">
        <v>70</v>
      </c>
    </row>
    <row r="9" spans="3:16" ht="14.4" x14ac:dyDescent="0.3">
      <c r="C9" s="2" t="s">
        <v>7</v>
      </c>
      <c r="D9" s="3" t="s">
        <v>8</v>
      </c>
      <c r="F9" s="2" t="s">
        <v>9</v>
      </c>
      <c r="G9" s="3" t="s">
        <v>10</v>
      </c>
      <c r="H9" s="3" t="s">
        <v>10</v>
      </c>
      <c r="L9" s="9"/>
      <c r="M9" s="9"/>
      <c r="N9" s="9"/>
      <c r="O9" s="9"/>
    </row>
    <row r="10" spans="3:16" x14ac:dyDescent="0.3">
      <c r="J10" s="9">
        <v>106.71932934599999</v>
      </c>
      <c r="K10" s="9">
        <v>156.027758506</v>
      </c>
      <c r="L10" s="9">
        <v>204.07064098199999</v>
      </c>
      <c r="M10" s="9">
        <v>249.385783562</v>
      </c>
      <c r="N10" s="9">
        <v>281.75466900800001</v>
      </c>
      <c r="O10" s="9">
        <v>326.31662956399998</v>
      </c>
      <c r="P10" s="9">
        <v>412.21558622999999</v>
      </c>
    </row>
    <row r="11" spans="3:16" ht="14.4" x14ac:dyDescent="0.3">
      <c r="C11" s="11"/>
      <c r="D11" s="2">
        <v>2009</v>
      </c>
      <c r="E11" s="2">
        <v>2010</v>
      </c>
      <c r="F11" s="2">
        <v>2011</v>
      </c>
      <c r="G11" s="2">
        <v>2012</v>
      </c>
      <c r="H11" s="12" t="s">
        <v>11</v>
      </c>
      <c r="I11" s="12" t="s">
        <v>12</v>
      </c>
      <c r="J11" s="12" t="s">
        <v>13</v>
      </c>
      <c r="K11" s="12" t="s">
        <v>14</v>
      </c>
      <c r="L11" s="12" t="s">
        <v>15</v>
      </c>
      <c r="M11" s="12" t="s">
        <v>6</v>
      </c>
      <c r="N11" s="12" t="s">
        <v>16</v>
      </c>
      <c r="O11" s="12" t="s">
        <v>17</v>
      </c>
      <c r="P11" s="12" t="s">
        <v>18</v>
      </c>
    </row>
    <row r="12" spans="3:16" ht="14.4" x14ac:dyDescent="0.3">
      <c r="C12" s="3" t="s">
        <v>19</v>
      </c>
      <c r="D12" s="3" t="s">
        <v>20</v>
      </c>
      <c r="E12" s="3" t="s">
        <v>20</v>
      </c>
      <c r="F12" s="3" t="s">
        <v>20</v>
      </c>
      <c r="G12" s="3" t="s">
        <v>20</v>
      </c>
      <c r="H12" s="3" t="s">
        <v>20</v>
      </c>
      <c r="I12" s="3" t="s">
        <v>20</v>
      </c>
      <c r="J12" s="3" t="s">
        <v>20</v>
      </c>
      <c r="K12" s="3" t="s">
        <v>20</v>
      </c>
      <c r="L12" s="3" t="s">
        <v>20</v>
      </c>
      <c r="M12" s="3" t="s">
        <v>20</v>
      </c>
      <c r="N12" s="3" t="s">
        <v>20</v>
      </c>
      <c r="O12" s="3" t="s">
        <v>20</v>
      </c>
      <c r="P12" s="3" t="s">
        <v>20</v>
      </c>
    </row>
    <row r="13" spans="3:16" ht="14.4" x14ac:dyDescent="0.3">
      <c r="C13" s="3" t="s">
        <v>21</v>
      </c>
      <c r="D13" s="3"/>
      <c r="E13" s="3"/>
      <c r="F13" s="3"/>
      <c r="G13" s="3" t="s">
        <v>22</v>
      </c>
      <c r="H13" s="3" t="s">
        <v>22</v>
      </c>
      <c r="I13" s="3" t="s">
        <v>22</v>
      </c>
      <c r="J13" s="3" t="s">
        <v>22</v>
      </c>
      <c r="K13" s="3" t="s">
        <v>22</v>
      </c>
      <c r="L13" s="3" t="s">
        <v>22</v>
      </c>
      <c r="M13" s="3" t="s">
        <v>22</v>
      </c>
      <c r="N13" s="3" t="s">
        <v>22</v>
      </c>
      <c r="O13" s="3" t="s">
        <v>22</v>
      </c>
      <c r="P13" s="3" t="s">
        <v>22</v>
      </c>
    </row>
    <row r="14" spans="3:16" ht="14.4" x14ac:dyDescent="0.3">
      <c r="C14" s="3" t="s">
        <v>23</v>
      </c>
      <c r="D14" s="3"/>
      <c r="E14" s="3"/>
      <c r="F14" s="3"/>
      <c r="G14" s="3" t="s">
        <v>24</v>
      </c>
      <c r="H14" s="3" t="s">
        <v>25</v>
      </c>
      <c r="I14" s="3" t="s">
        <v>25</v>
      </c>
      <c r="J14" s="3" t="s">
        <v>25</v>
      </c>
      <c r="K14" s="3" t="s">
        <v>25</v>
      </c>
      <c r="L14" s="3" t="s">
        <v>25</v>
      </c>
      <c r="M14" s="3" t="s">
        <v>25</v>
      </c>
      <c r="N14" s="3" t="s">
        <v>25</v>
      </c>
      <c r="O14" s="3" t="s">
        <v>25</v>
      </c>
      <c r="P14" s="3" t="s">
        <v>25</v>
      </c>
    </row>
    <row r="15" spans="3:16" ht="14.4" x14ac:dyDescent="0.3">
      <c r="C15" s="3" t="s">
        <v>71</v>
      </c>
      <c r="D15" s="13">
        <v>304.081617069</v>
      </c>
      <c r="E15" s="13">
        <v>425.46919757500001</v>
      </c>
      <c r="F15" s="13">
        <v>430.74772589700001</v>
      </c>
      <c r="G15" s="13">
        <v>540.80049363199998</v>
      </c>
      <c r="H15" s="13">
        <v>639.36503560000006</v>
      </c>
      <c r="I15" s="13">
        <v>756.45027704100005</v>
      </c>
      <c r="J15" s="13">
        <v>772.566356477</v>
      </c>
      <c r="K15" s="13">
        <v>1023.140020557</v>
      </c>
      <c r="L15" s="13">
        <v>1115.4177067109999</v>
      </c>
      <c r="M15" s="13">
        <v>1021.237151785</v>
      </c>
      <c r="N15" s="13">
        <v>1028.8082387950001</v>
      </c>
      <c r="O15" s="13">
        <v>835.84573580300003</v>
      </c>
      <c r="P15" s="13">
        <v>972.31053835600005</v>
      </c>
    </row>
    <row r="16" spans="3:16" ht="14.4" x14ac:dyDescent="0.3">
      <c r="C16" s="3" t="s">
        <v>72</v>
      </c>
      <c r="D16" s="13">
        <v>21.196006468</v>
      </c>
      <c r="E16" s="13">
        <v>44.016582137</v>
      </c>
      <c r="F16" s="13">
        <v>36.961259775000002</v>
      </c>
      <c r="G16" s="13">
        <v>98.834989262999997</v>
      </c>
      <c r="H16" s="13">
        <v>100.572076603</v>
      </c>
      <c r="I16" s="13">
        <v>127.49808649400001</v>
      </c>
      <c r="J16" s="13">
        <v>210.69177091500001</v>
      </c>
      <c r="K16" s="13">
        <v>135.54888223399999</v>
      </c>
      <c r="L16" s="13">
        <v>96.499799276000005</v>
      </c>
      <c r="M16" s="13">
        <v>92.556725446000002</v>
      </c>
      <c r="N16" s="13">
        <v>138.16217737900001</v>
      </c>
      <c r="O16" s="13">
        <v>108.72871471000001</v>
      </c>
      <c r="P16" s="13">
        <v>68.453780408</v>
      </c>
    </row>
    <row r="17" spans="3:18" ht="14.4" x14ac:dyDescent="0.3">
      <c r="C17" s="3" t="s">
        <v>73</v>
      </c>
      <c r="D17" s="13">
        <v>21.196006468</v>
      </c>
      <c r="E17" s="13">
        <v>44.016582137</v>
      </c>
      <c r="F17" s="13">
        <v>36.961259775000002</v>
      </c>
      <c r="G17" s="13">
        <v>47.302099575</v>
      </c>
      <c r="H17" s="13">
        <v>100.572076603</v>
      </c>
      <c r="I17" s="13">
        <v>56.371803161000003</v>
      </c>
      <c r="J17" s="13">
        <v>53.691770914999999</v>
      </c>
      <c r="K17" s="13">
        <v>63.048882233999997</v>
      </c>
      <c r="L17" s="13">
        <v>53.999799275999997</v>
      </c>
      <c r="M17" s="13">
        <v>80.556725446000002</v>
      </c>
      <c r="N17" s="13">
        <v>47.442332684</v>
      </c>
      <c r="O17" s="13">
        <v>35.184670629000003</v>
      </c>
      <c r="P17" s="13">
        <v>31.453780408</v>
      </c>
    </row>
    <row r="18" spans="3:18" ht="14.4" x14ac:dyDescent="0.3">
      <c r="C18" s="3" t="s">
        <v>74</v>
      </c>
      <c r="D18" s="13">
        <v>0</v>
      </c>
      <c r="E18" s="13">
        <v>0</v>
      </c>
      <c r="F18" s="13">
        <v>0</v>
      </c>
      <c r="G18" s="13">
        <v>51.532889687999997</v>
      </c>
      <c r="H18" s="13">
        <v>0</v>
      </c>
      <c r="I18" s="13">
        <v>71.126283333000003</v>
      </c>
      <c r="J18" s="13">
        <v>157</v>
      </c>
      <c r="K18" s="13">
        <v>72.5</v>
      </c>
      <c r="L18" s="13">
        <v>42.5</v>
      </c>
      <c r="M18" s="13">
        <v>12</v>
      </c>
      <c r="N18" s="13">
        <v>90.719844695000006</v>
      </c>
      <c r="O18" s="13">
        <v>73.544044080999996</v>
      </c>
      <c r="P18" s="13">
        <v>37</v>
      </c>
    </row>
    <row r="19" spans="3:18" ht="14.4" x14ac:dyDescent="0.3">
      <c r="C19" s="3" t="s">
        <v>75</v>
      </c>
      <c r="D19" s="13">
        <v>4.2701751000000003</v>
      </c>
      <c r="E19" s="13">
        <v>4.2419197000000004</v>
      </c>
      <c r="F19" s="13">
        <v>3.8007987999999999</v>
      </c>
      <c r="G19" s="13">
        <v>4.2409005000000004</v>
      </c>
      <c r="H19" s="13">
        <v>3.4392469000000001</v>
      </c>
      <c r="I19" s="13">
        <v>0.87379810000000002</v>
      </c>
      <c r="J19" s="13">
        <v>110.0013933</v>
      </c>
      <c r="K19" s="13">
        <v>274.11239330000001</v>
      </c>
      <c r="L19" s="13">
        <v>313.80139329999997</v>
      </c>
      <c r="M19" s="13">
        <v>222.70139330000001</v>
      </c>
      <c r="N19" s="13">
        <v>113.9413933</v>
      </c>
      <c r="O19" s="13">
        <v>93.341393299999993</v>
      </c>
      <c r="P19" s="13">
        <v>139.20139330000001</v>
      </c>
    </row>
    <row r="20" spans="3:18" ht="14.4" x14ac:dyDescent="0.3">
      <c r="C20" s="3" t="s">
        <v>76</v>
      </c>
      <c r="D20" s="13">
        <v>8.051410336</v>
      </c>
      <c r="E20" s="13">
        <v>9.0707917360000003</v>
      </c>
      <c r="F20" s="13">
        <v>9.1910027359999997</v>
      </c>
      <c r="G20" s="13">
        <v>8.3588576999999997</v>
      </c>
      <c r="H20" s="13">
        <v>7.5708960000000003</v>
      </c>
      <c r="I20" s="13">
        <v>1.17953</v>
      </c>
      <c r="J20" s="13">
        <v>1.3933000000000001E-3</v>
      </c>
      <c r="K20" s="13">
        <v>1.3933000000000001E-3</v>
      </c>
      <c r="L20" s="13">
        <v>1.3933000000000001E-3</v>
      </c>
      <c r="M20" s="13">
        <v>1.3933000000000001E-3</v>
      </c>
      <c r="N20" s="13">
        <v>1.3933000000000001E-3</v>
      </c>
      <c r="O20" s="13">
        <v>1.3933000000000001E-3</v>
      </c>
      <c r="P20" s="13">
        <v>1.3933000000000001E-3</v>
      </c>
    </row>
    <row r="21" spans="3:18" ht="14.4" x14ac:dyDescent="0.3">
      <c r="C21" s="3" t="s">
        <v>77</v>
      </c>
      <c r="D21" s="13">
        <v>-3.7812352360000001</v>
      </c>
      <c r="E21" s="13">
        <v>-4.8288720359999999</v>
      </c>
      <c r="F21" s="13">
        <v>-5.3902039359999998</v>
      </c>
      <c r="G21" s="13">
        <v>-4.1179572000000002</v>
      </c>
      <c r="H21" s="13">
        <v>-4.1316490999999997</v>
      </c>
      <c r="I21" s="13">
        <v>-0.3057319</v>
      </c>
      <c r="J21" s="13">
        <v>0</v>
      </c>
      <c r="K21" s="13">
        <v>0</v>
      </c>
      <c r="L21" s="13">
        <v>0</v>
      </c>
      <c r="M21" s="13">
        <v>0</v>
      </c>
      <c r="N21" s="13">
        <v>0</v>
      </c>
      <c r="O21" s="13">
        <v>0</v>
      </c>
      <c r="P21" s="13">
        <v>0</v>
      </c>
    </row>
    <row r="22" spans="3:18" ht="14.4" x14ac:dyDescent="0.3">
      <c r="C22" s="3" t="s">
        <v>78</v>
      </c>
      <c r="D22" s="13">
        <v>0</v>
      </c>
      <c r="E22" s="13">
        <v>0</v>
      </c>
      <c r="F22" s="13">
        <v>0</v>
      </c>
      <c r="G22" s="13">
        <v>0</v>
      </c>
      <c r="H22" s="13">
        <v>0</v>
      </c>
      <c r="I22" s="13">
        <v>0</v>
      </c>
      <c r="J22" s="13">
        <v>110</v>
      </c>
      <c r="K22" s="13">
        <v>274.11099999999999</v>
      </c>
      <c r="L22" s="13">
        <v>313.8</v>
      </c>
      <c r="M22" s="13">
        <v>222.7</v>
      </c>
      <c r="N22" s="13">
        <v>113.94</v>
      </c>
      <c r="O22" s="13">
        <v>93.34</v>
      </c>
      <c r="P22" s="13">
        <v>139.19999999999999</v>
      </c>
    </row>
    <row r="23" spans="3:18" ht="14.4" x14ac:dyDescent="0.3">
      <c r="C23" s="3" t="s">
        <v>79</v>
      </c>
      <c r="D23" s="13">
        <v>132.69902668500001</v>
      </c>
      <c r="E23" s="13">
        <v>254.15788216499999</v>
      </c>
      <c r="F23" s="13">
        <v>211.96626940799999</v>
      </c>
      <c r="G23" s="13">
        <v>212.35944427300001</v>
      </c>
      <c r="H23" s="13">
        <v>192.18521413400001</v>
      </c>
      <c r="I23" s="13">
        <v>276.91296378800001</v>
      </c>
      <c r="J23" s="13">
        <v>272.48071712900003</v>
      </c>
      <c r="K23" s="13">
        <v>372.12791607899999</v>
      </c>
      <c r="L23" s="13">
        <v>405.93247588899999</v>
      </c>
      <c r="M23" s="13">
        <v>428.87786572300001</v>
      </c>
      <c r="N23" s="13">
        <v>445.14765052600001</v>
      </c>
      <c r="O23" s="13">
        <v>412.70150758099999</v>
      </c>
      <c r="P23" s="13">
        <v>503.84008486900001</v>
      </c>
      <c r="Q23" s="9"/>
      <c r="R23" s="9"/>
    </row>
    <row r="24" spans="3:18" ht="14.4" x14ac:dyDescent="0.3">
      <c r="C24" s="3" t="s">
        <v>80</v>
      </c>
      <c r="D24" s="13">
        <v>118.093599564</v>
      </c>
      <c r="E24" s="13">
        <v>239.82706040299999</v>
      </c>
      <c r="F24" s="13">
        <v>195.280141646</v>
      </c>
      <c r="G24" s="13">
        <v>204.28601963099999</v>
      </c>
      <c r="H24" s="13">
        <v>167.365030015</v>
      </c>
      <c r="I24" s="13">
        <v>242.888328159</v>
      </c>
      <c r="J24" s="13">
        <v>255.39415687299999</v>
      </c>
      <c r="K24" s="13">
        <v>319.40608373499998</v>
      </c>
      <c r="L24" s="13">
        <v>339.16997320899998</v>
      </c>
      <c r="M24" s="13">
        <v>380.72340236700001</v>
      </c>
      <c r="N24" s="13">
        <v>407.28590982700001</v>
      </c>
      <c r="O24" s="13">
        <v>412.78328020999999</v>
      </c>
      <c r="P24" s="13">
        <v>496.56440832499999</v>
      </c>
    </row>
    <row r="25" spans="3:18" ht="14.4" x14ac:dyDescent="0.3">
      <c r="C25" s="3" t="s">
        <v>81</v>
      </c>
      <c r="D25" s="13">
        <v>13.488462317</v>
      </c>
      <c r="E25" s="13">
        <v>13.008449709000001</v>
      </c>
      <c r="F25" s="13">
        <v>18.408141853</v>
      </c>
      <c r="G25" s="13">
        <v>17.516064830000001</v>
      </c>
      <c r="H25" s="13">
        <v>33.439063740000002</v>
      </c>
      <c r="I25" s="13">
        <v>41.254525166999997</v>
      </c>
      <c r="J25" s="13">
        <v>30.333859132000001</v>
      </c>
      <c r="K25" s="13">
        <v>57.615319272000001</v>
      </c>
      <c r="L25" s="13">
        <v>72.424660962999994</v>
      </c>
      <c r="M25" s="13">
        <v>54.191458527000002</v>
      </c>
      <c r="N25" s="13">
        <v>58.587922036000002</v>
      </c>
      <c r="O25" s="13">
        <v>37.671562043999998</v>
      </c>
      <c r="P25" s="13">
        <v>41.540322101999998</v>
      </c>
    </row>
    <row r="26" spans="3:18" ht="14.4" x14ac:dyDescent="0.3">
      <c r="C26" s="3" t="s">
        <v>82</v>
      </c>
      <c r="D26" s="13">
        <v>0</v>
      </c>
      <c r="E26" s="13">
        <v>0</v>
      </c>
      <c r="F26" s="13">
        <v>0</v>
      </c>
      <c r="G26" s="13">
        <v>0</v>
      </c>
      <c r="H26" s="13">
        <v>0</v>
      </c>
      <c r="I26" s="13">
        <v>0</v>
      </c>
      <c r="J26" s="13">
        <v>0</v>
      </c>
      <c r="K26" s="13">
        <v>0</v>
      </c>
      <c r="L26" s="13">
        <v>0</v>
      </c>
      <c r="M26" s="13">
        <v>0</v>
      </c>
      <c r="N26" s="13">
        <v>0</v>
      </c>
      <c r="O26" s="13">
        <v>0</v>
      </c>
      <c r="P26" s="13">
        <v>0</v>
      </c>
    </row>
    <row r="27" spans="3:18" ht="14.4" x14ac:dyDescent="0.3">
      <c r="C27" s="3" t="s">
        <v>83</v>
      </c>
      <c r="D27" s="13">
        <v>0</v>
      </c>
      <c r="E27" s="13">
        <v>0</v>
      </c>
      <c r="F27" s="13">
        <v>0</v>
      </c>
      <c r="G27" s="13">
        <v>0</v>
      </c>
      <c r="H27" s="13">
        <v>0</v>
      </c>
      <c r="I27" s="13">
        <v>0</v>
      </c>
      <c r="J27" s="13">
        <v>0</v>
      </c>
      <c r="K27" s="13">
        <v>0</v>
      </c>
      <c r="L27" s="13">
        <v>0</v>
      </c>
      <c r="M27" s="13">
        <v>0</v>
      </c>
      <c r="N27" s="13">
        <v>0</v>
      </c>
      <c r="O27" s="13">
        <v>0</v>
      </c>
      <c r="P27" s="13">
        <v>0</v>
      </c>
    </row>
    <row r="28" spans="3:18" ht="14.4" x14ac:dyDescent="0.3">
      <c r="C28" s="3" t="s">
        <v>84</v>
      </c>
      <c r="D28" s="13">
        <v>0</v>
      </c>
      <c r="E28" s="13">
        <v>0</v>
      </c>
      <c r="F28" s="13">
        <v>0</v>
      </c>
      <c r="G28" s="13">
        <v>0</v>
      </c>
      <c r="H28" s="13">
        <v>0</v>
      </c>
      <c r="I28" s="13">
        <v>0</v>
      </c>
      <c r="J28" s="13">
        <v>0.727446288</v>
      </c>
      <c r="K28" s="13">
        <v>0.58560878800000005</v>
      </c>
      <c r="L28" s="13">
        <v>0</v>
      </c>
      <c r="M28" s="13">
        <v>0</v>
      </c>
      <c r="N28" s="13">
        <v>0</v>
      </c>
      <c r="O28" s="13">
        <v>0</v>
      </c>
      <c r="P28" s="13">
        <v>0</v>
      </c>
    </row>
    <row r="29" spans="3:18" ht="14.4" x14ac:dyDescent="0.3">
      <c r="C29" s="3" t="s">
        <v>85</v>
      </c>
      <c r="D29" s="13">
        <v>1.116964804</v>
      </c>
      <c r="E29" s="13">
        <v>1.4316995530000001</v>
      </c>
      <c r="F29" s="13">
        <v>0.376484757</v>
      </c>
      <c r="G29" s="13">
        <v>0.63864922700000004</v>
      </c>
      <c r="H29" s="13">
        <v>0.97749797900000002</v>
      </c>
      <c r="I29" s="13">
        <v>2.8317885459999999</v>
      </c>
      <c r="J29" s="13">
        <v>4.8686392310000004</v>
      </c>
      <c r="K29" s="13">
        <v>8.2147228979999998</v>
      </c>
      <c r="L29" s="13">
        <v>5.3872809090000002</v>
      </c>
      <c r="M29" s="13">
        <v>6.1331492560000003</v>
      </c>
      <c r="N29" s="13">
        <v>5.9918124590000001</v>
      </c>
      <c r="O29" s="13">
        <v>3.2531060169999999</v>
      </c>
      <c r="P29" s="13">
        <v>28.970977005999998</v>
      </c>
    </row>
    <row r="30" spans="3:18" ht="14.4" x14ac:dyDescent="0.3">
      <c r="C30" s="3" t="s">
        <v>86</v>
      </c>
      <c r="D30" s="13">
        <v>0</v>
      </c>
      <c r="E30" s="13">
        <v>-0.10932749999999999</v>
      </c>
      <c r="F30" s="13">
        <v>-2.0984988480000002</v>
      </c>
      <c r="G30" s="13">
        <v>-10.081289415000001</v>
      </c>
      <c r="H30" s="13">
        <v>-9.5963776000000003</v>
      </c>
      <c r="I30" s="13">
        <v>-10.061678084</v>
      </c>
      <c r="J30" s="13">
        <v>-18.843384395000001</v>
      </c>
      <c r="K30" s="13">
        <v>-13.693818614</v>
      </c>
      <c r="L30" s="13">
        <v>-11.049439191999999</v>
      </c>
      <c r="M30" s="13">
        <v>-12.170144427</v>
      </c>
      <c r="N30" s="13">
        <v>-26.717993795999998</v>
      </c>
      <c r="O30" s="13">
        <v>-41.006440689999998</v>
      </c>
      <c r="P30" s="13">
        <v>-63.235622564000003</v>
      </c>
    </row>
    <row r="31" spans="3:18" ht="14.4" x14ac:dyDescent="0.3">
      <c r="C31" s="3" t="s">
        <v>87</v>
      </c>
      <c r="D31" s="13">
        <v>0</v>
      </c>
      <c r="E31" s="13">
        <v>0</v>
      </c>
      <c r="F31" s="13">
        <v>0</v>
      </c>
      <c r="G31" s="13">
        <v>0</v>
      </c>
      <c r="H31" s="13">
        <v>0</v>
      </c>
      <c r="I31" s="13">
        <v>0</v>
      </c>
      <c r="J31" s="13">
        <v>0</v>
      </c>
      <c r="K31" s="13">
        <v>0</v>
      </c>
      <c r="L31" s="13">
        <v>0</v>
      </c>
      <c r="M31" s="13">
        <v>0</v>
      </c>
      <c r="N31" s="13">
        <v>0</v>
      </c>
      <c r="O31" s="13">
        <v>0</v>
      </c>
      <c r="P31" s="13">
        <v>0</v>
      </c>
    </row>
    <row r="32" spans="3:18" ht="14.4" x14ac:dyDescent="0.3">
      <c r="C32" s="3" t="s">
        <v>88</v>
      </c>
      <c r="D32" s="13">
        <v>138.292866941</v>
      </c>
      <c r="E32" s="13">
        <v>110.996405342</v>
      </c>
      <c r="F32" s="13">
        <v>166.39291109000001</v>
      </c>
      <c r="G32" s="13">
        <v>207.47188918000001</v>
      </c>
      <c r="H32" s="13">
        <v>316.698078065</v>
      </c>
      <c r="I32" s="13">
        <v>324.83474644699999</v>
      </c>
      <c r="J32" s="13">
        <v>174.19409459400001</v>
      </c>
      <c r="K32" s="13">
        <v>231.11905704200001</v>
      </c>
      <c r="L32" s="13">
        <v>289.89675649999998</v>
      </c>
      <c r="M32" s="13">
        <v>269.72904185800002</v>
      </c>
      <c r="N32" s="13">
        <v>312.96735966799997</v>
      </c>
      <c r="O32" s="13">
        <v>214.908006156</v>
      </c>
      <c r="P32" s="13">
        <v>254.08388323599999</v>
      </c>
    </row>
    <row r="33" spans="3:17" ht="14.4" x14ac:dyDescent="0.3">
      <c r="C33" s="3" t="s">
        <v>89</v>
      </c>
      <c r="D33" s="13">
        <v>155.56043079299999</v>
      </c>
      <c r="E33" s="13">
        <v>113.88695119800001</v>
      </c>
      <c r="F33" s="13">
        <v>166.935552664</v>
      </c>
      <c r="G33" s="13">
        <v>207.673920829</v>
      </c>
      <c r="H33" s="13">
        <v>316.93256164399997</v>
      </c>
      <c r="I33" s="13">
        <v>325.30438322600003</v>
      </c>
      <c r="J33" s="13">
        <v>174.19409459400001</v>
      </c>
      <c r="K33" s="13">
        <v>231.11905704200001</v>
      </c>
      <c r="L33" s="13">
        <v>289.89675649999998</v>
      </c>
      <c r="M33" s="13">
        <v>269.72904185800002</v>
      </c>
      <c r="N33" s="13">
        <v>312.96735966799997</v>
      </c>
      <c r="O33" s="13">
        <v>214.908006156</v>
      </c>
      <c r="P33" s="13">
        <v>254.08388323599999</v>
      </c>
    </row>
    <row r="34" spans="3:17" ht="14.4" x14ac:dyDescent="0.3">
      <c r="C34" s="3" t="s">
        <v>90</v>
      </c>
      <c r="D34" s="13">
        <v>-17.267563851999999</v>
      </c>
      <c r="E34" s="13">
        <v>-2.8905458560000001</v>
      </c>
      <c r="F34" s="13">
        <v>-0.54264157400000002</v>
      </c>
      <c r="G34" s="13">
        <v>-0.20203164900000001</v>
      </c>
      <c r="H34" s="13">
        <v>-0.234483579</v>
      </c>
      <c r="I34" s="13">
        <v>-0.469636779</v>
      </c>
      <c r="J34" s="13">
        <v>0</v>
      </c>
      <c r="K34" s="13">
        <v>0</v>
      </c>
      <c r="L34" s="13">
        <v>0</v>
      </c>
      <c r="M34" s="13">
        <v>0</v>
      </c>
      <c r="N34" s="13">
        <v>0</v>
      </c>
      <c r="O34" s="13">
        <v>0</v>
      </c>
      <c r="P34" s="13">
        <v>0</v>
      </c>
    </row>
    <row r="35" spans="3:17" ht="14.4" x14ac:dyDescent="0.3">
      <c r="C35" s="3" t="s">
        <v>91</v>
      </c>
      <c r="D35" s="13">
        <v>7.6235418749999999</v>
      </c>
      <c r="E35" s="13">
        <v>12.056408231000001</v>
      </c>
      <c r="F35" s="13">
        <v>11.626486824000001</v>
      </c>
      <c r="G35" s="13">
        <v>17.893270416</v>
      </c>
      <c r="H35" s="13">
        <v>26.470419897999999</v>
      </c>
      <c r="I35" s="13">
        <v>26.330682211999999</v>
      </c>
      <c r="J35" s="13">
        <v>5.1983805390000004</v>
      </c>
      <c r="K35" s="13">
        <v>10.231771902</v>
      </c>
      <c r="L35" s="13">
        <v>9.2872817459999997</v>
      </c>
      <c r="M35" s="13">
        <v>7.3721254580000002</v>
      </c>
      <c r="N35" s="13">
        <v>18.589657922000001</v>
      </c>
      <c r="O35" s="13">
        <v>6.1661140559999996</v>
      </c>
      <c r="P35" s="13">
        <v>6.7313965429999998</v>
      </c>
      <c r="Q35" s="9"/>
    </row>
    <row r="36" spans="3:17" ht="14.4" x14ac:dyDescent="0.3">
      <c r="C36" s="3" t="s">
        <v>92</v>
      </c>
      <c r="D36" s="13">
        <v>2.5245562700000002</v>
      </c>
      <c r="E36" s="13">
        <v>3.694180346</v>
      </c>
      <c r="F36" s="13">
        <v>2.7434384299999999</v>
      </c>
      <c r="G36" s="13">
        <v>2.8386406800000001</v>
      </c>
      <c r="H36" s="13">
        <v>5.9921048299999997</v>
      </c>
      <c r="I36" s="13">
        <v>6.1021266069999998</v>
      </c>
      <c r="J36" s="13">
        <v>4.0744840269999996</v>
      </c>
      <c r="K36" s="13">
        <v>6.4172694129999996</v>
      </c>
      <c r="L36" s="13">
        <v>6.0266588509999997</v>
      </c>
      <c r="M36" s="13">
        <v>3.6194532829999999</v>
      </c>
      <c r="N36" s="13">
        <v>3.2998710060000001</v>
      </c>
      <c r="O36" s="13">
        <v>4.4529827400000004</v>
      </c>
      <c r="P36" s="13">
        <v>3.569826623</v>
      </c>
    </row>
    <row r="37" spans="3:17" ht="14.4" x14ac:dyDescent="0.3">
      <c r="C37" s="3" t="s">
        <v>93</v>
      </c>
      <c r="D37" s="13">
        <v>1.745060235</v>
      </c>
      <c r="E37" s="13">
        <v>6.1474507779999996</v>
      </c>
      <c r="F37" s="13">
        <v>7.3345788330000001</v>
      </c>
      <c r="G37" s="13">
        <v>13.211238188999999</v>
      </c>
      <c r="H37" s="13">
        <v>17.760242275</v>
      </c>
      <c r="I37" s="13">
        <v>20.228555605</v>
      </c>
      <c r="J37" s="13">
        <v>0.787361125</v>
      </c>
      <c r="K37" s="13">
        <v>3.8145024890000001</v>
      </c>
      <c r="L37" s="13">
        <v>2.9375538670000001</v>
      </c>
      <c r="M37" s="13">
        <v>3.6932167260000002</v>
      </c>
      <c r="N37" s="13">
        <v>14.894015292000001</v>
      </c>
      <c r="O37" s="13">
        <v>0.94975759599999998</v>
      </c>
      <c r="P37" s="13">
        <v>0.42557651499999999</v>
      </c>
    </row>
    <row r="38" spans="3:17" ht="14.4" x14ac:dyDescent="0.3">
      <c r="C38" s="3" t="s">
        <v>94</v>
      </c>
      <c r="D38" s="13">
        <v>0</v>
      </c>
      <c r="E38" s="13">
        <v>0</v>
      </c>
      <c r="F38" s="13">
        <v>0</v>
      </c>
      <c r="G38" s="13">
        <v>3.9930399999999998E-3</v>
      </c>
      <c r="H38" s="13">
        <v>1.885533E-3</v>
      </c>
      <c r="I38" s="13">
        <v>0</v>
      </c>
      <c r="J38" s="13">
        <v>0.33653538700000002</v>
      </c>
      <c r="K38" s="13">
        <v>0</v>
      </c>
      <c r="L38" s="13">
        <v>0.32306902799999998</v>
      </c>
      <c r="M38" s="13">
        <v>5.9455449E-2</v>
      </c>
      <c r="N38" s="13">
        <v>0.39577162399999999</v>
      </c>
      <c r="O38" s="13">
        <v>0.76337372000000003</v>
      </c>
      <c r="P38" s="13">
        <v>2.7359934049999999</v>
      </c>
    </row>
    <row r="39" spans="3:17" ht="14.4" x14ac:dyDescent="0.3">
      <c r="C39" s="3" t="s">
        <v>95</v>
      </c>
      <c r="D39" s="13">
        <v>0</v>
      </c>
      <c r="E39" s="13">
        <v>0</v>
      </c>
      <c r="F39" s="13">
        <v>0</v>
      </c>
      <c r="G39" s="13">
        <v>0</v>
      </c>
      <c r="H39" s="13">
        <v>0</v>
      </c>
      <c r="I39" s="13">
        <v>0</v>
      </c>
      <c r="J39" s="13">
        <v>0</v>
      </c>
      <c r="K39" s="13">
        <v>0</v>
      </c>
      <c r="L39" s="13">
        <v>0</v>
      </c>
      <c r="M39" s="13">
        <v>0</v>
      </c>
      <c r="N39" s="13">
        <v>0</v>
      </c>
      <c r="O39" s="13">
        <v>0</v>
      </c>
      <c r="P39" s="13">
        <v>0</v>
      </c>
    </row>
    <row r="40" spans="3:17" ht="14.4" x14ac:dyDescent="0.3">
      <c r="C40" s="3" t="s">
        <v>96</v>
      </c>
      <c r="D40" s="13">
        <v>3.3539253699999998</v>
      </c>
      <c r="E40" s="13">
        <v>2.2147771070000002</v>
      </c>
      <c r="F40" s="13">
        <v>1.5484695610000001</v>
      </c>
      <c r="G40" s="13">
        <v>1.8393985070000001</v>
      </c>
      <c r="H40" s="13">
        <v>2.7161872599999999</v>
      </c>
      <c r="I40" s="13">
        <v>0</v>
      </c>
      <c r="J40" s="13">
        <v>0</v>
      </c>
      <c r="K40" s="13">
        <v>0</v>
      </c>
      <c r="L40" s="13">
        <v>0</v>
      </c>
      <c r="M40" s="13">
        <v>0</v>
      </c>
      <c r="N40" s="13">
        <v>0</v>
      </c>
      <c r="O40" s="13">
        <v>0</v>
      </c>
      <c r="P40" s="13">
        <v>0</v>
      </c>
    </row>
    <row r="41" spans="3:17" ht="14.4" x14ac:dyDescent="0.3">
      <c r="C41" s="3" t="s">
        <v>97</v>
      </c>
      <c r="D41" s="13">
        <v>184.55602197100001</v>
      </c>
      <c r="E41" s="13">
        <v>177.61041231300001</v>
      </c>
      <c r="F41" s="13">
        <v>195.47457300600001</v>
      </c>
      <c r="G41" s="13">
        <v>202.099940097</v>
      </c>
      <c r="H41" s="13">
        <v>281.04642527300001</v>
      </c>
      <c r="I41" s="13">
        <v>334.49564118299998</v>
      </c>
      <c r="J41" s="13">
        <v>295.36684117099998</v>
      </c>
      <c r="K41" s="13">
        <v>411.11993352600001</v>
      </c>
      <c r="L41" s="13">
        <v>428.77231358300003</v>
      </c>
      <c r="M41" s="13">
        <v>413.10372539999997</v>
      </c>
      <c r="N41" s="13">
        <v>591.744681861</v>
      </c>
      <c r="O41" s="13">
        <v>601.56370091999997</v>
      </c>
      <c r="P41" s="13">
        <v>559.29999999999995</v>
      </c>
    </row>
    <row r="42" spans="3:17" ht="14.4" x14ac:dyDescent="0.3">
      <c r="C42" s="3" t="s">
        <v>98</v>
      </c>
      <c r="D42" s="13">
        <v>0</v>
      </c>
      <c r="E42" s="13">
        <v>0</v>
      </c>
      <c r="F42" s="13">
        <v>1.0140803</v>
      </c>
      <c r="G42" s="13">
        <v>0.72070106</v>
      </c>
      <c r="H42" s="13">
        <v>0.624305106</v>
      </c>
      <c r="I42" s="13">
        <v>3.6021565500000001</v>
      </c>
      <c r="J42" s="13">
        <v>0</v>
      </c>
      <c r="K42" s="13">
        <v>0</v>
      </c>
      <c r="L42" s="13">
        <v>0</v>
      </c>
      <c r="M42" s="13">
        <v>0</v>
      </c>
      <c r="N42" s="13">
        <v>0</v>
      </c>
      <c r="O42" s="13">
        <v>0</v>
      </c>
      <c r="P42" s="13">
        <v>0</v>
      </c>
    </row>
    <row r="43" spans="3:17" ht="14.4" x14ac:dyDescent="0.3">
      <c r="C43" s="3" t="s">
        <v>99</v>
      </c>
      <c r="D43" s="13">
        <v>0</v>
      </c>
      <c r="E43" s="13">
        <v>0</v>
      </c>
      <c r="F43" s="13">
        <v>0</v>
      </c>
      <c r="G43" s="13">
        <v>0</v>
      </c>
      <c r="H43" s="13">
        <v>0</v>
      </c>
      <c r="I43" s="13">
        <v>0</v>
      </c>
      <c r="J43" s="13">
        <v>0</v>
      </c>
      <c r="K43" s="13">
        <v>0</v>
      </c>
      <c r="L43" s="13">
        <v>0</v>
      </c>
      <c r="M43" s="13">
        <v>0</v>
      </c>
      <c r="N43" s="13">
        <v>0</v>
      </c>
      <c r="O43" s="13">
        <v>0</v>
      </c>
      <c r="P43" s="13">
        <v>0</v>
      </c>
    </row>
    <row r="44" spans="3:17" ht="14.4" x14ac:dyDescent="0.3">
      <c r="C44" s="3" t="s">
        <v>100</v>
      </c>
      <c r="D44" s="13">
        <v>0</v>
      </c>
      <c r="E44" s="13">
        <v>0</v>
      </c>
      <c r="F44" s="13">
        <v>0</v>
      </c>
      <c r="G44" s="13">
        <v>0</v>
      </c>
      <c r="H44" s="13">
        <v>0</v>
      </c>
      <c r="I44" s="13">
        <v>0</v>
      </c>
      <c r="J44" s="13">
        <v>0</v>
      </c>
      <c r="K44" s="13">
        <v>0</v>
      </c>
      <c r="L44" s="13">
        <v>0</v>
      </c>
      <c r="M44" s="13">
        <v>0</v>
      </c>
      <c r="N44" s="13">
        <v>0</v>
      </c>
      <c r="O44" s="13">
        <v>0</v>
      </c>
      <c r="P44" s="13">
        <v>0</v>
      </c>
    </row>
    <row r="45" spans="3:17" ht="14.4" x14ac:dyDescent="0.3">
      <c r="C45" s="3" t="s">
        <v>101</v>
      </c>
      <c r="D45" s="13">
        <v>0</v>
      </c>
      <c r="E45" s="13">
        <v>0</v>
      </c>
      <c r="F45" s="13">
        <v>0</v>
      </c>
      <c r="G45" s="13">
        <v>0</v>
      </c>
      <c r="H45" s="13">
        <v>0</v>
      </c>
      <c r="I45" s="13">
        <v>0</v>
      </c>
      <c r="J45" s="13">
        <v>0</v>
      </c>
      <c r="K45" s="13">
        <v>0</v>
      </c>
      <c r="L45" s="13">
        <v>0</v>
      </c>
      <c r="M45" s="13">
        <v>0</v>
      </c>
      <c r="N45" s="13">
        <v>0</v>
      </c>
      <c r="O45" s="13">
        <v>0</v>
      </c>
      <c r="P45" s="13">
        <v>0</v>
      </c>
    </row>
    <row r="46" spans="3:17" ht="14.4" x14ac:dyDescent="0.3">
      <c r="C46" s="3" t="s">
        <v>102</v>
      </c>
      <c r="D46" s="13">
        <v>0</v>
      </c>
      <c r="E46" s="13">
        <v>0</v>
      </c>
      <c r="F46" s="13">
        <v>0</v>
      </c>
      <c r="G46" s="13">
        <v>0</v>
      </c>
      <c r="H46" s="13">
        <v>0</v>
      </c>
      <c r="I46" s="13">
        <v>0</v>
      </c>
      <c r="J46" s="13">
        <v>0</v>
      </c>
      <c r="K46" s="13">
        <v>0</v>
      </c>
      <c r="L46" s="13">
        <v>0</v>
      </c>
      <c r="M46" s="13">
        <v>0</v>
      </c>
      <c r="N46" s="13">
        <v>0</v>
      </c>
      <c r="O46" s="13">
        <v>0</v>
      </c>
      <c r="P46" s="13">
        <v>0</v>
      </c>
    </row>
    <row r="47" spans="3:17" ht="14.4" x14ac:dyDescent="0.3">
      <c r="C47" s="3" t="s">
        <v>103</v>
      </c>
      <c r="D47" s="13">
        <v>0</v>
      </c>
      <c r="E47" s="13">
        <v>0</v>
      </c>
      <c r="F47" s="13">
        <v>0</v>
      </c>
      <c r="G47" s="13">
        <v>0</v>
      </c>
      <c r="H47" s="13">
        <v>0</v>
      </c>
      <c r="I47" s="13">
        <v>0</v>
      </c>
      <c r="J47" s="13">
        <v>0</v>
      </c>
      <c r="K47" s="13">
        <v>0</v>
      </c>
      <c r="L47" s="13">
        <v>0</v>
      </c>
      <c r="M47" s="13">
        <v>0</v>
      </c>
      <c r="N47" s="13">
        <v>0</v>
      </c>
      <c r="O47" s="13">
        <v>0</v>
      </c>
      <c r="P47" s="13">
        <v>0</v>
      </c>
    </row>
    <row r="48" spans="3:17" ht="14.4" x14ac:dyDescent="0.3">
      <c r="C48" s="3" t="s">
        <v>104</v>
      </c>
      <c r="D48" s="13">
        <v>0</v>
      </c>
      <c r="E48" s="13">
        <v>0</v>
      </c>
      <c r="F48" s="13">
        <v>1.0140803</v>
      </c>
      <c r="G48" s="13">
        <v>0.72070106</v>
      </c>
      <c r="H48" s="13">
        <v>0.624305106</v>
      </c>
      <c r="I48" s="13">
        <v>3.6021565500000001</v>
      </c>
      <c r="J48" s="13">
        <v>0</v>
      </c>
      <c r="K48" s="13">
        <v>0</v>
      </c>
      <c r="L48" s="13">
        <v>0</v>
      </c>
      <c r="M48" s="13">
        <v>0</v>
      </c>
      <c r="N48" s="13">
        <v>0</v>
      </c>
      <c r="O48" s="13">
        <v>0</v>
      </c>
      <c r="P48" s="13">
        <v>0</v>
      </c>
    </row>
    <row r="49" spans="3:16" ht="14.4" x14ac:dyDescent="0.3">
      <c r="C49" s="3" t="s">
        <v>105</v>
      </c>
      <c r="D49" s="13">
        <v>0</v>
      </c>
      <c r="E49" s="13">
        <v>0</v>
      </c>
      <c r="F49" s="13">
        <v>0</v>
      </c>
      <c r="G49" s="13">
        <v>0</v>
      </c>
      <c r="H49" s="13">
        <v>0</v>
      </c>
      <c r="I49" s="13">
        <v>0</v>
      </c>
      <c r="J49" s="13">
        <v>0</v>
      </c>
      <c r="K49" s="13">
        <v>0</v>
      </c>
      <c r="L49" s="13">
        <v>0</v>
      </c>
      <c r="M49" s="13">
        <v>0</v>
      </c>
      <c r="N49" s="13">
        <v>0</v>
      </c>
      <c r="O49" s="13">
        <v>0</v>
      </c>
      <c r="P49" s="13">
        <v>0</v>
      </c>
    </row>
    <row r="50" spans="3:16" ht="14.4" x14ac:dyDescent="0.3">
      <c r="C50" s="3" t="s">
        <v>106</v>
      </c>
      <c r="D50" s="13">
        <v>158.371837481</v>
      </c>
      <c r="E50" s="13">
        <v>148.92413001899999</v>
      </c>
      <c r="F50" s="13">
        <v>165.86199439500001</v>
      </c>
      <c r="G50" s="13">
        <v>193.23212458200001</v>
      </c>
      <c r="H50" s="13">
        <v>266.43383373</v>
      </c>
      <c r="I50" s="13">
        <v>291.37604539799997</v>
      </c>
      <c r="J50" s="13">
        <v>168.26755075400001</v>
      </c>
      <c r="K50" s="13">
        <v>235.764715145</v>
      </c>
      <c r="L50" s="13">
        <v>246.926090813</v>
      </c>
      <c r="M50" s="13">
        <v>218.86157202499999</v>
      </c>
      <c r="N50" s="13">
        <v>236.67232441499999</v>
      </c>
      <c r="O50" s="13">
        <v>248.622561429</v>
      </c>
      <c r="P50" s="13">
        <v>0</v>
      </c>
    </row>
    <row r="51" spans="3:16" ht="14.4" x14ac:dyDescent="0.3">
      <c r="C51" s="3" t="s">
        <v>107</v>
      </c>
      <c r="D51" s="13">
        <v>152.98467191399999</v>
      </c>
      <c r="E51" s="13">
        <v>140.02763458199999</v>
      </c>
      <c r="F51" s="13">
        <v>150.96453164799999</v>
      </c>
      <c r="G51" s="13">
        <v>155.02870893299999</v>
      </c>
      <c r="H51" s="13">
        <v>230.09370927099999</v>
      </c>
      <c r="I51" s="13">
        <v>282.51646337599999</v>
      </c>
      <c r="J51" s="13">
        <v>125.594233461</v>
      </c>
      <c r="K51" s="13">
        <v>182.48230903199999</v>
      </c>
      <c r="L51" s="13">
        <v>194.57393710100001</v>
      </c>
      <c r="M51" s="13">
        <v>167.89683991199999</v>
      </c>
      <c r="N51" s="13">
        <v>180.25860729600001</v>
      </c>
      <c r="O51" s="13">
        <v>186.89107758700001</v>
      </c>
      <c r="P51" s="13">
        <v>186.673965065</v>
      </c>
    </row>
    <row r="52" spans="3:16" ht="14.4" x14ac:dyDescent="0.3">
      <c r="C52" s="3" t="s">
        <v>108</v>
      </c>
      <c r="D52" s="13">
        <v>276.82669007499999</v>
      </c>
      <c r="E52" s="13">
        <v>288.42401132499998</v>
      </c>
      <c r="F52" s="13">
        <v>319.28201435400001</v>
      </c>
      <c r="G52" s="13">
        <v>346.92082581400001</v>
      </c>
      <c r="H52" s="13">
        <v>463.22526153699999</v>
      </c>
      <c r="I52" s="13">
        <v>570.61055496799997</v>
      </c>
      <c r="J52" s="13">
        <v>304.47471008600002</v>
      </c>
      <c r="K52" s="13">
        <v>388.91654651200002</v>
      </c>
      <c r="L52" s="13">
        <v>445.53522275199998</v>
      </c>
      <c r="M52" s="13">
        <v>461.03672382399998</v>
      </c>
      <c r="N52" s="13">
        <v>502.08484412799999</v>
      </c>
      <c r="O52" s="13">
        <v>540.88351891100001</v>
      </c>
      <c r="P52" s="13">
        <v>579.02388575199996</v>
      </c>
    </row>
    <row r="53" spans="3:16" ht="14.4" x14ac:dyDescent="0.3">
      <c r="C53" s="3" t="s">
        <v>109</v>
      </c>
      <c r="D53" s="13">
        <v>-123.842018161</v>
      </c>
      <c r="E53" s="13">
        <v>-148.39637674299999</v>
      </c>
      <c r="F53" s="13">
        <v>-168.31748270599999</v>
      </c>
      <c r="G53" s="13">
        <v>-191.89211688099999</v>
      </c>
      <c r="H53" s="13">
        <v>-233.131552266</v>
      </c>
      <c r="I53" s="13">
        <v>-288.09409159199998</v>
      </c>
      <c r="J53" s="13">
        <v>-178.880476625</v>
      </c>
      <c r="K53" s="13">
        <v>-206.43423748000001</v>
      </c>
      <c r="L53" s="13">
        <v>-250.961285651</v>
      </c>
      <c r="M53" s="13">
        <v>-293.13988391200002</v>
      </c>
      <c r="N53" s="13">
        <v>-321.82623683200001</v>
      </c>
      <c r="O53" s="13">
        <v>-353.99244132400003</v>
      </c>
      <c r="P53" s="13">
        <v>0</v>
      </c>
    </row>
    <row r="54" spans="3:16" ht="14.4" x14ac:dyDescent="0.3">
      <c r="C54" s="3" t="s">
        <v>110</v>
      </c>
      <c r="D54" s="13">
        <v>0</v>
      </c>
      <c r="E54" s="13">
        <v>0</v>
      </c>
      <c r="F54" s="13">
        <v>0</v>
      </c>
      <c r="G54" s="13">
        <v>0</v>
      </c>
      <c r="H54" s="13">
        <v>0</v>
      </c>
      <c r="I54" s="13">
        <v>0</v>
      </c>
      <c r="J54" s="13">
        <v>0</v>
      </c>
      <c r="K54" s="13">
        <v>0</v>
      </c>
      <c r="L54" s="13">
        <v>0</v>
      </c>
      <c r="M54" s="13">
        <v>0</v>
      </c>
      <c r="N54" s="13">
        <v>0</v>
      </c>
      <c r="O54" s="13">
        <v>0</v>
      </c>
      <c r="P54" s="13">
        <v>0</v>
      </c>
    </row>
    <row r="55" spans="3:16" ht="14.4" x14ac:dyDescent="0.3">
      <c r="C55" s="3" t="s">
        <v>111</v>
      </c>
      <c r="D55" s="13">
        <v>0</v>
      </c>
      <c r="E55" s="13">
        <v>0</v>
      </c>
      <c r="F55" s="13">
        <v>0</v>
      </c>
      <c r="G55" s="13">
        <v>0</v>
      </c>
      <c r="H55" s="13">
        <v>0</v>
      </c>
      <c r="I55" s="13">
        <v>0</v>
      </c>
      <c r="J55" s="13">
        <v>0</v>
      </c>
      <c r="K55" s="13">
        <v>0</v>
      </c>
      <c r="L55" s="13">
        <v>0</v>
      </c>
      <c r="M55" s="13">
        <v>0</v>
      </c>
      <c r="N55" s="13">
        <v>0</v>
      </c>
      <c r="O55" s="13">
        <v>0</v>
      </c>
      <c r="P55" s="13">
        <v>0</v>
      </c>
    </row>
    <row r="56" spans="3:16" ht="14.4" x14ac:dyDescent="0.3">
      <c r="C56" s="3" t="s">
        <v>112</v>
      </c>
      <c r="D56" s="13">
        <v>0</v>
      </c>
      <c r="E56" s="13">
        <v>0</v>
      </c>
      <c r="F56" s="13">
        <v>0</v>
      </c>
      <c r="G56" s="13">
        <v>0</v>
      </c>
      <c r="H56" s="13">
        <v>0</v>
      </c>
      <c r="I56" s="13">
        <v>0</v>
      </c>
      <c r="J56" s="13">
        <v>0</v>
      </c>
      <c r="K56" s="13">
        <v>0</v>
      </c>
      <c r="L56" s="13">
        <v>0</v>
      </c>
      <c r="M56" s="13">
        <v>0</v>
      </c>
      <c r="N56" s="13">
        <v>0</v>
      </c>
      <c r="O56" s="13">
        <v>0</v>
      </c>
      <c r="P56" s="13">
        <v>0</v>
      </c>
    </row>
    <row r="57" spans="3:16" ht="14.4" x14ac:dyDescent="0.3">
      <c r="C57" s="3" t="s">
        <v>113</v>
      </c>
      <c r="D57" s="13">
        <v>4.3127453290000002</v>
      </c>
      <c r="E57" s="13">
        <v>5.2216300530000002</v>
      </c>
      <c r="F57" s="13">
        <v>4.8442291519999996</v>
      </c>
      <c r="G57" s="13">
        <v>5.1001914670000001</v>
      </c>
      <c r="H57" s="13">
        <v>9.4204796030000004</v>
      </c>
      <c r="I57" s="13">
        <v>8.8595820219999997</v>
      </c>
      <c r="J57" s="13">
        <v>42.673317292999997</v>
      </c>
      <c r="K57" s="13">
        <v>53.282406113</v>
      </c>
      <c r="L57" s="13">
        <v>52.352153712000003</v>
      </c>
      <c r="M57" s="13">
        <v>50.964732112999997</v>
      </c>
      <c r="N57" s="13">
        <v>56.413717118999998</v>
      </c>
      <c r="O57" s="13">
        <v>61.731483842000003</v>
      </c>
      <c r="P57" s="13">
        <v>60.411372448999998</v>
      </c>
    </row>
    <row r="58" spans="3:16" ht="14.4" x14ac:dyDescent="0.3">
      <c r="C58" s="3" t="s">
        <v>114</v>
      </c>
      <c r="D58" s="13">
        <v>4.655497671</v>
      </c>
      <c r="E58" s="13">
        <v>5.8821394390000004</v>
      </c>
      <c r="F58" s="13">
        <v>5.8821394390000004</v>
      </c>
      <c r="G58" s="13">
        <v>6.548837561</v>
      </c>
      <c r="H58" s="13">
        <v>11.629337274999999</v>
      </c>
      <c r="I58" s="13">
        <v>12.099337275</v>
      </c>
      <c r="J58" s="13">
        <v>44.077530899999999</v>
      </c>
      <c r="K58" s="13">
        <v>56.427377200000002</v>
      </c>
      <c r="L58" s="13">
        <v>57.084211699999997</v>
      </c>
      <c r="M58" s="13">
        <v>57.384211700000002</v>
      </c>
      <c r="N58" s="13">
        <v>63.90196795</v>
      </c>
      <c r="O58" s="13">
        <v>71.308272950000003</v>
      </c>
      <c r="P58" s="13">
        <v>72.260262949999998</v>
      </c>
    </row>
    <row r="59" spans="3:16" ht="14.4" x14ac:dyDescent="0.3">
      <c r="C59" s="3" t="s">
        <v>115</v>
      </c>
      <c r="D59" s="13">
        <v>-0.34275234199999999</v>
      </c>
      <c r="E59" s="13">
        <v>-0.66050938599999998</v>
      </c>
      <c r="F59" s="13">
        <v>-1.0379102870000001</v>
      </c>
      <c r="G59" s="13">
        <v>-1.4486460940000001</v>
      </c>
      <c r="H59" s="13">
        <v>-2.2088576720000002</v>
      </c>
      <c r="I59" s="13">
        <v>-3.2397552529999998</v>
      </c>
      <c r="J59" s="13">
        <v>-1.404213607</v>
      </c>
      <c r="K59" s="13">
        <v>-3.1449710870000001</v>
      </c>
      <c r="L59" s="13">
        <v>-4.7320579880000002</v>
      </c>
      <c r="M59" s="13">
        <v>-6.4194795869999997</v>
      </c>
      <c r="N59" s="13">
        <v>-7.4882508310000002</v>
      </c>
      <c r="O59" s="13">
        <v>-9.5767891079999998</v>
      </c>
      <c r="P59" s="13">
        <v>0</v>
      </c>
    </row>
    <row r="60" spans="3:16" ht="14.4" x14ac:dyDescent="0.3">
      <c r="C60" s="3" t="s">
        <v>116</v>
      </c>
      <c r="D60" s="13">
        <v>1.0744202380000001</v>
      </c>
      <c r="E60" s="13">
        <v>3.6748653839999998</v>
      </c>
      <c r="F60" s="13">
        <v>10.053233595</v>
      </c>
      <c r="G60" s="13">
        <v>33.103224181999998</v>
      </c>
      <c r="H60" s="13">
        <v>26.919644856000001</v>
      </c>
      <c r="I60" s="13">
        <v>0</v>
      </c>
      <c r="J60" s="13">
        <v>0</v>
      </c>
      <c r="K60" s="13">
        <v>0</v>
      </c>
      <c r="L60" s="13">
        <v>0</v>
      </c>
      <c r="M60" s="13">
        <v>0</v>
      </c>
      <c r="N60" s="13">
        <v>0</v>
      </c>
      <c r="O60" s="13">
        <v>0</v>
      </c>
      <c r="P60" s="13">
        <v>0</v>
      </c>
    </row>
    <row r="61" spans="3:16" ht="14.4" x14ac:dyDescent="0.3">
      <c r="C61" s="3" t="s">
        <v>117</v>
      </c>
      <c r="D61" s="13">
        <v>0</v>
      </c>
      <c r="E61" s="13">
        <v>0</v>
      </c>
      <c r="F61" s="13">
        <v>0</v>
      </c>
      <c r="G61" s="13">
        <v>0</v>
      </c>
      <c r="H61" s="13">
        <v>0</v>
      </c>
      <c r="I61" s="13">
        <v>0</v>
      </c>
      <c r="J61" s="13">
        <v>0</v>
      </c>
      <c r="K61" s="13">
        <v>0</v>
      </c>
      <c r="L61" s="13">
        <v>0</v>
      </c>
      <c r="M61" s="13">
        <v>0</v>
      </c>
      <c r="N61" s="13">
        <v>0</v>
      </c>
      <c r="O61" s="13">
        <v>0</v>
      </c>
      <c r="P61" s="13">
        <v>0</v>
      </c>
    </row>
    <row r="62" spans="3:16" ht="14.4" x14ac:dyDescent="0.3">
      <c r="C62" s="3" t="s">
        <v>118</v>
      </c>
      <c r="D62" s="13">
        <v>0</v>
      </c>
      <c r="E62" s="13">
        <v>0</v>
      </c>
      <c r="F62" s="13">
        <v>0</v>
      </c>
      <c r="G62" s="13">
        <v>0</v>
      </c>
      <c r="H62" s="13">
        <v>0</v>
      </c>
      <c r="I62" s="13">
        <v>0</v>
      </c>
      <c r="J62" s="13">
        <v>0</v>
      </c>
      <c r="K62" s="13">
        <v>0</v>
      </c>
      <c r="L62" s="13">
        <v>0</v>
      </c>
      <c r="M62" s="13">
        <v>0</v>
      </c>
      <c r="N62" s="13">
        <v>0</v>
      </c>
      <c r="O62" s="13">
        <v>0</v>
      </c>
      <c r="P62" s="13">
        <v>0</v>
      </c>
    </row>
    <row r="63" spans="3:16" ht="14.4" x14ac:dyDescent="0.3">
      <c r="C63" s="3" t="s">
        <v>119</v>
      </c>
      <c r="D63" s="13">
        <v>0</v>
      </c>
      <c r="E63" s="13">
        <v>0</v>
      </c>
      <c r="F63" s="13">
        <v>0</v>
      </c>
      <c r="G63" s="13">
        <v>0</v>
      </c>
      <c r="H63" s="13">
        <v>0</v>
      </c>
      <c r="I63" s="13">
        <v>0</v>
      </c>
      <c r="J63" s="13">
        <v>0</v>
      </c>
      <c r="K63" s="13">
        <v>0</v>
      </c>
      <c r="L63" s="13">
        <v>0</v>
      </c>
      <c r="M63" s="13">
        <v>0</v>
      </c>
      <c r="N63" s="13">
        <v>0</v>
      </c>
      <c r="O63" s="13">
        <v>0</v>
      </c>
      <c r="P63" s="13">
        <v>0</v>
      </c>
    </row>
    <row r="64" spans="3:16" ht="14.4" x14ac:dyDescent="0.3">
      <c r="C64" s="3" t="s">
        <v>120</v>
      </c>
      <c r="D64" s="13">
        <v>0</v>
      </c>
      <c r="E64" s="13">
        <v>0</v>
      </c>
      <c r="F64" s="13">
        <v>0</v>
      </c>
      <c r="G64" s="13">
        <v>0</v>
      </c>
      <c r="H64" s="13">
        <v>0</v>
      </c>
      <c r="I64" s="13">
        <v>29.992621136</v>
      </c>
      <c r="J64" s="13">
        <v>21.415993584999999</v>
      </c>
      <c r="K64" s="13">
        <v>31.104990451999999</v>
      </c>
      <c r="L64" s="13">
        <v>11.268113916000001</v>
      </c>
      <c r="M64" s="13">
        <v>25.129864154</v>
      </c>
      <c r="N64" s="13">
        <v>164.76199041800001</v>
      </c>
      <c r="O64" s="13">
        <v>170.57785144900001</v>
      </c>
      <c r="P64" s="13">
        <v>159.58735877699999</v>
      </c>
    </row>
    <row r="65" spans="3:18" ht="14.4" x14ac:dyDescent="0.3">
      <c r="C65" s="3" t="s">
        <v>121</v>
      </c>
      <c r="D65" s="13">
        <v>0</v>
      </c>
      <c r="E65" s="13">
        <v>0</v>
      </c>
      <c r="F65" s="13">
        <v>0</v>
      </c>
      <c r="G65" s="13">
        <v>0</v>
      </c>
      <c r="H65" s="13">
        <v>0</v>
      </c>
      <c r="I65" s="13">
        <v>0</v>
      </c>
      <c r="J65" s="13">
        <v>0</v>
      </c>
      <c r="K65" s="13">
        <v>0</v>
      </c>
      <c r="L65" s="13">
        <v>0</v>
      </c>
      <c r="M65" s="13">
        <v>0</v>
      </c>
      <c r="N65" s="13">
        <v>0</v>
      </c>
      <c r="O65" s="13">
        <v>0</v>
      </c>
      <c r="P65" s="13">
        <v>0</v>
      </c>
    </row>
    <row r="66" spans="3:18" ht="14.4" x14ac:dyDescent="0.3">
      <c r="C66" s="3" t="s">
        <v>122</v>
      </c>
      <c r="D66" s="13">
        <v>0</v>
      </c>
      <c r="E66" s="13">
        <v>0</v>
      </c>
      <c r="F66" s="13">
        <v>0</v>
      </c>
      <c r="G66" s="13">
        <v>0</v>
      </c>
      <c r="H66" s="13">
        <v>0</v>
      </c>
      <c r="I66" s="13">
        <v>29.992621136</v>
      </c>
      <c r="J66" s="13">
        <v>21.415993584999999</v>
      </c>
      <c r="K66" s="13">
        <v>31.104990451999999</v>
      </c>
      <c r="L66" s="13">
        <v>11.268113916000001</v>
      </c>
      <c r="M66" s="13">
        <v>25.129864154</v>
      </c>
      <c r="N66" s="13">
        <v>164.76199041800001</v>
      </c>
      <c r="O66" s="13">
        <v>170.57785144900001</v>
      </c>
      <c r="P66" s="13">
        <v>159.58735877699999</v>
      </c>
    </row>
    <row r="67" spans="3:18" ht="14.4" x14ac:dyDescent="0.3">
      <c r="C67" s="3" t="s">
        <v>123</v>
      </c>
      <c r="D67" s="13">
        <v>18.716172474</v>
      </c>
      <c r="E67" s="13">
        <v>21.181447074000001</v>
      </c>
      <c r="F67" s="13">
        <v>18.663525395000001</v>
      </c>
      <c r="G67" s="13">
        <v>0</v>
      </c>
      <c r="H67" s="13">
        <v>0</v>
      </c>
      <c r="I67" s="13">
        <v>0</v>
      </c>
      <c r="J67" s="13">
        <v>102.066301514</v>
      </c>
      <c r="K67" s="13">
        <v>132.06153973299999</v>
      </c>
      <c r="L67" s="13">
        <v>140.09167586000001</v>
      </c>
      <c r="M67" s="13">
        <v>143.52605559899999</v>
      </c>
      <c r="N67" s="13">
        <v>149.78481101099999</v>
      </c>
      <c r="O67" s="13">
        <v>141.60357330100001</v>
      </c>
      <c r="P67" s="13">
        <v>140.10113354500001</v>
      </c>
    </row>
    <row r="68" spans="3:18" ht="14.4" x14ac:dyDescent="0.3">
      <c r="C68" s="3" t="s">
        <v>124</v>
      </c>
      <c r="D68" s="13">
        <v>0</v>
      </c>
      <c r="E68" s="13">
        <v>0</v>
      </c>
      <c r="F68" s="13">
        <v>0</v>
      </c>
      <c r="G68" s="13">
        <v>0</v>
      </c>
      <c r="H68" s="13">
        <v>0</v>
      </c>
      <c r="I68" s="13">
        <v>0</v>
      </c>
      <c r="J68" s="13">
        <v>0</v>
      </c>
      <c r="K68" s="13">
        <v>0</v>
      </c>
      <c r="L68" s="13">
        <v>0</v>
      </c>
      <c r="M68" s="13">
        <v>0</v>
      </c>
      <c r="N68" s="13">
        <v>0</v>
      </c>
      <c r="O68" s="13">
        <v>0</v>
      </c>
      <c r="P68" s="13">
        <v>0</v>
      </c>
    </row>
    <row r="69" spans="3:18" ht="14.4" x14ac:dyDescent="0.3">
      <c r="C69" s="3" t="s">
        <v>125</v>
      </c>
      <c r="D69" s="13">
        <v>10.176</v>
      </c>
      <c r="E69" s="13">
        <v>10.176</v>
      </c>
      <c r="F69" s="13">
        <v>0</v>
      </c>
      <c r="G69" s="13">
        <v>0</v>
      </c>
      <c r="H69" s="13">
        <v>0</v>
      </c>
      <c r="I69" s="13">
        <v>0</v>
      </c>
      <c r="J69" s="13">
        <v>92.868048000000002</v>
      </c>
      <c r="K69" s="13">
        <v>115.55298782600001</v>
      </c>
      <c r="L69" s="13">
        <v>123.583123953</v>
      </c>
      <c r="M69" s="13">
        <v>127.01750369200001</v>
      </c>
      <c r="N69" s="13">
        <v>133.27625910399999</v>
      </c>
      <c r="O69" s="13">
        <v>138.09003833</v>
      </c>
      <c r="P69" s="13">
        <v>0</v>
      </c>
    </row>
    <row r="70" spans="3:18" ht="14.4" x14ac:dyDescent="0.3">
      <c r="C70" s="3" t="s">
        <v>126</v>
      </c>
      <c r="D70" s="13">
        <v>15.156700000000001</v>
      </c>
      <c r="E70" s="13">
        <v>15.15</v>
      </c>
      <c r="F70" s="13">
        <v>24.8172</v>
      </c>
      <c r="G70" s="13">
        <v>0</v>
      </c>
      <c r="H70" s="13">
        <v>0</v>
      </c>
      <c r="I70" s="13">
        <v>0</v>
      </c>
      <c r="J70" s="13">
        <v>16.508551907000001</v>
      </c>
      <c r="K70" s="13">
        <v>16.508551907000001</v>
      </c>
      <c r="L70" s="13">
        <v>16.508551907000001</v>
      </c>
      <c r="M70" s="13">
        <v>16.508551907000001</v>
      </c>
      <c r="N70" s="13">
        <v>16.508551907000001</v>
      </c>
      <c r="O70" s="13">
        <v>3.5135349709999999</v>
      </c>
      <c r="P70" s="13">
        <v>0</v>
      </c>
    </row>
    <row r="71" spans="3:18" ht="14.4" x14ac:dyDescent="0.3">
      <c r="C71" s="3" t="s">
        <v>127</v>
      </c>
      <c r="D71" s="13">
        <v>-6.6165275259999996</v>
      </c>
      <c r="E71" s="13">
        <v>-4.1445529260000002</v>
      </c>
      <c r="F71" s="13">
        <v>-6.153674605</v>
      </c>
      <c r="G71" s="13">
        <v>0</v>
      </c>
      <c r="H71" s="13">
        <v>0</v>
      </c>
      <c r="I71" s="13">
        <v>0</v>
      </c>
      <c r="J71" s="13">
        <v>-7.3102983930000001</v>
      </c>
      <c r="K71" s="13">
        <v>0</v>
      </c>
      <c r="L71" s="13">
        <v>0</v>
      </c>
      <c r="M71" s="13">
        <v>0</v>
      </c>
      <c r="N71" s="13">
        <v>0</v>
      </c>
      <c r="O71" s="13">
        <v>0</v>
      </c>
      <c r="P71" s="13">
        <v>0</v>
      </c>
    </row>
    <row r="72" spans="3:18" ht="14.4" x14ac:dyDescent="0.3">
      <c r="C72" s="3" t="s">
        <v>78</v>
      </c>
      <c r="D72" s="13">
        <v>0</v>
      </c>
      <c r="E72" s="13">
        <v>0</v>
      </c>
      <c r="F72" s="13">
        <v>0</v>
      </c>
      <c r="G72" s="13">
        <v>0</v>
      </c>
      <c r="H72" s="13">
        <v>0</v>
      </c>
      <c r="I72" s="13">
        <v>0</v>
      </c>
      <c r="J72" s="13">
        <v>0</v>
      </c>
      <c r="K72" s="13">
        <v>0</v>
      </c>
      <c r="L72" s="13">
        <v>0</v>
      </c>
      <c r="M72" s="13">
        <v>0</v>
      </c>
      <c r="N72" s="13">
        <v>0</v>
      </c>
      <c r="O72" s="13">
        <v>0</v>
      </c>
      <c r="P72" s="13">
        <v>0</v>
      </c>
    </row>
    <row r="73" spans="3:18" ht="14.4" x14ac:dyDescent="0.3">
      <c r="C73" s="15" t="s">
        <v>128</v>
      </c>
      <c r="D73" s="13">
        <v>2.3078375160000002</v>
      </c>
      <c r="E73" s="13">
        <v>1.9781464419999999</v>
      </c>
      <c r="F73" s="13">
        <v>1.648455368</v>
      </c>
      <c r="G73" s="13">
        <v>1.3187642939999999</v>
      </c>
      <c r="H73" s="13">
        <v>1.7203993719999999</v>
      </c>
      <c r="I73" s="13">
        <v>0</v>
      </c>
      <c r="J73" s="13">
        <v>0</v>
      </c>
      <c r="K73" s="13">
        <v>0</v>
      </c>
      <c r="L73" s="13">
        <v>0</v>
      </c>
      <c r="M73" s="13">
        <v>0</v>
      </c>
      <c r="N73" s="13">
        <v>0</v>
      </c>
      <c r="O73" s="13">
        <v>0</v>
      </c>
      <c r="P73" s="13">
        <v>0</v>
      </c>
    </row>
    <row r="74" spans="3:18" ht="14.4" x14ac:dyDescent="0.3">
      <c r="C74" s="3" t="s">
        <v>129</v>
      </c>
      <c r="D74" s="13">
        <v>5.1601745000000001</v>
      </c>
      <c r="E74" s="13">
        <v>5.5266887779999996</v>
      </c>
      <c r="F74" s="13">
        <v>8.2865175480000008</v>
      </c>
      <c r="G74" s="13">
        <v>6.8283501610000004</v>
      </c>
      <c r="H74" s="13">
        <v>12.267887065</v>
      </c>
      <c r="I74" s="13">
        <v>9.5248180990000009</v>
      </c>
      <c r="J74" s="13">
        <v>3.6169953179999998</v>
      </c>
      <c r="K74" s="13">
        <v>12.188688195999999</v>
      </c>
      <c r="L74" s="13">
        <v>30.486432994000001</v>
      </c>
      <c r="M74" s="13">
        <v>25.586233622000002</v>
      </c>
      <c r="N74" s="13">
        <v>40.525556017</v>
      </c>
      <c r="O74" s="13">
        <v>40.759714741000003</v>
      </c>
      <c r="P74" s="13">
        <v>34.410049970999999</v>
      </c>
      <c r="R74" s="9">
        <v>-6.349664770000004</v>
      </c>
    </row>
    <row r="75" spans="3:18" ht="14.4" x14ac:dyDescent="0.3">
      <c r="C75" s="3" t="s">
        <v>130</v>
      </c>
      <c r="D75" s="13">
        <v>4.1803028879999999</v>
      </c>
      <c r="E75" s="13">
        <v>4.2901068389999999</v>
      </c>
      <c r="F75" s="13">
        <v>6.7187366280000003</v>
      </c>
      <c r="G75" s="13">
        <v>4.8364251500000002</v>
      </c>
      <c r="H75" s="13">
        <v>9.2858690660000001</v>
      </c>
      <c r="I75" s="13">
        <v>7.8724232369999996</v>
      </c>
      <c r="J75" s="13">
        <v>3.6169953179999998</v>
      </c>
      <c r="K75" s="13">
        <v>12.188688195999999</v>
      </c>
      <c r="L75" s="13">
        <v>30.486432994000001</v>
      </c>
      <c r="M75" s="13">
        <v>25.586233622000002</v>
      </c>
      <c r="N75" s="13">
        <v>40.417123277000002</v>
      </c>
      <c r="O75" s="13">
        <v>40.666420799000001</v>
      </c>
      <c r="P75" s="13">
        <v>0</v>
      </c>
    </row>
    <row r="76" spans="3:18" ht="14.4" x14ac:dyDescent="0.3">
      <c r="C76" s="3" t="s">
        <v>131</v>
      </c>
      <c r="D76" s="13">
        <v>0.60095561200000003</v>
      </c>
      <c r="E76" s="13">
        <v>0.42176593899999998</v>
      </c>
      <c r="F76" s="13">
        <v>0.234617568</v>
      </c>
      <c r="G76" s="13">
        <v>0.13609603300000001</v>
      </c>
      <c r="H76" s="13">
        <v>0.15301089500000001</v>
      </c>
      <c r="I76" s="13">
        <v>0.33669437499999999</v>
      </c>
      <c r="J76" s="13">
        <v>0</v>
      </c>
      <c r="K76" s="13">
        <v>0</v>
      </c>
      <c r="L76" s="13">
        <v>0</v>
      </c>
      <c r="M76" s="13">
        <v>0</v>
      </c>
      <c r="N76" s="13">
        <v>0.10843274</v>
      </c>
      <c r="O76" s="13">
        <v>9.3293942000000005E-2</v>
      </c>
      <c r="P76" s="13">
        <v>0</v>
      </c>
    </row>
    <row r="77" spans="3:18" ht="14.4" x14ac:dyDescent="0.3">
      <c r="C77" s="3" t="s">
        <v>132</v>
      </c>
      <c r="D77" s="13">
        <v>0</v>
      </c>
      <c r="E77" s="13">
        <v>0</v>
      </c>
      <c r="F77" s="13">
        <v>0</v>
      </c>
      <c r="G77" s="13">
        <v>0</v>
      </c>
      <c r="H77" s="13">
        <v>0</v>
      </c>
      <c r="I77" s="13">
        <v>0</v>
      </c>
      <c r="J77" s="13">
        <v>0</v>
      </c>
      <c r="K77" s="13">
        <v>0</v>
      </c>
      <c r="L77" s="13">
        <v>0</v>
      </c>
      <c r="M77" s="13">
        <v>0</v>
      </c>
      <c r="N77" s="13">
        <v>0</v>
      </c>
      <c r="O77" s="13">
        <v>0</v>
      </c>
      <c r="P77" s="13">
        <v>0</v>
      </c>
    </row>
    <row r="78" spans="3:18" ht="14.4" x14ac:dyDescent="0.3">
      <c r="C78" s="3" t="s">
        <v>133</v>
      </c>
      <c r="D78" s="13">
        <v>0.37891599999999998</v>
      </c>
      <c r="E78" s="13">
        <v>0.81481599999999998</v>
      </c>
      <c r="F78" s="13">
        <v>1.3331633519999999</v>
      </c>
      <c r="G78" s="13">
        <v>1.8558289779999999</v>
      </c>
      <c r="H78" s="13">
        <v>2.829007104</v>
      </c>
      <c r="I78" s="13">
        <v>0</v>
      </c>
      <c r="J78" s="13">
        <v>0</v>
      </c>
      <c r="K78" s="13">
        <v>0</v>
      </c>
      <c r="L78" s="13">
        <v>0</v>
      </c>
      <c r="M78" s="13">
        <v>0</v>
      </c>
      <c r="N78" s="13">
        <v>0</v>
      </c>
      <c r="O78" s="13">
        <v>0</v>
      </c>
      <c r="P78" s="13">
        <v>0</v>
      </c>
    </row>
    <row r="79" spans="3:18" ht="14.4" x14ac:dyDescent="0.3">
      <c r="C79" s="3" t="s">
        <v>134</v>
      </c>
      <c r="D79" s="13">
        <v>0</v>
      </c>
      <c r="E79" s="13">
        <v>0</v>
      </c>
      <c r="F79" s="13">
        <v>0</v>
      </c>
      <c r="G79" s="13">
        <v>0</v>
      </c>
      <c r="H79" s="13">
        <v>0</v>
      </c>
      <c r="I79" s="13">
        <v>1.315700487</v>
      </c>
      <c r="J79" s="13">
        <v>0</v>
      </c>
      <c r="K79" s="13">
        <v>0</v>
      </c>
      <c r="L79" s="13">
        <v>0</v>
      </c>
      <c r="M79" s="13">
        <v>0</v>
      </c>
      <c r="N79" s="13">
        <v>0</v>
      </c>
      <c r="O79" s="13">
        <v>0</v>
      </c>
      <c r="P79" s="13">
        <v>0</v>
      </c>
    </row>
    <row r="80" spans="3:18" ht="14.4" x14ac:dyDescent="0.3">
      <c r="C80" s="3" t="s">
        <v>135</v>
      </c>
      <c r="D80" s="13">
        <v>488.63763904000001</v>
      </c>
      <c r="E80" s="13">
        <v>603.07960988800005</v>
      </c>
      <c r="F80" s="13">
        <v>626.22229890300002</v>
      </c>
      <c r="G80" s="13">
        <v>742.90043372900004</v>
      </c>
      <c r="H80" s="13">
        <v>920.41146087300001</v>
      </c>
      <c r="I80" s="13">
        <v>1090.945918224</v>
      </c>
      <c r="J80" s="13">
        <v>1067.933197648</v>
      </c>
      <c r="K80" s="13">
        <v>1434.2599540829999</v>
      </c>
      <c r="L80" s="13">
        <v>1544.1900202940001</v>
      </c>
      <c r="M80" s="13">
        <v>1434.340877185</v>
      </c>
      <c r="N80" s="13">
        <v>1620.552920656</v>
      </c>
      <c r="O80" s="13">
        <v>1437.409436723</v>
      </c>
      <c r="P80" s="13">
        <v>1553.4944181640001</v>
      </c>
    </row>
    <row r="81" spans="3:16" ht="14.4" x14ac:dyDescent="0.3">
      <c r="C81" s="3" t="s">
        <v>136</v>
      </c>
      <c r="D81" s="13">
        <v>373.50484783399997</v>
      </c>
      <c r="E81" s="13">
        <v>459.70898938300002</v>
      </c>
      <c r="F81" s="13">
        <v>438.37541912699999</v>
      </c>
      <c r="G81" s="13">
        <v>532.40189309100003</v>
      </c>
      <c r="H81" s="13">
        <v>632.32324636999999</v>
      </c>
      <c r="I81" s="13">
        <v>736.59704525400002</v>
      </c>
      <c r="J81" s="13">
        <v>513.788543129</v>
      </c>
      <c r="K81" s="13">
        <v>661.230683709</v>
      </c>
      <c r="L81" s="13">
        <v>711.17976863000001</v>
      </c>
      <c r="M81" s="13">
        <v>543.68658799399998</v>
      </c>
      <c r="N81" s="13">
        <v>688.04459979299997</v>
      </c>
      <c r="O81" s="13">
        <v>448.78390649300002</v>
      </c>
      <c r="P81" s="13">
        <v>418.35302252000002</v>
      </c>
    </row>
    <row r="82" spans="3:16" ht="14.4" x14ac:dyDescent="0.3">
      <c r="C82" s="3" t="s">
        <v>137</v>
      </c>
      <c r="D82" s="13">
        <v>333.47710701199998</v>
      </c>
      <c r="E82" s="13">
        <v>435.36409251800001</v>
      </c>
      <c r="F82" s="13">
        <v>412.70041195099998</v>
      </c>
      <c r="G82" s="13">
        <v>514.18875101399999</v>
      </c>
      <c r="H82" s="13">
        <v>594.82196051899996</v>
      </c>
      <c r="I82" s="13">
        <v>699.65556326299998</v>
      </c>
      <c r="J82" s="13">
        <v>482.08874687100001</v>
      </c>
      <c r="K82" s="13">
        <v>612.15608454000005</v>
      </c>
      <c r="L82" s="13">
        <v>655.81064181500005</v>
      </c>
      <c r="M82" s="13">
        <v>497.31970547200001</v>
      </c>
      <c r="N82" s="13">
        <v>580.31210996899995</v>
      </c>
      <c r="O82" s="13">
        <v>347.87234367100001</v>
      </c>
      <c r="P82" s="13">
        <v>293.26127431600003</v>
      </c>
    </row>
    <row r="83" spans="3:16" ht="14.4" x14ac:dyDescent="0.3">
      <c r="C83" s="3" t="s">
        <v>138</v>
      </c>
      <c r="D83" s="13">
        <v>46.463389868999997</v>
      </c>
      <c r="E83" s="13">
        <v>54.069453537000001</v>
      </c>
      <c r="F83" s="13">
        <v>65.016444640000003</v>
      </c>
      <c r="G83" s="13">
        <v>75.670533363999994</v>
      </c>
      <c r="H83" s="13">
        <v>75.345926914000003</v>
      </c>
      <c r="I83" s="13">
        <v>85.018742248999999</v>
      </c>
      <c r="J83" s="13">
        <v>151.67171022799999</v>
      </c>
      <c r="K83" s="13">
        <v>249.65009418899999</v>
      </c>
      <c r="L83" s="13">
        <v>196.247620157</v>
      </c>
      <c r="M83" s="13">
        <v>204.50767194100001</v>
      </c>
      <c r="N83" s="13">
        <v>211.39591017500001</v>
      </c>
      <c r="O83" s="13">
        <v>102.65215320900001</v>
      </c>
      <c r="P83" s="13">
        <v>96.813029615999994</v>
      </c>
    </row>
    <row r="84" spans="3:16" ht="14.4" x14ac:dyDescent="0.3">
      <c r="C84" s="3" t="s">
        <v>139</v>
      </c>
      <c r="D84" s="13">
        <v>7.9910680940000001</v>
      </c>
      <c r="E84" s="13">
        <v>8.2572546350000007</v>
      </c>
      <c r="F84" s="13">
        <v>8.5527674349999998</v>
      </c>
      <c r="G84" s="13">
        <v>14.556539122</v>
      </c>
      <c r="H84" s="13">
        <v>17.928536526999999</v>
      </c>
      <c r="I84" s="13">
        <v>15.125622949</v>
      </c>
      <c r="J84" s="13">
        <v>15.068433475000001</v>
      </c>
      <c r="K84" s="13">
        <v>6.5513422910000001</v>
      </c>
      <c r="L84" s="13">
        <v>31.135070337999998</v>
      </c>
      <c r="M84" s="13">
        <v>14.769553615</v>
      </c>
      <c r="N84" s="13">
        <v>5.1531492590000001</v>
      </c>
      <c r="O84" s="13">
        <v>28.952275234999998</v>
      </c>
      <c r="P84" s="13">
        <v>10.607673157000001</v>
      </c>
    </row>
    <row r="85" spans="3:16" ht="14.4" x14ac:dyDescent="0.3">
      <c r="C85" s="3" t="s">
        <v>140</v>
      </c>
      <c r="D85" s="13">
        <v>4.3599082090000003</v>
      </c>
      <c r="E85" s="13">
        <v>5.7650381929999996</v>
      </c>
      <c r="F85" s="13">
        <v>8.4025578260000007</v>
      </c>
      <c r="G85" s="13">
        <v>13.042855212999999</v>
      </c>
      <c r="H85" s="13">
        <v>16.245141160999999</v>
      </c>
      <c r="I85" s="13">
        <v>12.714345631</v>
      </c>
      <c r="J85" s="13">
        <v>28.588905096000001</v>
      </c>
      <c r="K85" s="13">
        <v>23.567266012000001</v>
      </c>
      <c r="L85" s="13">
        <v>30.183981935999999</v>
      </c>
      <c r="M85" s="13">
        <v>9.7208100040000005</v>
      </c>
      <c r="N85" s="13">
        <v>27.984539991999998</v>
      </c>
      <c r="O85" s="13">
        <v>18.476040388000001</v>
      </c>
      <c r="P85" s="13">
        <v>0</v>
      </c>
    </row>
    <row r="86" spans="3:16" ht="14.4" x14ac:dyDescent="0.3">
      <c r="C86" s="3" t="s">
        <v>141</v>
      </c>
      <c r="D86" s="13">
        <v>16.594477640000001</v>
      </c>
      <c r="E86" s="13">
        <v>30.740877101999999</v>
      </c>
      <c r="F86" s="13">
        <v>34.439870661999997</v>
      </c>
      <c r="G86" s="13">
        <v>36.000169388000003</v>
      </c>
      <c r="H86" s="13">
        <v>39.525745938</v>
      </c>
      <c r="I86" s="13">
        <v>54.151322860000001</v>
      </c>
      <c r="J86" s="13">
        <v>53.490474804000002</v>
      </c>
      <c r="K86" s="13">
        <v>70.359021189000003</v>
      </c>
      <c r="L86" s="13">
        <v>40.739386772000003</v>
      </c>
      <c r="M86" s="13">
        <v>14.603356923</v>
      </c>
      <c r="N86" s="13">
        <v>27.415982977999999</v>
      </c>
      <c r="O86" s="13">
        <v>36.378113055999997</v>
      </c>
      <c r="P86" s="13">
        <v>0</v>
      </c>
    </row>
    <row r="87" spans="3:16" ht="14.4" x14ac:dyDescent="0.3">
      <c r="C87" s="3" t="s">
        <v>142</v>
      </c>
      <c r="D87" s="13">
        <v>3.2697875199999999</v>
      </c>
      <c r="E87" s="13">
        <v>7.0402542190000004</v>
      </c>
      <c r="F87" s="13">
        <v>6.9641277940000004</v>
      </c>
      <c r="G87" s="13">
        <v>7.6102546850000001</v>
      </c>
      <c r="H87" s="13">
        <v>3.4043197369999998</v>
      </c>
      <c r="I87" s="13">
        <v>6.3371527089999997</v>
      </c>
      <c r="J87" s="13">
        <v>0</v>
      </c>
      <c r="K87" s="13">
        <v>0</v>
      </c>
      <c r="L87" s="13">
        <v>0</v>
      </c>
      <c r="M87" s="13">
        <v>5.566662548</v>
      </c>
      <c r="N87" s="13">
        <v>7.0395034240000003</v>
      </c>
      <c r="O87" s="13">
        <v>14.263543542000001</v>
      </c>
      <c r="P87" s="13">
        <v>0</v>
      </c>
    </row>
    <row r="88" spans="3:16" ht="14.4" x14ac:dyDescent="0.3">
      <c r="C88" s="3" t="s">
        <v>143</v>
      </c>
      <c r="D88" s="13">
        <v>0</v>
      </c>
      <c r="E88" s="13">
        <v>0</v>
      </c>
      <c r="F88" s="13">
        <v>0</v>
      </c>
      <c r="G88" s="13">
        <v>0</v>
      </c>
      <c r="H88" s="13">
        <v>0</v>
      </c>
      <c r="I88" s="13">
        <v>0</v>
      </c>
      <c r="J88" s="13">
        <v>0</v>
      </c>
      <c r="K88" s="13">
        <v>0</v>
      </c>
      <c r="L88" s="13">
        <v>0</v>
      </c>
      <c r="M88" s="13">
        <v>0</v>
      </c>
      <c r="N88" s="13">
        <v>0</v>
      </c>
      <c r="O88" s="13">
        <v>0</v>
      </c>
      <c r="P88" s="13">
        <v>0</v>
      </c>
    </row>
    <row r="89" spans="3:16" ht="14.4" x14ac:dyDescent="0.3">
      <c r="C89" s="3" t="s">
        <v>144</v>
      </c>
      <c r="D89" s="13">
        <v>0</v>
      </c>
      <c r="E89" s="13">
        <v>0</v>
      </c>
      <c r="F89" s="13">
        <v>0</v>
      </c>
      <c r="G89" s="13">
        <v>0</v>
      </c>
      <c r="H89" s="13">
        <v>0</v>
      </c>
      <c r="I89" s="13">
        <v>0</v>
      </c>
      <c r="J89" s="13">
        <v>0</v>
      </c>
      <c r="K89" s="13">
        <v>0</v>
      </c>
      <c r="L89" s="13">
        <v>0</v>
      </c>
      <c r="M89" s="13">
        <v>0</v>
      </c>
      <c r="N89" s="13">
        <v>0</v>
      </c>
      <c r="O89" s="13">
        <v>0</v>
      </c>
      <c r="P89" s="13">
        <v>0</v>
      </c>
    </row>
    <row r="90" spans="3:16" ht="14.4" x14ac:dyDescent="0.3">
      <c r="C90" s="3" t="s">
        <v>145</v>
      </c>
      <c r="D90" s="13">
        <v>0</v>
      </c>
      <c r="E90" s="13">
        <v>0</v>
      </c>
      <c r="F90" s="13">
        <v>0</v>
      </c>
      <c r="G90" s="13">
        <v>0</v>
      </c>
      <c r="H90" s="13">
        <v>0</v>
      </c>
      <c r="I90" s="13">
        <v>0</v>
      </c>
      <c r="J90" s="13">
        <v>0</v>
      </c>
      <c r="K90" s="13">
        <v>0</v>
      </c>
      <c r="L90" s="13">
        <v>0</v>
      </c>
      <c r="M90" s="13">
        <v>0</v>
      </c>
      <c r="N90" s="13">
        <v>0</v>
      </c>
      <c r="O90" s="13">
        <v>0</v>
      </c>
      <c r="P90" s="13">
        <v>0</v>
      </c>
    </row>
    <row r="91" spans="3:16" ht="14.4" x14ac:dyDescent="0.3">
      <c r="C91" s="3" t="s">
        <v>146</v>
      </c>
      <c r="D91" s="13">
        <v>2.2199429190000002</v>
      </c>
      <c r="E91" s="13">
        <v>3.821274973</v>
      </c>
      <c r="F91" s="13">
        <v>3.0576128460000001</v>
      </c>
      <c r="G91" s="13">
        <v>1.350952215</v>
      </c>
      <c r="H91" s="13">
        <v>4.916818202</v>
      </c>
      <c r="I91" s="13">
        <v>3.488373749</v>
      </c>
      <c r="J91" s="13">
        <v>80.964800871999998</v>
      </c>
      <c r="K91" s="13">
        <v>114.865053043</v>
      </c>
      <c r="L91" s="13">
        <v>91.297260308000006</v>
      </c>
      <c r="M91" s="13">
        <v>89.869602916999995</v>
      </c>
      <c r="N91" s="13">
        <v>85.378453860999997</v>
      </c>
      <c r="O91" s="13">
        <v>80.971909203999999</v>
      </c>
      <c r="P91" s="13">
        <v>0</v>
      </c>
    </row>
    <row r="92" spans="3:16" ht="14.4" x14ac:dyDescent="0.3">
      <c r="C92" s="3" t="s">
        <v>147</v>
      </c>
      <c r="D92" s="13">
        <v>252.57853276099999</v>
      </c>
      <c r="E92" s="13">
        <v>323.43722896200001</v>
      </c>
      <c r="F92" s="13">
        <v>282.07815143599998</v>
      </c>
      <c r="G92" s="13">
        <v>360.50739340799998</v>
      </c>
      <c r="H92" s="13">
        <v>431.35031354400002</v>
      </c>
      <c r="I92" s="13">
        <v>506.573060301</v>
      </c>
      <c r="J92" s="13">
        <v>86.689211008000001</v>
      </c>
      <c r="K92" s="13">
        <v>74.721502117</v>
      </c>
      <c r="L92" s="13">
        <v>195.69973205599999</v>
      </c>
      <c r="M92" s="13">
        <v>95.986460433999994</v>
      </c>
      <c r="N92" s="13">
        <v>176.39123693100001</v>
      </c>
      <c r="O92" s="13">
        <v>20.094668665</v>
      </c>
      <c r="P92" s="13">
        <v>21.029471059999999</v>
      </c>
    </row>
    <row r="93" spans="3:16" ht="14.4" x14ac:dyDescent="0.3">
      <c r="C93" s="3" t="s">
        <v>148</v>
      </c>
      <c r="D93" s="13">
        <v>0</v>
      </c>
      <c r="E93" s="13">
        <v>0</v>
      </c>
      <c r="F93" s="13">
        <v>0</v>
      </c>
      <c r="G93" s="13">
        <v>0</v>
      </c>
      <c r="H93" s="13">
        <v>0</v>
      </c>
      <c r="I93" s="13">
        <v>4.7706331149999999</v>
      </c>
      <c r="J93" s="13">
        <v>0</v>
      </c>
      <c r="K93" s="13">
        <v>0</v>
      </c>
      <c r="L93" s="13">
        <v>0</v>
      </c>
      <c r="M93" s="13">
        <v>0</v>
      </c>
      <c r="N93" s="13">
        <v>0</v>
      </c>
      <c r="O93" s="13">
        <v>0</v>
      </c>
      <c r="P93" s="13">
        <v>0</v>
      </c>
    </row>
    <row r="94" spans="3:16" ht="14.4" x14ac:dyDescent="0.3">
      <c r="C94" s="3" t="s">
        <v>149</v>
      </c>
      <c r="D94" s="13">
        <v>0</v>
      </c>
      <c r="E94" s="13">
        <v>2.232710897</v>
      </c>
      <c r="F94" s="13">
        <v>4.1888793120000001</v>
      </c>
      <c r="G94" s="13">
        <v>5.4500536190000002</v>
      </c>
      <c r="H94" s="13">
        <v>6.1051584959999996</v>
      </c>
      <c r="I94" s="13">
        <v>11.4763097</v>
      </c>
      <c r="J94" s="13">
        <v>65.615211388000006</v>
      </c>
      <c r="K94" s="13">
        <v>72.441805699</v>
      </c>
      <c r="L94" s="13">
        <v>70.507590248</v>
      </c>
      <c r="M94" s="13">
        <v>62.295587089999998</v>
      </c>
      <c r="N94" s="13">
        <v>39.553333348999999</v>
      </c>
      <c r="O94" s="13">
        <v>46.083640371999998</v>
      </c>
      <c r="P94" s="13">
        <v>0</v>
      </c>
    </row>
    <row r="95" spans="3:16" ht="14.4" x14ac:dyDescent="0.3">
      <c r="C95" s="3" t="s">
        <v>150</v>
      </c>
      <c r="D95" s="13">
        <v>0</v>
      </c>
      <c r="E95" s="13">
        <v>0</v>
      </c>
      <c r="F95" s="13">
        <v>0</v>
      </c>
      <c r="G95" s="13">
        <v>0</v>
      </c>
      <c r="H95" s="13">
        <v>0</v>
      </c>
      <c r="I95" s="13">
        <v>0</v>
      </c>
      <c r="J95" s="13">
        <v>0</v>
      </c>
      <c r="K95" s="13">
        <v>0</v>
      </c>
      <c r="L95" s="13">
        <v>0</v>
      </c>
      <c r="M95" s="13">
        <v>0</v>
      </c>
      <c r="N95" s="13">
        <v>0</v>
      </c>
      <c r="O95" s="13">
        <v>0</v>
      </c>
      <c r="P95" s="13">
        <v>0</v>
      </c>
    </row>
    <row r="96" spans="3:16" ht="14.4" x14ac:dyDescent="0.3">
      <c r="C96" s="3" t="s">
        <v>95</v>
      </c>
      <c r="D96" s="13">
        <v>0</v>
      </c>
      <c r="E96" s="13">
        <v>0</v>
      </c>
      <c r="F96" s="13">
        <v>0</v>
      </c>
      <c r="G96" s="13">
        <v>0</v>
      </c>
      <c r="H96" s="13">
        <v>0</v>
      </c>
      <c r="I96" s="13">
        <v>0</v>
      </c>
      <c r="J96" s="13">
        <v>0</v>
      </c>
      <c r="K96" s="13">
        <v>0</v>
      </c>
      <c r="L96" s="13">
        <v>0</v>
      </c>
      <c r="M96" s="13">
        <v>0</v>
      </c>
      <c r="N96" s="13">
        <v>0</v>
      </c>
      <c r="O96" s="13">
        <v>0</v>
      </c>
      <c r="P96" s="13">
        <v>0</v>
      </c>
    </row>
    <row r="97" spans="3:16" ht="14.4" x14ac:dyDescent="0.3">
      <c r="C97" s="3" t="s">
        <v>151</v>
      </c>
      <c r="D97" s="13">
        <v>40.027740821999998</v>
      </c>
      <c r="E97" s="13">
        <v>24.344896864999999</v>
      </c>
      <c r="F97" s="13">
        <v>25.675007176000001</v>
      </c>
      <c r="G97" s="13">
        <v>18.213142077000001</v>
      </c>
      <c r="H97" s="13">
        <v>37.501285850999999</v>
      </c>
      <c r="I97" s="13">
        <v>36.941481991000003</v>
      </c>
      <c r="J97" s="13">
        <v>31.699796257999999</v>
      </c>
      <c r="K97" s="13">
        <v>49.074599169000003</v>
      </c>
      <c r="L97" s="13">
        <v>55.369126815000001</v>
      </c>
      <c r="M97" s="13">
        <v>46.366882521999997</v>
      </c>
      <c r="N97" s="13">
        <v>107.732489824</v>
      </c>
      <c r="O97" s="13">
        <v>100.91156282199999</v>
      </c>
      <c r="P97" s="13">
        <v>125.091748204</v>
      </c>
    </row>
    <row r="98" spans="3:16" ht="14.4" x14ac:dyDescent="0.3">
      <c r="C98" s="3" t="s">
        <v>152</v>
      </c>
      <c r="D98" s="13">
        <v>0</v>
      </c>
      <c r="E98" s="13">
        <v>0</v>
      </c>
      <c r="F98" s="13">
        <v>0</v>
      </c>
      <c r="G98" s="13">
        <v>0</v>
      </c>
      <c r="H98" s="13">
        <v>0</v>
      </c>
      <c r="I98" s="13">
        <v>0</v>
      </c>
      <c r="J98" s="13">
        <v>0</v>
      </c>
      <c r="K98" s="13">
        <v>0</v>
      </c>
      <c r="L98" s="13">
        <v>0</v>
      </c>
      <c r="M98" s="13">
        <v>0</v>
      </c>
      <c r="N98" s="13">
        <v>0</v>
      </c>
      <c r="O98" s="13">
        <v>0</v>
      </c>
      <c r="P98" s="13">
        <v>0</v>
      </c>
    </row>
    <row r="99" spans="3:16" ht="14.4" x14ac:dyDescent="0.3">
      <c r="C99" s="3" t="s">
        <v>153</v>
      </c>
      <c r="D99" s="13">
        <v>0</v>
      </c>
      <c r="E99" s="13">
        <v>0</v>
      </c>
      <c r="F99" s="13">
        <v>0</v>
      </c>
      <c r="G99" s="13">
        <v>0</v>
      </c>
      <c r="H99" s="13">
        <v>0</v>
      </c>
      <c r="I99" s="13">
        <v>0</v>
      </c>
      <c r="J99" s="13">
        <v>0</v>
      </c>
      <c r="K99" s="13">
        <v>0</v>
      </c>
      <c r="L99" s="13">
        <v>0</v>
      </c>
      <c r="M99" s="13">
        <v>0</v>
      </c>
      <c r="N99" s="13">
        <v>0</v>
      </c>
      <c r="O99" s="13">
        <v>0</v>
      </c>
      <c r="P99" s="13">
        <v>0</v>
      </c>
    </row>
    <row r="100" spans="3:16" ht="14.4" x14ac:dyDescent="0.3">
      <c r="C100" s="3" t="s">
        <v>154</v>
      </c>
      <c r="D100" s="13">
        <v>0</v>
      </c>
      <c r="E100" s="13">
        <v>0</v>
      </c>
      <c r="F100" s="13">
        <v>0</v>
      </c>
      <c r="G100" s="13">
        <v>0</v>
      </c>
      <c r="H100" s="13">
        <v>0</v>
      </c>
      <c r="I100" s="13">
        <v>0</v>
      </c>
      <c r="J100" s="13">
        <v>0</v>
      </c>
      <c r="K100" s="13">
        <v>0</v>
      </c>
      <c r="L100" s="13">
        <v>0</v>
      </c>
      <c r="M100" s="13">
        <v>0</v>
      </c>
      <c r="N100" s="13">
        <v>0</v>
      </c>
      <c r="O100" s="13">
        <v>0</v>
      </c>
      <c r="P100" s="13">
        <v>0</v>
      </c>
    </row>
    <row r="101" spans="3:16" ht="14.4" x14ac:dyDescent="0.3">
      <c r="C101" s="3" t="s">
        <v>155</v>
      </c>
      <c r="D101" s="13">
        <v>0</v>
      </c>
      <c r="E101" s="13">
        <v>0</v>
      </c>
      <c r="F101" s="13">
        <v>0</v>
      </c>
      <c r="G101" s="13">
        <v>0</v>
      </c>
      <c r="H101" s="13">
        <v>0</v>
      </c>
      <c r="I101" s="13">
        <v>0</v>
      </c>
      <c r="J101" s="13">
        <v>0</v>
      </c>
      <c r="K101" s="13">
        <v>0</v>
      </c>
      <c r="L101" s="13">
        <v>0</v>
      </c>
      <c r="M101" s="13">
        <v>0</v>
      </c>
      <c r="N101" s="13">
        <v>0</v>
      </c>
      <c r="O101" s="13">
        <v>0</v>
      </c>
      <c r="P101" s="13">
        <v>0</v>
      </c>
    </row>
    <row r="102" spans="3:16" ht="14.4" x14ac:dyDescent="0.3">
      <c r="C102" s="3" t="s">
        <v>156</v>
      </c>
      <c r="D102" s="13">
        <v>0</v>
      </c>
      <c r="E102" s="13">
        <v>0</v>
      </c>
      <c r="F102" s="13">
        <v>0</v>
      </c>
      <c r="G102" s="13">
        <v>0</v>
      </c>
      <c r="H102" s="13">
        <v>0</v>
      </c>
      <c r="I102" s="13">
        <v>0</v>
      </c>
      <c r="J102" s="13">
        <v>0</v>
      </c>
      <c r="K102" s="13">
        <v>0</v>
      </c>
      <c r="L102" s="13">
        <v>0</v>
      </c>
      <c r="M102" s="13">
        <v>0</v>
      </c>
      <c r="N102" s="13">
        <v>0</v>
      </c>
      <c r="O102" s="13">
        <v>0</v>
      </c>
      <c r="P102" s="13">
        <v>0</v>
      </c>
    </row>
    <row r="103" spans="3:16" ht="14.4" x14ac:dyDescent="0.3">
      <c r="C103" s="3" t="s">
        <v>157</v>
      </c>
      <c r="D103" s="13">
        <v>0</v>
      </c>
      <c r="E103" s="13">
        <v>0</v>
      </c>
      <c r="F103" s="13">
        <v>0</v>
      </c>
      <c r="G103" s="13">
        <v>0</v>
      </c>
      <c r="H103" s="13">
        <v>0</v>
      </c>
      <c r="I103" s="13">
        <v>0</v>
      </c>
      <c r="J103" s="13">
        <v>0</v>
      </c>
      <c r="K103" s="13">
        <v>0</v>
      </c>
      <c r="L103" s="13">
        <v>0</v>
      </c>
      <c r="M103" s="13">
        <v>0</v>
      </c>
      <c r="N103" s="13">
        <v>0</v>
      </c>
      <c r="O103" s="13">
        <v>0</v>
      </c>
      <c r="P103" s="13">
        <v>0</v>
      </c>
    </row>
    <row r="104" spans="3:16" ht="14.4" x14ac:dyDescent="0.3">
      <c r="C104" s="3" t="s">
        <v>158</v>
      </c>
      <c r="D104" s="13">
        <v>0</v>
      </c>
      <c r="E104" s="13">
        <v>0</v>
      </c>
      <c r="F104" s="13">
        <v>0.118289508</v>
      </c>
      <c r="G104" s="13">
        <v>0.24819210799999999</v>
      </c>
      <c r="H104" s="13">
        <v>0.29978366400000001</v>
      </c>
      <c r="I104" s="13">
        <v>0.53226547400000002</v>
      </c>
      <c r="J104" s="13">
        <v>0</v>
      </c>
      <c r="K104" s="13">
        <v>0</v>
      </c>
      <c r="L104" s="13">
        <v>0</v>
      </c>
      <c r="M104" s="13">
        <v>0</v>
      </c>
      <c r="N104" s="13">
        <v>0</v>
      </c>
      <c r="O104" s="13">
        <v>0</v>
      </c>
      <c r="P104" s="13">
        <v>0</v>
      </c>
    </row>
    <row r="105" spans="3:16" ht="14.4" x14ac:dyDescent="0.3">
      <c r="C105" s="3" t="s">
        <v>159</v>
      </c>
      <c r="D105" s="13">
        <v>39.771336955999999</v>
      </c>
      <c r="E105" s="13">
        <v>23.998282774</v>
      </c>
      <c r="F105" s="13">
        <v>25.022849962999999</v>
      </c>
      <c r="G105" s="13">
        <v>17.964949968999999</v>
      </c>
      <c r="H105" s="13">
        <v>37.201502187000003</v>
      </c>
      <c r="I105" s="13">
        <v>35.595277428999999</v>
      </c>
      <c r="J105" s="13">
        <v>0</v>
      </c>
      <c r="K105" s="13">
        <v>0</v>
      </c>
      <c r="L105" s="13">
        <v>0</v>
      </c>
      <c r="M105" s="13">
        <v>0</v>
      </c>
      <c r="N105" s="13">
        <v>65.452849999999998</v>
      </c>
      <c r="O105" s="13">
        <v>62.725647917000003</v>
      </c>
      <c r="P105" s="13">
        <v>76</v>
      </c>
    </row>
    <row r="106" spans="3:16" ht="14.4" x14ac:dyDescent="0.3">
      <c r="C106" s="3" t="s">
        <v>160</v>
      </c>
      <c r="D106" s="13">
        <v>0</v>
      </c>
      <c r="E106" s="13">
        <v>0</v>
      </c>
      <c r="F106" s="13">
        <v>0</v>
      </c>
      <c r="G106" s="13">
        <v>0</v>
      </c>
      <c r="H106" s="13">
        <v>0</v>
      </c>
      <c r="I106" s="13">
        <v>0</v>
      </c>
      <c r="J106" s="13">
        <v>0</v>
      </c>
      <c r="K106" s="13">
        <v>0</v>
      </c>
      <c r="L106" s="13">
        <v>0</v>
      </c>
      <c r="M106" s="13">
        <v>0</v>
      </c>
      <c r="N106" s="13">
        <v>0</v>
      </c>
      <c r="O106" s="13">
        <v>0</v>
      </c>
      <c r="P106" s="13">
        <v>0</v>
      </c>
    </row>
    <row r="107" spans="3:16" ht="14.4" x14ac:dyDescent="0.3">
      <c r="C107" s="3" t="s">
        <v>161</v>
      </c>
      <c r="D107" s="13">
        <v>0</v>
      </c>
      <c r="E107" s="13">
        <v>0</v>
      </c>
      <c r="F107" s="13">
        <v>0</v>
      </c>
      <c r="G107" s="13">
        <v>0</v>
      </c>
      <c r="H107" s="13">
        <v>0</v>
      </c>
      <c r="I107" s="13">
        <v>0</v>
      </c>
      <c r="J107" s="13">
        <v>0</v>
      </c>
      <c r="K107" s="13">
        <v>0</v>
      </c>
      <c r="L107" s="13">
        <v>0</v>
      </c>
      <c r="M107" s="13">
        <v>0</v>
      </c>
      <c r="N107" s="13">
        <v>0</v>
      </c>
      <c r="O107" s="13">
        <v>0</v>
      </c>
      <c r="P107" s="13">
        <v>0</v>
      </c>
    </row>
    <row r="108" spans="3:16" ht="14.4" x14ac:dyDescent="0.3">
      <c r="C108" s="3" t="s">
        <v>162</v>
      </c>
      <c r="D108" s="13">
        <v>0</v>
      </c>
      <c r="E108" s="13">
        <v>0</v>
      </c>
      <c r="F108" s="13">
        <v>0</v>
      </c>
      <c r="G108" s="13">
        <v>0</v>
      </c>
      <c r="H108" s="13">
        <v>0</v>
      </c>
      <c r="I108" s="13">
        <v>0</v>
      </c>
      <c r="J108" s="13">
        <v>0</v>
      </c>
      <c r="K108" s="13">
        <v>0</v>
      </c>
      <c r="L108" s="13">
        <v>0</v>
      </c>
      <c r="M108" s="13">
        <v>0</v>
      </c>
      <c r="N108" s="13">
        <v>0</v>
      </c>
      <c r="O108" s="13">
        <v>0</v>
      </c>
      <c r="P108" s="13">
        <v>0</v>
      </c>
    </row>
    <row r="109" spans="3:16" ht="14.4" x14ac:dyDescent="0.3">
      <c r="C109" s="3" t="s">
        <v>163</v>
      </c>
      <c r="D109" s="13">
        <v>0.25640386599999998</v>
      </c>
      <c r="E109" s="13">
        <v>0.34661409100000001</v>
      </c>
      <c r="F109" s="13">
        <v>0.53386770500000003</v>
      </c>
      <c r="G109" s="13">
        <v>0</v>
      </c>
      <c r="H109" s="13">
        <v>0</v>
      </c>
      <c r="I109" s="13">
        <v>0</v>
      </c>
      <c r="J109" s="13">
        <v>0</v>
      </c>
      <c r="K109" s="13">
        <v>0</v>
      </c>
      <c r="L109" s="13">
        <v>0</v>
      </c>
      <c r="M109" s="13">
        <v>0</v>
      </c>
      <c r="N109" s="13">
        <v>0</v>
      </c>
      <c r="O109" s="13">
        <v>0</v>
      </c>
      <c r="P109" s="13">
        <v>0</v>
      </c>
    </row>
    <row r="110" spans="3:16" ht="14.4" x14ac:dyDescent="0.3">
      <c r="C110" s="3" t="s">
        <v>164</v>
      </c>
      <c r="D110" s="13">
        <v>0</v>
      </c>
      <c r="E110" s="13">
        <v>0</v>
      </c>
      <c r="F110" s="13">
        <v>0</v>
      </c>
      <c r="G110" s="13">
        <v>0</v>
      </c>
      <c r="H110" s="13">
        <v>0</v>
      </c>
      <c r="I110" s="13">
        <v>0.81393908800000003</v>
      </c>
      <c r="J110" s="13">
        <v>0</v>
      </c>
      <c r="K110" s="13">
        <v>0</v>
      </c>
      <c r="L110" s="13">
        <v>0</v>
      </c>
      <c r="M110" s="13">
        <v>0</v>
      </c>
      <c r="N110" s="13">
        <v>0</v>
      </c>
      <c r="O110" s="13">
        <v>0</v>
      </c>
      <c r="P110" s="13">
        <v>0</v>
      </c>
    </row>
    <row r="111" spans="3:16" ht="14.4" x14ac:dyDescent="0.3">
      <c r="C111" s="3" t="s">
        <v>165</v>
      </c>
      <c r="D111" s="13">
        <v>0</v>
      </c>
      <c r="E111" s="13">
        <v>0</v>
      </c>
      <c r="F111" s="13">
        <v>0</v>
      </c>
      <c r="G111" s="13">
        <v>0</v>
      </c>
      <c r="H111" s="13">
        <v>0</v>
      </c>
      <c r="I111" s="13">
        <v>0</v>
      </c>
      <c r="J111" s="13">
        <v>31.699796257999999</v>
      </c>
      <c r="K111" s="13">
        <v>49.074599169000003</v>
      </c>
      <c r="L111" s="13">
        <v>55.369126815000001</v>
      </c>
      <c r="M111" s="13">
        <v>46.366882521999997</v>
      </c>
      <c r="N111" s="13">
        <v>42.279639824</v>
      </c>
      <c r="O111" s="13">
        <v>38.185914904999997</v>
      </c>
      <c r="P111" s="13">
        <v>0</v>
      </c>
    </row>
    <row r="112" spans="3:16" ht="14.4" x14ac:dyDescent="0.3">
      <c r="C112" s="3" t="s">
        <v>166</v>
      </c>
      <c r="D112" s="13">
        <v>108.762786432</v>
      </c>
      <c r="E112" s="13">
        <v>136.817573407</v>
      </c>
      <c r="F112" s="13">
        <v>180.48768339700001</v>
      </c>
      <c r="G112" s="13">
        <v>202.319311951</v>
      </c>
      <c r="H112" s="13">
        <v>276.95715697499998</v>
      </c>
      <c r="I112" s="13">
        <v>354.34887297</v>
      </c>
      <c r="J112" s="13">
        <v>554.14465451900003</v>
      </c>
      <c r="K112" s="13">
        <v>773.02927037400002</v>
      </c>
      <c r="L112" s="13">
        <v>833.01025166399995</v>
      </c>
      <c r="M112" s="13">
        <v>890.65428919099998</v>
      </c>
      <c r="N112" s="13">
        <v>932.50832086299999</v>
      </c>
      <c r="O112" s="20">
        <v>988.62553022999998</v>
      </c>
      <c r="P112" s="13">
        <v>1135.1413956440001</v>
      </c>
    </row>
    <row r="113" spans="3:16" ht="14.4" x14ac:dyDescent="0.3">
      <c r="C113" s="3" t="s">
        <v>167</v>
      </c>
      <c r="D113" s="13">
        <v>106.531031527</v>
      </c>
      <c r="E113" s="13">
        <v>136.817573407</v>
      </c>
      <c r="F113" s="13">
        <v>180.48768339700001</v>
      </c>
      <c r="G113" s="13">
        <v>202.319311951</v>
      </c>
      <c r="H113" s="13">
        <v>276.95715697499998</v>
      </c>
      <c r="I113" s="13">
        <v>354.34887297</v>
      </c>
      <c r="J113" s="13">
        <v>554.14465451900003</v>
      </c>
      <c r="K113" s="13">
        <v>742.68401272400001</v>
      </c>
      <c r="L113" s="13">
        <v>806.46831678900003</v>
      </c>
      <c r="M113" s="13">
        <v>868.08306284800005</v>
      </c>
      <c r="N113" s="13">
        <v>913.639344908</v>
      </c>
      <c r="O113" s="20">
        <v>972.328801871</v>
      </c>
      <c r="P113" s="13">
        <v>1127.09003373</v>
      </c>
    </row>
    <row r="114" spans="3:16" ht="14.4" x14ac:dyDescent="0.3">
      <c r="C114" s="3" t="s">
        <v>168</v>
      </c>
      <c r="D114" s="13">
        <v>59.999400000000001</v>
      </c>
      <c r="E114" s="13">
        <v>85.997600000000006</v>
      </c>
      <c r="F114" s="13">
        <v>120.00646</v>
      </c>
      <c r="G114" s="13">
        <v>120.00646</v>
      </c>
      <c r="H114" s="13">
        <v>120.00646</v>
      </c>
      <c r="I114" s="13">
        <v>120.00646</v>
      </c>
      <c r="J114" s="13">
        <v>419.18279000000001</v>
      </c>
      <c r="K114" s="13">
        <v>523.79</v>
      </c>
      <c r="L114" s="13">
        <v>523.79</v>
      </c>
      <c r="M114" s="13">
        <v>523.79</v>
      </c>
      <c r="N114" s="13">
        <v>523.79</v>
      </c>
      <c r="O114" s="20">
        <v>523.79</v>
      </c>
      <c r="P114" s="13">
        <v>576.12444000000005</v>
      </c>
    </row>
    <row r="115" spans="3:16" ht="14.4" x14ac:dyDescent="0.3">
      <c r="C115" s="3" t="s">
        <v>169</v>
      </c>
      <c r="D115" s="13">
        <v>59.999400000000001</v>
      </c>
      <c r="E115" s="13">
        <v>85.997600000000006</v>
      </c>
      <c r="F115" s="13">
        <v>120.00646</v>
      </c>
      <c r="G115" s="13">
        <v>120.00646</v>
      </c>
      <c r="H115" s="13">
        <v>120.00646</v>
      </c>
      <c r="I115" s="13">
        <v>120.00646</v>
      </c>
      <c r="J115" s="13">
        <v>419.18279000000001</v>
      </c>
      <c r="K115" s="13">
        <v>523.79</v>
      </c>
      <c r="L115" s="13">
        <v>523.79</v>
      </c>
      <c r="M115" s="13">
        <v>523.79</v>
      </c>
      <c r="N115" s="13">
        <v>523.79</v>
      </c>
      <c r="O115" s="20">
        <v>523.79</v>
      </c>
      <c r="P115" s="13">
        <v>576.12444000000005</v>
      </c>
    </row>
    <row r="116" spans="3:16" ht="14.4" x14ac:dyDescent="0.3">
      <c r="C116" s="3" t="s">
        <v>170</v>
      </c>
      <c r="D116" s="13">
        <v>0</v>
      </c>
      <c r="E116" s="13">
        <v>0</v>
      </c>
      <c r="F116" s="13">
        <v>0</v>
      </c>
      <c r="G116" s="13">
        <v>0</v>
      </c>
      <c r="H116" s="13">
        <v>0</v>
      </c>
      <c r="I116" s="13">
        <v>0</v>
      </c>
      <c r="J116" s="13">
        <v>0</v>
      </c>
      <c r="K116" s="13">
        <v>0</v>
      </c>
      <c r="L116" s="13">
        <v>0</v>
      </c>
      <c r="M116" s="13">
        <v>0</v>
      </c>
      <c r="N116" s="13">
        <v>0</v>
      </c>
      <c r="O116" s="20">
        <v>0</v>
      </c>
      <c r="P116" s="13">
        <v>0</v>
      </c>
    </row>
    <row r="117" spans="3:16" ht="14.4" x14ac:dyDescent="0.3">
      <c r="C117" s="3" t="s">
        <v>171</v>
      </c>
      <c r="D117" s="13">
        <v>22.729465623999999</v>
      </c>
      <c r="E117" s="13">
        <v>8.3699987769999993</v>
      </c>
      <c r="F117" s="13">
        <v>-9.4124148000000005E-2</v>
      </c>
      <c r="G117" s="13">
        <v>-9.4124148000000005E-2</v>
      </c>
      <c r="H117" s="13">
        <v>-9.4124148000000005E-2</v>
      </c>
      <c r="I117" s="13">
        <v>-9.4124148000000005E-2</v>
      </c>
      <c r="J117" s="13">
        <v>0</v>
      </c>
      <c r="K117" s="13">
        <v>20.921441999999999</v>
      </c>
      <c r="L117" s="13">
        <v>20.921441999999999</v>
      </c>
      <c r="M117" s="13">
        <v>20.921441999999999</v>
      </c>
      <c r="N117" s="13">
        <v>20.921441999999999</v>
      </c>
      <c r="O117" s="20">
        <v>20.921441999999999</v>
      </c>
      <c r="P117" s="13">
        <v>20.921441999999999</v>
      </c>
    </row>
    <row r="118" spans="3:16" ht="14.4" x14ac:dyDescent="0.3">
      <c r="C118" s="3" t="s">
        <v>172</v>
      </c>
      <c r="D118" s="13">
        <v>0</v>
      </c>
      <c r="E118" s="13">
        <v>0</v>
      </c>
      <c r="F118" s="13">
        <v>0</v>
      </c>
      <c r="G118" s="13">
        <v>0</v>
      </c>
      <c r="H118" s="13">
        <v>0</v>
      </c>
      <c r="I118" s="13">
        <v>0</v>
      </c>
      <c r="J118" s="13">
        <v>0</v>
      </c>
      <c r="K118" s="13">
        <v>0</v>
      </c>
      <c r="L118" s="13">
        <v>0</v>
      </c>
      <c r="M118" s="13">
        <v>0</v>
      </c>
      <c r="N118" s="13">
        <v>0</v>
      </c>
      <c r="O118" s="20">
        <v>0</v>
      </c>
      <c r="P118" s="13">
        <v>0</v>
      </c>
    </row>
    <row r="119" spans="3:16" ht="14.4" x14ac:dyDescent="0.3">
      <c r="C119" s="3" t="s">
        <v>173</v>
      </c>
      <c r="D119" s="13">
        <v>1.143403682</v>
      </c>
      <c r="E119" s="13">
        <v>0</v>
      </c>
      <c r="F119" s="13">
        <v>0</v>
      </c>
      <c r="G119" s="13">
        <v>20.878293768999999</v>
      </c>
      <c r="H119" s="13">
        <v>55.611998407000002</v>
      </c>
      <c r="I119" s="13">
        <v>97.927997884000007</v>
      </c>
      <c r="J119" s="13">
        <v>0</v>
      </c>
      <c r="K119" s="13">
        <v>0</v>
      </c>
      <c r="L119" s="13">
        <v>0</v>
      </c>
      <c r="M119" s="13">
        <v>0</v>
      </c>
      <c r="N119" s="13">
        <v>0</v>
      </c>
      <c r="O119" s="20">
        <v>0</v>
      </c>
      <c r="P119" s="13">
        <v>0</v>
      </c>
    </row>
    <row r="120" spans="3:16" ht="14.4" x14ac:dyDescent="0.3">
      <c r="C120" s="3" t="s">
        <v>174</v>
      </c>
      <c r="D120" s="13">
        <v>0</v>
      </c>
      <c r="E120" s="13">
        <v>0</v>
      </c>
      <c r="F120" s="13">
        <v>0</v>
      </c>
      <c r="G120" s="13">
        <v>0</v>
      </c>
      <c r="H120" s="13">
        <v>0</v>
      </c>
      <c r="I120" s="13">
        <v>0</v>
      </c>
      <c r="J120" s="13">
        <v>0</v>
      </c>
      <c r="K120" s="13">
        <v>0</v>
      </c>
      <c r="L120" s="13">
        <v>0</v>
      </c>
      <c r="M120" s="13">
        <v>-8.7799999999999998E-4</v>
      </c>
      <c r="N120" s="13">
        <v>-8.7799999999999998E-4</v>
      </c>
      <c r="O120" s="20">
        <v>-1.952796558</v>
      </c>
      <c r="P120" s="13">
        <v>-1.952796558</v>
      </c>
    </row>
    <row r="121" spans="3:16" ht="14.4" x14ac:dyDescent="0.3">
      <c r="C121" s="3" t="s">
        <v>175</v>
      </c>
      <c r="D121" s="13">
        <v>0</v>
      </c>
      <c r="E121" s="13">
        <v>0</v>
      </c>
      <c r="F121" s="13">
        <v>0</v>
      </c>
      <c r="G121" s="13">
        <v>0</v>
      </c>
      <c r="H121" s="13">
        <v>0</v>
      </c>
      <c r="I121" s="13">
        <v>0</v>
      </c>
      <c r="J121" s="13">
        <v>0</v>
      </c>
      <c r="K121" s="13">
        <v>0</v>
      </c>
      <c r="L121" s="13">
        <v>0</v>
      </c>
      <c r="M121" s="13">
        <v>0</v>
      </c>
      <c r="N121" s="13">
        <v>0</v>
      </c>
      <c r="O121" s="20">
        <v>0</v>
      </c>
      <c r="P121" s="13">
        <v>0</v>
      </c>
    </row>
    <row r="122" spans="3:16" ht="14.4" x14ac:dyDescent="0.3">
      <c r="C122" s="3" t="s">
        <v>176</v>
      </c>
      <c r="D122" s="13">
        <v>2.114271569</v>
      </c>
      <c r="E122" s="13">
        <v>0.76459600900000002</v>
      </c>
      <c r="F122" s="13">
        <v>0.407195209</v>
      </c>
      <c r="G122" s="13">
        <v>0</v>
      </c>
      <c r="H122" s="13">
        <v>0</v>
      </c>
      <c r="I122" s="13">
        <v>0</v>
      </c>
      <c r="J122" s="13">
        <v>0</v>
      </c>
      <c r="K122" s="13">
        <v>0</v>
      </c>
      <c r="L122" s="13">
        <v>0</v>
      </c>
      <c r="M122" s="13">
        <v>0</v>
      </c>
      <c r="N122" s="13">
        <v>-1.03534511</v>
      </c>
      <c r="O122" s="20">
        <v>-0.74188662699999997</v>
      </c>
      <c r="P122" s="13">
        <v>-2.5926586710000001</v>
      </c>
    </row>
    <row r="123" spans="3:16" ht="14.4" x14ac:dyDescent="0.3">
      <c r="C123" s="3" t="s">
        <v>177</v>
      </c>
      <c r="D123" s="13">
        <v>4.380404747</v>
      </c>
      <c r="E123" s="13">
        <v>0.92801288199999998</v>
      </c>
      <c r="F123" s="13">
        <v>1.266400161</v>
      </c>
      <c r="G123" s="13">
        <v>1.7869776159999999</v>
      </c>
      <c r="H123" s="13">
        <v>2.4602323319999999</v>
      </c>
      <c r="I123" s="13">
        <v>15.019866283000001</v>
      </c>
      <c r="J123" s="13">
        <v>28.242535173</v>
      </c>
      <c r="K123" s="13">
        <v>41.944812218000003</v>
      </c>
      <c r="L123" s="13">
        <v>57.686233807000001</v>
      </c>
      <c r="M123" s="13">
        <v>73.986715286000006</v>
      </c>
      <c r="N123" s="13">
        <v>88.209457009999994</v>
      </c>
      <c r="O123" s="20">
        <v>103.995413492</v>
      </c>
      <c r="P123" s="13">
        <v>122.37402073</v>
      </c>
    </row>
    <row r="124" spans="3:16" ht="14.4" x14ac:dyDescent="0.3">
      <c r="C124" s="3" t="s">
        <v>178</v>
      </c>
      <c r="D124" s="13">
        <v>0</v>
      </c>
      <c r="E124" s="13">
        <v>0</v>
      </c>
      <c r="F124" s="13">
        <v>0</v>
      </c>
      <c r="G124" s="13">
        <v>0</v>
      </c>
      <c r="H124" s="13">
        <v>0</v>
      </c>
      <c r="I124" s="13">
        <v>0</v>
      </c>
      <c r="J124" s="13">
        <v>0</v>
      </c>
      <c r="K124" s="13">
        <v>0</v>
      </c>
      <c r="L124" s="13">
        <v>0</v>
      </c>
      <c r="M124" s="13">
        <v>0</v>
      </c>
      <c r="N124" s="13">
        <v>0</v>
      </c>
      <c r="O124" s="20">
        <v>0</v>
      </c>
      <c r="P124" s="13">
        <v>0</v>
      </c>
    </row>
    <row r="125" spans="3:16" ht="14.4" x14ac:dyDescent="0.3">
      <c r="C125" s="3" t="s">
        <v>179</v>
      </c>
      <c r="D125" s="13">
        <v>2.5890535780000001</v>
      </c>
      <c r="E125" s="13">
        <v>2.996504871</v>
      </c>
      <c r="F125" s="13">
        <v>4.4504950699999997</v>
      </c>
      <c r="G125" s="13">
        <v>6.7301601470000003</v>
      </c>
      <c r="H125" s="13">
        <v>9.5615485739999997</v>
      </c>
      <c r="I125" s="13">
        <v>0</v>
      </c>
      <c r="J125" s="13">
        <v>0</v>
      </c>
      <c r="K125" s="13">
        <v>0</v>
      </c>
      <c r="L125" s="13">
        <v>0</v>
      </c>
      <c r="M125" s="13">
        <v>0</v>
      </c>
      <c r="N125" s="13">
        <v>0</v>
      </c>
      <c r="O125" s="20">
        <v>0</v>
      </c>
      <c r="P125" s="13">
        <v>0</v>
      </c>
    </row>
    <row r="126" spans="3:16" ht="14.4" x14ac:dyDescent="0.3">
      <c r="C126" s="3" t="s">
        <v>180</v>
      </c>
      <c r="D126" s="13">
        <v>0</v>
      </c>
      <c r="E126" s="13">
        <v>0</v>
      </c>
      <c r="F126" s="13">
        <v>0</v>
      </c>
      <c r="G126" s="13">
        <v>0</v>
      </c>
      <c r="H126" s="13">
        <v>0</v>
      </c>
      <c r="I126" s="13">
        <v>0</v>
      </c>
      <c r="J126" s="13">
        <v>0</v>
      </c>
      <c r="K126" s="13">
        <v>0</v>
      </c>
      <c r="L126" s="13">
        <v>0</v>
      </c>
      <c r="M126" s="13">
        <v>0</v>
      </c>
      <c r="N126" s="13">
        <v>0</v>
      </c>
      <c r="O126" s="20">
        <v>0</v>
      </c>
      <c r="P126" s="13">
        <v>0</v>
      </c>
    </row>
    <row r="127" spans="3:16" ht="14.4" x14ac:dyDescent="0.3">
      <c r="C127" s="3" t="s">
        <v>181</v>
      </c>
      <c r="D127" s="13">
        <v>13.575032327000001</v>
      </c>
      <c r="E127" s="13">
        <v>37.760860868000002</v>
      </c>
      <c r="F127" s="13">
        <v>54.451257105000003</v>
      </c>
      <c r="G127" s="13">
        <v>53.011544567000001</v>
      </c>
      <c r="H127" s="13">
        <v>89.41104181</v>
      </c>
      <c r="I127" s="13">
        <v>108.123490082</v>
      </c>
      <c r="J127" s="13">
        <v>106.71932934599999</v>
      </c>
      <c r="K127" s="13">
        <v>156.027758506</v>
      </c>
      <c r="L127" s="13">
        <v>204.07064098199999</v>
      </c>
      <c r="M127" s="13">
        <v>249.385783562</v>
      </c>
      <c r="N127" s="13">
        <v>281.75466900800001</v>
      </c>
      <c r="O127" s="20">
        <v>326.31662956399998</v>
      </c>
      <c r="P127" s="13">
        <v>412.215586229</v>
      </c>
    </row>
    <row r="128" spans="3:16" ht="14.4" x14ac:dyDescent="0.3">
      <c r="C128" s="3" t="s">
        <v>182</v>
      </c>
      <c r="D128" s="13">
        <v>0</v>
      </c>
      <c r="E128" s="13">
        <v>0</v>
      </c>
      <c r="F128" s="13">
        <v>0</v>
      </c>
      <c r="G128" s="13">
        <v>0</v>
      </c>
      <c r="H128" s="13">
        <v>0</v>
      </c>
      <c r="I128" s="13">
        <v>0</v>
      </c>
      <c r="J128" s="13">
        <v>6.272621601</v>
      </c>
      <c r="K128" s="13">
        <v>125.99018547999999</v>
      </c>
      <c r="L128" s="13">
        <v>156.027758506</v>
      </c>
      <c r="M128" s="13">
        <v>204.070640819</v>
      </c>
      <c r="N128" s="13">
        <v>249.38578356299999</v>
      </c>
      <c r="O128" s="20">
        <v>281.75466900800001</v>
      </c>
      <c r="P128" s="13">
        <v>272.53817121899999</v>
      </c>
    </row>
    <row r="129" spans="3:16" ht="14.4" x14ac:dyDescent="0.3">
      <c r="C129" s="3" t="s">
        <v>183</v>
      </c>
      <c r="D129" s="13">
        <v>13.575032327000001</v>
      </c>
      <c r="E129" s="13">
        <v>37.760860868000002</v>
      </c>
      <c r="F129" s="13">
        <v>54.451257105000003</v>
      </c>
      <c r="G129" s="13">
        <v>53.011544567000001</v>
      </c>
      <c r="H129" s="13">
        <v>89.41104181</v>
      </c>
      <c r="I129" s="13">
        <v>108.123490082</v>
      </c>
      <c r="J129" s="13">
        <v>100.446707745</v>
      </c>
      <c r="K129" s="13">
        <v>30.037573026</v>
      </c>
      <c r="L129" s="13">
        <v>48.042882476000003</v>
      </c>
      <c r="M129" s="13">
        <v>45.315142743000003</v>
      </c>
      <c r="N129" s="13">
        <v>32.368885444999997</v>
      </c>
      <c r="O129" s="20">
        <v>44.561960556000002</v>
      </c>
      <c r="P129" s="13">
        <v>139.67741501099999</v>
      </c>
    </row>
    <row r="130" spans="3:16" ht="14.4" x14ac:dyDescent="0.3">
      <c r="C130" s="3" t="s">
        <v>184</v>
      </c>
      <c r="D130" s="13">
        <v>0</v>
      </c>
      <c r="E130" s="13">
        <v>0</v>
      </c>
      <c r="F130" s="13">
        <v>0</v>
      </c>
      <c r="G130" s="13">
        <v>0</v>
      </c>
      <c r="H130" s="13">
        <v>0</v>
      </c>
      <c r="I130" s="13">
        <v>13.365182869</v>
      </c>
      <c r="J130" s="13">
        <v>0</v>
      </c>
      <c r="K130" s="13">
        <v>0</v>
      </c>
      <c r="L130" s="13">
        <v>0</v>
      </c>
      <c r="M130" s="13">
        <v>0</v>
      </c>
      <c r="N130" s="13">
        <v>0</v>
      </c>
      <c r="O130" s="20">
        <v>0</v>
      </c>
      <c r="P130" s="13">
        <v>0</v>
      </c>
    </row>
    <row r="131" spans="3:16" ht="14.4" x14ac:dyDescent="0.3">
      <c r="C131" s="3" t="s">
        <v>185</v>
      </c>
      <c r="D131" s="13">
        <v>2.2317549049999998</v>
      </c>
      <c r="E131" s="13">
        <v>0</v>
      </c>
      <c r="F131" s="13">
        <v>0</v>
      </c>
      <c r="G131" s="13">
        <v>0</v>
      </c>
      <c r="H131" s="13">
        <v>0</v>
      </c>
      <c r="I131" s="13">
        <v>0</v>
      </c>
      <c r="J131" s="13">
        <v>0</v>
      </c>
      <c r="K131" s="13">
        <v>30.345257650000001</v>
      </c>
      <c r="L131" s="13">
        <v>26.541934874999999</v>
      </c>
      <c r="M131" s="13">
        <v>22.571226342999999</v>
      </c>
      <c r="N131" s="13">
        <v>18.868975955</v>
      </c>
      <c r="O131" s="20">
        <v>16.296728358999999</v>
      </c>
      <c r="P131" s="13">
        <v>8.0513619139999992</v>
      </c>
    </row>
    <row r="132" spans="3:16" ht="14.4" x14ac:dyDescent="0.3">
      <c r="C132" s="3" t="s">
        <v>186</v>
      </c>
      <c r="D132" s="13">
        <v>2.2317549049999998</v>
      </c>
      <c r="E132" s="13">
        <v>0</v>
      </c>
      <c r="F132" s="13">
        <v>0</v>
      </c>
      <c r="G132" s="13">
        <v>0</v>
      </c>
      <c r="H132" s="13">
        <v>0</v>
      </c>
      <c r="I132" s="13">
        <v>0</v>
      </c>
      <c r="J132" s="13">
        <v>0</v>
      </c>
      <c r="K132" s="13">
        <v>0</v>
      </c>
      <c r="L132" s="13">
        <v>0</v>
      </c>
      <c r="M132" s="13">
        <v>0</v>
      </c>
      <c r="N132" s="13">
        <v>0</v>
      </c>
      <c r="O132" s="20">
        <v>0</v>
      </c>
      <c r="P132" s="13">
        <v>0</v>
      </c>
    </row>
    <row r="133" spans="3:16" ht="14.4" x14ac:dyDescent="0.3">
      <c r="C133" s="3" t="s">
        <v>187</v>
      </c>
      <c r="D133" s="13">
        <v>0</v>
      </c>
      <c r="E133" s="13">
        <v>0</v>
      </c>
      <c r="F133" s="13">
        <v>0</v>
      </c>
      <c r="G133" s="13">
        <v>0</v>
      </c>
      <c r="H133" s="13">
        <v>0</v>
      </c>
      <c r="I133" s="13">
        <v>0</v>
      </c>
      <c r="J133" s="13">
        <v>0</v>
      </c>
      <c r="K133" s="13">
        <v>22.676735833999999</v>
      </c>
      <c r="L133" s="13">
        <v>20.247177170000001</v>
      </c>
      <c r="M133" s="13">
        <v>17.650232586000001</v>
      </c>
      <c r="N133" s="13">
        <v>15.323540832999999</v>
      </c>
      <c r="O133" s="20">
        <v>12.468410765</v>
      </c>
      <c r="P133" s="13">
        <v>2.3445127750000001</v>
      </c>
    </row>
    <row r="134" spans="3:16" ht="14.4" x14ac:dyDescent="0.3">
      <c r="C134" s="3" t="s">
        <v>188</v>
      </c>
      <c r="D134" s="13">
        <v>0</v>
      </c>
      <c r="E134" s="13">
        <v>0</v>
      </c>
      <c r="F134" s="13">
        <v>0</v>
      </c>
      <c r="G134" s="13">
        <v>0</v>
      </c>
      <c r="H134" s="13">
        <v>0</v>
      </c>
      <c r="I134" s="13">
        <v>0</v>
      </c>
      <c r="J134" s="13">
        <v>0</v>
      </c>
      <c r="K134" s="13">
        <v>7.6685218160000002</v>
      </c>
      <c r="L134" s="13">
        <v>6.2947577050000003</v>
      </c>
      <c r="M134" s="13">
        <v>4.9209937569999997</v>
      </c>
      <c r="N134" s="13">
        <v>3.5454351220000002</v>
      </c>
      <c r="O134" s="20">
        <v>3.828317594</v>
      </c>
      <c r="P134" s="13">
        <v>5.706849139</v>
      </c>
    </row>
    <row r="135" spans="3:16" ht="14.4" x14ac:dyDescent="0.3">
      <c r="C135" s="3" t="s">
        <v>189</v>
      </c>
      <c r="D135" s="13">
        <v>6.3700047739999999</v>
      </c>
      <c r="E135" s="13">
        <v>6.5530470980000004</v>
      </c>
      <c r="F135" s="13">
        <v>7.3591963790000001</v>
      </c>
      <c r="G135" s="13">
        <v>8.1792286870000002</v>
      </c>
      <c r="H135" s="13">
        <v>11.131057527999999</v>
      </c>
      <c r="I135" s="13">
        <v>0</v>
      </c>
      <c r="J135" s="13">
        <v>0</v>
      </c>
      <c r="K135" s="13">
        <v>0</v>
      </c>
      <c r="L135" s="13">
        <v>0</v>
      </c>
      <c r="M135" s="13">
        <v>0</v>
      </c>
      <c r="N135" s="13">
        <v>0</v>
      </c>
      <c r="O135" s="20">
        <v>0</v>
      </c>
      <c r="P135" s="13">
        <v>0</v>
      </c>
    </row>
    <row r="136" spans="3:16" ht="14.4" x14ac:dyDescent="0.3">
      <c r="C136" s="3" t="s">
        <v>190</v>
      </c>
      <c r="D136" s="13">
        <v>488.63763904000001</v>
      </c>
      <c r="E136" s="13">
        <v>603.07960988800005</v>
      </c>
      <c r="F136" s="13">
        <v>626.22229890300002</v>
      </c>
      <c r="G136" s="13">
        <v>742.90043372900004</v>
      </c>
      <c r="H136" s="13">
        <v>920.41146087300001</v>
      </c>
      <c r="I136" s="13">
        <v>1090.945918224</v>
      </c>
      <c r="J136" s="13">
        <v>1067.933197648</v>
      </c>
      <c r="K136" s="13">
        <v>1434.2599540829999</v>
      </c>
      <c r="L136" s="13">
        <v>1544.1900202940001</v>
      </c>
      <c r="M136" s="13">
        <v>1434.340877185</v>
      </c>
      <c r="N136" s="13">
        <v>1620.552920656</v>
      </c>
      <c r="O136" s="20">
        <v>1437.409436723</v>
      </c>
      <c r="P136" s="13">
        <v>1553.4944181640001</v>
      </c>
    </row>
    <row r="137" spans="3:16" ht="15.6" x14ac:dyDescent="0.3">
      <c r="C137" s="16"/>
    </row>
    <row r="138" spans="3:16" ht="15.6" x14ac:dyDescent="0.3">
      <c r="C138" s="16" t="s">
        <v>57</v>
      </c>
    </row>
    <row r="139" spans="3:16" ht="15.6" x14ac:dyDescent="0.3">
      <c r="C139" s="17" t="s">
        <v>58</v>
      </c>
    </row>
    <row r="140" spans="3:16" ht="15.6" x14ac:dyDescent="0.3">
      <c r="C140" s="17" t="s">
        <v>59</v>
      </c>
    </row>
    <row r="141" spans="3:16" ht="14.4" x14ac:dyDescent="0.3">
      <c r="C141" s="18" t="s">
        <v>60</v>
      </c>
    </row>
    <row r="142" spans="3:16" ht="14.4" x14ac:dyDescent="0.3">
      <c r="C142" s="19"/>
    </row>
    <row r="143" spans="3:16" ht="15.6" x14ac:dyDescent="0.3">
      <c r="C143" s="16" t="s">
        <v>61</v>
      </c>
    </row>
    <row r="144" spans="3:16" ht="15.6" x14ac:dyDescent="0.3">
      <c r="C144" s="16" t="s">
        <v>62</v>
      </c>
    </row>
    <row r="145" spans="3:3" ht="15.6" x14ac:dyDescent="0.3">
      <c r="C145" s="17" t="s">
        <v>63</v>
      </c>
    </row>
    <row r="146" spans="3:3" ht="14.4" x14ac:dyDescent="0.3">
      <c r="C146" s="18" t="s">
        <v>64</v>
      </c>
    </row>
    <row r="147" spans="3:3" ht="14.4" x14ac:dyDescent="0.3">
      <c r="C147" s="19" t="s">
        <v>65</v>
      </c>
    </row>
    <row r="148" spans="3:3" ht="15.6" x14ac:dyDescent="0.3">
      <c r="C148" s="16"/>
    </row>
    <row r="149" spans="3:3" ht="15.6" x14ac:dyDescent="0.3">
      <c r="C149" s="17" t="s">
        <v>66</v>
      </c>
    </row>
    <row r="150" spans="3:3" ht="14.4" x14ac:dyDescent="0.3">
      <c r="C150" s="18" t="s">
        <v>67</v>
      </c>
    </row>
    <row r="151" spans="3:3" ht="14.4" x14ac:dyDescent="0.3">
      <c r="C151" s="19" t="s">
        <v>68</v>
      </c>
    </row>
    <row r="152" spans="3:3" ht="14.4" x14ac:dyDescent="0.3">
      <c r="C152" s="19"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98E1A-A6D5-4DF8-A0FA-4C637CC6534D}">
  <dimension ref="C1:P71"/>
  <sheetViews>
    <sheetView topLeftCell="C25" zoomScale="70" zoomScaleNormal="70" workbookViewId="0">
      <selection activeCell="C54" sqref="A54:XFD54"/>
    </sheetView>
  </sheetViews>
  <sheetFormatPr defaultColWidth="9.109375" defaultRowHeight="12" x14ac:dyDescent="0.3"/>
  <cols>
    <col min="1" max="2" width="0" style="4" hidden="1" customWidth="1"/>
    <col min="3" max="3" width="68.5546875" style="4" customWidth="1"/>
    <col min="4" max="6" width="14" style="4" customWidth="1"/>
    <col min="7" max="7" width="15.44140625" style="4" bestFit="1" customWidth="1"/>
    <col min="8" max="16" width="21.109375" style="4" bestFit="1" customWidth="1"/>
    <col min="17" max="17" width="23.5546875" style="4" customWidth="1"/>
    <col min="18" max="18" width="11.109375" style="4" customWidth="1"/>
    <col min="19" max="19" width="19.44140625" style="4" customWidth="1"/>
    <col min="20" max="20" width="9.109375" style="4"/>
    <col min="21" max="21" width="14" style="4" customWidth="1"/>
    <col min="22" max="16384" width="9.109375" style="4"/>
  </cols>
  <sheetData>
    <row r="1" spans="3:16" s="1" customFormat="1" x14ac:dyDescent="0.3"/>
    <row r="2" spans="3:16" s="1" customFormat="1" x14ac:dyDescent="0.3"/>
    <row r="3" spans="3:16" s="1" customFormat="1" x14ac:dyDescent="0.3"/>
    <row r="4" spans="3:16" s="1" customFormat="1" x14ac:dyDescent="0.3"/>
    <row r="5" spans="3:16" ht="14.4" x14ac:dyDescent="0.3">
      <c r="C5" s="2" t="s">
        <v>0</v>
      </c>
      <c r="D5" s="3"/>
    </row>
    <row r="6" spans="3:16" ht="14.4" x14ac:dyDescent="0.3">
      <c r="C6" s="2" t="s">
        <v>1</v>
      </c>
      <c r="D6" s="3"/>
      <c r="N6" s="5"/>
    </row>
    <row r="7" spans="3:16" x14ac:dyDescent="0.3">
      <c r="E7" s="6"/>
      <c r="N7" s="5"/>
    </row>
    <row r="8" spans="3:16" ht="14.4" x14ac:dyDescent="0.3">
      <c r="C8" s="2" t="s">
        <v>2</v>
      </c>
      <c r="D8" s="3" t="s">
        <v>3</v>
      </c>
      <c r="E8" s="4" t="s">
        <v>3</v>
      </c>
      <c r="F8" s="2" t="s">
        <v>4</v>
      </c>
      <c r="G8" s="3" t="s">
        <v>5</v>
      </c>
      <c r="H8" s="3" t="s">
        <v>6</v>
      </c>
    </row>
    <row r="9" spans="3:16" ht="14.4" x14ac:dyDescent="0.3">
      <c r="C9" s="2" t="s">
        <v>7</v>
      </c>
      <c r="D9" s="3" t="s">
        <v>8</v>
      </c>
      <c r="F9" s="2" t="s">
        <v>9</v>
      </c>
      <c r="G9" s="3" t="s">
        <v>10</v>
      </c>
      <c r="H9" s="3" t="s">
        <v>10</v>
      </c>
    </row>
    <row r="10" spans="3:16" x14ac:dyDescent="0.3">
      <c r="J10" s="9">
        <v>308.065530045</v>
      </c>
    </row>
    <row r="11" spans="3:16" ht="14.4" x14ac:dyDescent="0.3">
      <c r="C11" s="11" t="s">
        <v>191</v>
      </c>
      <c r="D11" s="21" t="s">
        <v>192</v>
      </c>
      <c r="E11" s="21" t="s">
        <v>193</v>
      </c>
      <c r="F11" s="21" t="s">
        <v>194</v>
      </c>
      <c r="G11" s="21" t="s">
        <v>195</v>
      </c>
      <c r="H11" s="22" t="s">
        <v>11</v>
      </c>
      <c r="I11" s="22" t="s">
        <v>12</v>
      </c>
      <c r="J11" s="22" t="s">
        <v>13</v>
      </c>
      <c r="K11" s="22" t="s">
        <v>14</v>
      </c>
      <c r="L11" s="22" t="s">
        <v>15</v>
      </c>
      <c r="M11" s="22" t="s">
        <v>6</v>
      </c>
      <c r="N11" s="22" t="s">
        <v>16</v>
      </c>
      <c r="O11" s="22" t="s">
        <v>17</v>
      </c>
      <c r="P11" s="22" t="s">
        <v>18</v>
      </c>
    </row>
    <row r="12" spans="3:16" ht="14.4" x14ac:dyDescent="0.3">
      <c r="C12" s="3" t="s">
        <v>19</v>
      </c>
      <c r="D12" s="3" t="s">
        <v>20</v>
      </c>
      <c r="E12" s="3" t="s">
        <v>20</v>
      </c>
      <c r="F12" s="3" t="s">
        <v>20</v>
      </c>
      <c r="G12" s="3" t="s">
        <v>20</v>
      </c>
      <c r="H12" s="3" t="s">
        <v>20</v>
      </c>
      <c r="I12" s="3" t="s">
        <v>20</v>
      </c>
      <c r="J12" s="3" t="s">
        <v>20</v>
      </c>
      <c r="K12" s="3" t="s">
        <v>20</v>
      </c>
      <c r="L12" s="3" t="s">
        <v>20</v>
      </c>
      <c r="M12" s="3" t="s">
        <v>20</v>
      </c>
      <c r="N12" s="3" t="s">
        <v>20</v>
      </c>
      <c r="O12" s="3" t="s">
        <v>20</v>
      </c>
      <c r="P12" s="3" t="s">
        <v>20</v>
      </c>
    </row>
    <row r="13" spans="3:16" ht="14.4" x14ac:dyDescent="0.3">
      <c r="C13" s="3" t="s">
        <v>21</v>
      </c>
      <c r="D13" s="3"/>
      <c r="E13" s="3"/>
      <c r="F13" s="3"/>
      <c r="G13" s="3" t="s">
        <v>22</v>
      </c>
      <c r="H13" s="3" t="s">
        <v>22</v>
      </c>
      <c r="I13" s="3" t="s">
        <v>22</v>
      </c>
      <c r="J13" s="3" t="s">
        <v>22</v>
      </c>
      <c r="K13" s="3" t="s">
        <v>22</v>
      </c>
      <c r="L13" s="3" t="s">
        <v>22</v>
      </c>
      <c r="M13" s="3" t="s">
        <v>22</v>
      </c>
      <c r="N13" s="3" t="s">
        <v>22</v>
      </c>
      <c r="O13" s="3" t="s">
        <v>22</v>
      </c>
      <c r="P13" s="3" t="s">
        <v>22</v>
      </c>
    </row>
    <row r="14" spans="3:16" ht="14.4" x14ac:dyDescent="0.3">
      <c r="C14" s="3" t="s">
        <v>23</v>
      </c>
      <c r="D14" s="3"/>
      <c r="E14" s="3"/>
      <c r="F14" s="3"/>
      <c r="G14" s="3" t="s">
        <v>24</v>
      </c>
      <c r="H14" s="3" t="s">
        <v>25</v>
      </c>
      <c r="I14" s="3" t="s">
        <v>25</v>
      </c>
      <c r="J14" s="3" t="s">
        <v>25</v>
      </c>
      <c r="K14" s="3" t="s">
        <v>25</v>
      </c>
      <c r="L14" s="3" t="s">
        <v>25</v>
      </c>
      <c r="M14" s="3" t="s">
        <v>25</v>
      </c>
      <c r="N14" s="3" t="s">
        <v>25</v>
      </c>
      <c r="O14" s="3" t="s">
        <v>25</v>
      </c>
      <c r="P14" s="3" t="s">
        <v>25</v>
      </c>
    </row>
    <row r="15" spans="3:16" ht="14.4" x14ac:dyDescent="0.3">
      <c r="C15" s="3" t="s">
        <v>196</v>
      </c>
      <c r="D15" s="13">
        <v>0</v>
      </c>
      <c r="E15" s="13">
        <v>52.579674945999997</v>
      </c>
      <c r="F15" s="13">
        <v>73.138860893</v>
      </c>
      <c r="G15" s="13">
        <v>87.279560463999999</v>
      </c>
      <c r="H15" s="13">
        <v>128.43885201399999</v>
      </c>
      <c r="I15" s="13">
        <v>150.14317103799999</v>
      </c>
      <c r="J15" s="13">
        <v>273.85551143200001</v>
      </c>
      <c r="K15" s="13">
        <v>175.88104429099999</v>
      </c>
      <c r="L15" s="13">
        <v>203.596448638</v>
      </c>
      <c r="M15" s="13">
        <v>201.02634409800001</v>
      </c>
      <c r="N15" s="13">
        <v>174.01328670199999</v>
      </c>
      <c r="O15" s="13">
        <v>193.19131539700001</v>
      </c>
      <c r="P15" s="13">
        <v>0</v>
      </c>
    </row>
    <row r="16" spans="3:16" ht="14.4" x14ac:dyDescent="0.3">
      <c r="C16" s="3" t="s">
        <v>197</v>
      </c>
      <c r="D16" s="13">
        <v>0</v>
      </c>
      <c r="E16" s="13">
        <v>28.622377438000001</v>
      </c>
      <c r="F16" s="13">
        <v>31.478679330999999</v>
      </c>
      <c r="G16" s="13">
        <v>36.860873499</v>
      </c>
      <c r="H16" s="13">
        <v>48.007340325000001</v>
      </c>
      <c r="I16" s="13">
        <v>68.371455463000004</v>
      </c>
      <c r="J16" s="13">
        <v>39.216981767999997</v>
      </c>
      <c r="K16" s="13">
        <v>33.793831392000001</v>
      </c>
      <c r="L16" s="13">
        <v>36.81384233</v>
      </c>
      <c r="M16" s="13">
        <v>36.516915462</v>
      </c>
      <c r="N16" s="13">
        <v>27.945021708999999</v>
      </c>
      <c r="O16" s="13">
        <v>31.808990529999999</v>
      </c>
      <c r="P16" s="13">
        <v>40.674128404000001</v>
      </c>
    </row>
    <row r="17" spans="3:16" ht="14.4" x14ac:dyDescent="0.3">
      <c r="C17" s="3" t="s">
        <v>198</v>
      </c>
      <c r="D17" s="13">
        <v>0</v>
      </c>
      <c r="E17" s="13">
        <v>0</v>
      </c>
      <c r="F17" s="13">
        <v>0</v>
      </c>
      <c r="G17" s="13">
        <v>0</v>
      </c>
      <c r="H17" s="13">
        <v>0</v>
      </c>
      <c r="I17" s="13">
        <v>0</v>
      </c>
      <c r="J17" s="13">
        <v>0</v>
      </c>
      <c r="K17" s="13">
        <v>0</v>
      </c>
      <c r="L17" s="13">
        <v>0</v>
      </c>
      <c r="M17" s="13">
        <v>0</v>
      </c>
      <c r="N17" s="13">
        <v>0</v>
      </c>
      <c r="O17" s="13">
        <v>0</v>
      </c>
      <c r="P17" s="13">
        <v>0</v>
      </c>
    </row>
    <row r="18" spans="3:16" ht="14.4" x14ac:dyDescent="0.3">
      <c r="C18" s="2328" t="s">
        <v>199</v>
      </c>
      <c r="D18" s="13">
        <v>0</v>
      </c>
      <c r="E18" s="13">
        <v>-15.692028296</v>
      </c>
      <c r="F18" s="13">
        <v>2.2117206450000002</v>
      </c>
      <c r="G18" s="13">
        <v>0.21625930099999999</v>
      </c>
      <c r="H18" s="13">
        <v>-0.43876798500000003</v>
      </c>
      <c r="I18" s="13">
        <v>-3.1254635159999999</v>
      </c>
      <c r="J18" s="13">
        <v>25.788018605000001</v>
      </c>
      <c r="K18" s="13">
        <v>-5.1495657809999997</v>
      </c>
      <c r="L18" s="13">
        <v>-2.6443794220000001</v>
      </c>
      <c r="M18" s="13">
        <v>1.120705235</v>
      </c>
      <c r="N18" s="13">
        <v>14.547849369</v>
      </c>
      <c r="O18" s="13">
        <v>14.288446894</v>
      </c>
      <c r="P18" s="13">
        <v>14.288446894</v>
      </c>
    </row>
    <row r="19" spans="3:16" ht="14.4" x14ac:dyDescent="0.3">
      <c r="C19" s="2328" t="s">
        <v>200</v>
      </c>
      <c r="D19" s="13">
        <v>0</v>
      </c>
      <c r="E19" s="13">
        <v>0</v>
      </c>
      <c r="F19" s="13">
        <v>0</v>
      </c>
      <c r="G19" s="13">
        <v>9.2933761000000004E-2</v>
      </c>
      <c r="H19" s="13">
        <v>0.11801748400000001</v>
      </c>
      <c r="I19" s="13">
        <v>-0.59503310700000001</v>
      </c>
      <c r="J19" s="13">
        <v>-0.42643000599999997</v>
      </c>
      <c r="K19" s="13">
        <v>0.30575327499999999</v>
      </c>
      <c r="L19" s="13">
        <v>-3.7498219999999999E-3</v>
      </c>
      <c r="M19" s="13">
        <v>-8.9566700999999999E-2</v>
      </c>
      <c r="N19" s="13">
        <v>6.9131554999999997E-2</v>
      </c>
      <c r="O19" s="13">
        <v>0.69521357399999995</v>
      </c>
      <c r="P19" s="13">
        <v>0</v>
      </c>
    </row>
    <row r="20" spans="3:16" ht="14.4" x14ac:dyDescent="0.3">
      <c r="C20" s="2328" t="s">
        <v>201</v>
      </c>
      <c r="D20" s="13">
        <v>0</v>
      </c>
      <c r="E20" s="13">
        <v>0</v>
      </c>
      <c r="F20" s="13">
        <v>0</v>
      </c>
      <c r="G20" s="13">
        <v>0</v>
      </c>
      <c r="H20" s="13">
        <v>0</v>
      </c>
      <c r="I20" s="13">
        <v>0</v>
      </c>
      <c r="J20" s="13">
        <v>0</v>
      </c>
      <c r="K20" s="13">
        <v>0</v>
      </c>
      <c r="L20" s="13">
        <v>0</v>
      </c>
      <c r="M20" s="13">
        <v>0</v>
      </c>
      <c r="N20" s="13">
        <v>0</v>
      </c>
      <c r="O20" s="13">
        <v>0</v>
      </c>
      <c r="P20" s="13">
        <v>0</v>
      </c>
    </row>
    <row r="21" spans="3:16" ht="14.4" x14ac:dyDescent="0.3">
      <c r="C21" s="2328" t="s">
        <v>202</v>
      </c>
      <c r="D21" s="13">
        <v>0</v>
      </c>
      <c r="E21" s="13">
        <v>-1.1133428940000001</v>
      </c>
      <c r="F21" s="13">
        <v>-1.4633982400000001</v>
      </c>
      <c r="G21" s="13">
        <v>3.2282626109999999</v>
      </c>
      <c r="H21" s="13">
        <v>-1.4803883470000001</v>
      </c>
      <c r="I21" s="13">
        <v>-4.5389949180000002</v>
      </c>
      <c r="J21" s="13">
        <v>-47.816327004000001</v>
      </c>
      <c r="K21" s="13">
        <v>-25.707873975999998</v>
      </c>
      <c r="L21" s="13">
        <v>-25.735579961999999</v>
      </c>
      <c r="M21" s="13">
        <v>-26.3237326</v>
      </c>
      <c r="N21" s="13">
        <v>-27.37118619</v>
      </c>
      <c r="O21" s="13">
        <v>-24.246804957999998</v>
      </c>
      <c r="P21" s="13">
        <v>-24.246804957999998</v>
      </c>
    </row>
    <row r="22" spans="3:16" ht="14.4" x14ac:dyDescent="0.3">
      <c r="C22" s="2328" t="s">
        <v>203</v>
      </c>
      <c r="D22" s="13">
        <v>0</v>
      </c>
      <c r="E22" s="13">
        <v>36.630792712999998</v>
      </c>
      <c r="F22" s="13">
        <v>45.318450511000002</v>
      </c>
      <c r="G22" s="13">
        <v>30.483196624000001</v>
      </c>
      <c r="H22" s="13">
        <v>19.654884816999999</v>
      </c>
      <c r="I22" s="13">
        <v>25.505476234</v>
      </c>
      <c r="J22" s="13">
        <v>5.4477752500000003</v>
      </c>
      <c r="K22" s="13">
        <v>4.4980130369999998</v>
      </c>
      <c r="L22" s="13">
        <v>6.8281941420000001</v>
      </c>
      <c r="M22" s="13">
        <v>8.3658396649999993</v>
      </c>
      <c r="N22" s="13">
        <v>10.314154786</v>
      </c>
      <c r="O22" s="13">
        <v>6.5888547370000001</v>
      </c>
      <c r="P22" s="13">
        <v>1.3245273529999999</v>
      </c>
    </row>
    <row r="23" spans="3:16" ht="14.4" x14ac:dyDescent="0.3">
      <c r="C23" s="3" t="s">
        <v>204</v>
      </c>
      <c r="D23" s="13">
        <v>0</v>
      </c>
      <c r="E23" s="13">
        <v>0</v>
      </c>
      <c r="F23" s="13">
        <v>0</v>
      </c>
      <c r="G23" s="13">
        <v>0</v>
      </c>
      <c r="H23" s="13">
        <v>0</v>
      </c>
      <c r="I23" s="13">
        <v>0</v>
      </c>
      <c r="J23" s="13">
        <v>0</v>
      </c>
      <c r="K23" s="13">
        <v>0</v>
      </c>
      <c r="L23" s="13">
        <v>0</v>
      </c>
      <c r="M23" s="13">
        <v>0</v>
      </c>
      <c r="N23" s="13">
        <v>0</v>
      </c>
      <c r="O23" s="13">
        <v>0</v>
      </c>
      <c r="P23" s="13">
        <v>0</v>
      </c>
    </row>
    <row r="24" spans="3:16" ht="14.4" x14ac:dyDescent="0.3">
      <c r="C24" s="2328" t="s">
        <v>205</v>
      </c>
      <c r="D24" s="13">
        <v>0</v>
      </c>
      <c r="E24" s="13">
        <v>0</v>
      </c>
      <c r="F24" s="13">
        <v>0</v>
      </c>
      <c r="G24" s="13">
        <v>0</v>
      </c>
      <c r="H24" s="13">
        <v>0</v>
      </c>
      <c r="I24" s="13">
        <v>0</v>
      </c>
      <c r="J24" s="13">
        <v>12</v>
      </c>
      <c r="K24" s="13">
        <v>17</v>
      </c>
      <c r="L24" s="13">
        <v>15</v>
      </c>
      <c r="M24" s="13">
        <v>0</v>
      </c>
      <c r="N24" s="13">
        <v>-1.5017455</v>
      </c>
      <c r="O24" s="13">
        <v>1.4646581000000001E-2</v>
      </c>
      <c r="P24" s="13">
        <v>0</v>
      </c>
    </row>
    <row r="25" spans="3:16" ht="14.4" x14ac:dyDescent="0.3">
      <c r="C25" s="15" t="s">
        <v>206</v>
      </c>
      <c r="D25" s="13">
        <v>0</v>
      </c>
      <c r="E25" s="13">
        <v>101.027473907</v>
      </c>
      <c r="F25" s="13">
        <v>150.68431314</v>
      </c>
      <c r="G25" s="13">
        <v>158.16108625999999</v>
      </c>
      <c r="H25" s="13">
        <v>194.29993830800001</v>
      </c>
      <c r="I25" s="13">
        <v>235.76061119400001</v>
      </c>
      <c r="J25" s="13">
        <v>308.065530045</v>
      </c>
      <c r="K25" s="13">
        <v>200.621202238</v>
      </c>
      <c r="L25" s="13">
        <v>233.85477590400001</v>
      </c>
      <c r="M25" s="13">
        <v>220.61650515900001</v>
      </c>
      <c r="N25" s="13">
        <v>198.016512431</v>
      </c>
      <c r="O25" s="13">
        <v>222.34066275500001</v>
      </c>
      <c r="P25" s="13">
        <v>0</v>
      </c>
    </row>
    <row r="26" spans="3:16" ht="14.4" x14ac:dyDescent="0.3">
      <c r="C26" s="2328" t="s">
        <v>207</v>
      </c>
      <c r="D26" s="13">
        <v>0</v>
      </c>
      <c r="E26" s="13">
        <v>-128.53363566600001</v>
      </c>
      <c r="F26" s="13">
        <v>40.928177800999997</v>
      </c>
      <c r="G26" s="13">
        <v>-11.715984728</v>
      </c>
      <c r="H26" s="13">
        <v>15.652325225</v>
      </c>
      <c r="I26" s="13">
        <v>-78.427582697999995</v>
      </c>
      <c r="J26" s="13">
        <v>131.732486094</v>
      </c>
      <c r="K26" s="13">
        <v>-94.864570333000003</v>
      </c>
      <c r="L26" s="13">
        <v>-27.298477963</v>
      </c>
      <c r="M26" s="13">
        <v>-9.071726473</v>
      </c>
      <c r="N26" s="13">
        <v>-58.929509742</v>
      </c>
      <c r="O26" s="13">
        <v>29.325193930000001</v>
      </c>
      <c r="P26" s="13">
        <v>-84.79</v>
      </c>
    </row>
    <row r="27" spans="3:16" ht="14.4" x14ac:dyDescent="0.3">
      <c r="C27" s="2328" t="s">
        <v>208</v>
      </c>
      <c r="D27" s="13">
        <v>0</v>
      </c>
      <c r="E27" s="13">
        <v>41.673479595000003</v>
      </c>
      <c r="F27" s="13">
        <v>-53.048601466000001</v>
      </c>
      <c r="G27" s="13">
        <v>-40.738368164999997</v>
      </c>
      <c r="H27" s="13">
        <v>-109.25864081500001</v>
      </c>
      <c r="I27" s="13">
        <v>-8.3718215820000008</v>
      </c>
      <c r="J27" s="13">
        <v>31.206107569</v>
      </c>
      <c r="K27" s="13">
        <v>-56.924962448000002</v>
      </c>
      <c r="L27" s="13">
        <v>-58.777699458000001</v>
      </c>
      <c r="M27" s="13">
        <v>20.167714642</v>
      </c>
      <c r="N27" s="13">
        <v>-43.238317809999998</v>
      </c>
      <c r="O27" s="13">
        <v>98.059353512000001</v>
      </c>
      <c r="P27" s="13">
        <v>-39.14</v>
      </c>
    </row>
    <row r="28" spans="3:16" ht="14.4" x14ac:dyDescent="0.3">
      <c r="C28" s="2328" t="s">
        <v>209</v>
      </c>
      <c r="D28" s="13">
        <v>0</v>
      </c>
      <c r="E28" s="13">
        <v>25.053259762</v>
      </c>
      <c r="F28" s="13">
        <v>7.4935238660000003</v>
      </c>
      <c r="G28" s="13">
        <v>17.840459978999998</v>
      </c>
      <c r="H28" s="13">
        <v>4.1871319959999997</v>
      </c>
      <c r="I28" s="13">
        <v>31.256633684000001</v>
      </c>
      <c r="J28" s="13">
        <v>-179.942912992</v>
      </c>
      <c r="K28" s="13">
        <v>110.018251689</v>
      </c>
      <c r="L28" s="13">
        <v>-69.781216995999998</v>
      </c>
      <c r="M28" s="13">
        <v>-37.906551088000001</v>
      </c>
      <c r="N28" s="13">
        <v>-20.184527359000001</v>
      </c>
      <c r="O28" s="13">
        <v>-71.593351248000005</v>
      </c>
      <c r="P28" s="13">
        <v>-44.64</v>
      </c>
    </row>
    <row r="29" spans="3:16" ht="14.4" x14ac:dyDescent="0.3">
      <c r="C29" s="2328" t="s">
        <v>210</v>
      </c>
      <c r="D29" s="13">
        <v>0</v>
      </c>
      <c r="E29" s="13">
        <v>-1.279428027</v>
      </c>
      <c r="F29" s="13">
        <v>-1.477887873</v>
      </c>
      <c r="G29" s="13">
        <v>1.787109228</v>
      </c>
      <c r="H29" s="13">
        <v>-6.5677002499999997</v>
      </c>
      <c r="I29" s="13">
        <v>1.303424052</v>
      </c>
      <c r="J29" s="13">
        <v>6.4463687000000006E-2</v>
      </c>
      <c r="K29" s="13">
        <v>-2.4204371400000002</v>
      </c>
      <c r="L29" s="13">
        <v>-3.6040333169999998</v>
      </c>
      <c r="M29" s="13">
        <v>7.3074077429999997</v>
      </c>
      <c r="N29" s="13">
        <v>-14.511307378</v>
      </c>
      <c r="O29" s="13">
        <v>-1.4024092560000001</v>
      </c>
      <c r="P29" s="13">
        <v>-1.4024092560000001</v>
      </c>
    </row>
    <row r="30" spans="3:16" ht="14.4" x14ac:dyDescent="0.3">
      <c r="C30" s="2328" t="s">
        <v>211</v>
      </c>
      <c r="D30" s="13">
        <v>0</v>
      </c>
      <c r="E30" s="13">
        <v>0</v>
      </c>
      <c r="F30" s="13">
        <v>0</v>
      </c>
      <c r="G30" s="13">
        <v>0</v>
      </c>
      <c r="H30" s="13">
        <v>0</v>
      </c>
      <c r="I30" s="13">
        <v>0</v>
      </c>
      <c r="J30" s="13">
        <v>0</v>
      </c>
      <c r="K30" s="13">
        <v>0</v>
      </c>
      <c r="L30" s="13">
        <v>0</v>
      </c>
      <c r="M30" s="13">
        <v>0</v>
      </c>
      <c r="N30" s="13">
        <v>0</v>
      </c>
      <c r="O30" s="13">
        <v>0</v>
      </c>
      <c r="P30" s="13">
        <v>0</v>
      </c>
    </row>
    <row r="31" spans="3:16" ht="14.4" x14ac:dyDescent="0.3">
      <c r="C31" s="2328" t="s">
        <v>212</v>
      </c>
      <c r="D31" s="13">
        <v>0</v>
      </c>
      <c r="E31" s="13">
        <v>-36.224458882999997</v>
      </c>
      <c r="F31" s="13">
        <v>-45.163785146000002</v>
      </c>
      <c r="G31" s="13">
        <v>-30.874005106999999</v>
      </c>
      <c r="H31" s="13">
        <v>-19.58167323</v>
      </c>
      <c r="I31" s="13">
        <v>-25.828733317000001</v>
      </c>
      <c r="J31" s="13">
        <v>-5.4477752500000003</v>
      </c>
      <c r="K31" s="13">
        <v>-4.4980130369999998</v>
      </c>
      <c r="L31" s="13">
        <v>-3.1723536569999999</v>
      </c>
      <c r="M31" s="13">
        <v>-5.6269254929999999</v>
      </c>
      <c r="N31" s="13">
        <v>-9.9552668139999998</v>
      </c>
      <c r="O31" s="13">
        <v>-5.9139720880000004</v>
      </c>
      <c r="P31" s="13">
        <v>-1.146632369</v>
      </c>
    </row>
    <row r="32" spans="3:16" ht="14.4" x14ac:dyDescent="0.3">
      <c r="C32" s="2328" t="s">
        <v>213</v>
      </c>
      <c r="D32" s="13">
        <v>0</v>
      </c>
      <c r="E32" s="13">
        <v>-10.28042531</v>
      </c>
      <c r="F32" s="13">
        <v>-12.093048332</v>
      </c>
      <c r="G32" s="13">
        <v>-12.494321736</v>
      </c>
      <c r="H32" s="13">
        <v>-21.752908925</v>
      </c>
      <c r="I32" s="13">
        <v>-34.493811348000001</v>
      </c>
      <c r="J32" s="13">
        <v>-57.700405330999999</v>
      </c>
      <c r="K32" s="13">
        <v>-42.250007555000003</v>
      </c>
      <c r="L32" s="13">
        <v>-30.389506355999998</v>
      </c>
      <c r="M32" s="13">
        <v>-57.205654510999999</v>
      </c>
      <c r="N32" s="13">
        <v>-13.021545806000001</v>
      </c>
      <c r="O32" s="13">
        <v>-44.512938286000001</v>
      </c>
      <c r="P32" s="13">
        <v>-52.85947556</v>
      </c>
    </row>
    <row r="33" spans="3:16" ht="14.4" x14ac:dyDescent="0.3">
      <c r="C33" s="2328" t="s">
        <v>214</v>
      </c>
      <c r="D33" s="13">
        <v>0</v>
      </c>
      <c r="E33" s="13">
        <v>0.38379000000000002</v>
      </c>
      <c r="F33" s="13">
        <v>2.0482281480000002</v>
      </c>
      <c r="G33" s="13">
        <v>3.6970760560000002</v>
      </c>
      <c r="H33" s="13">
        <v>5.2874086389999997</v>
      </c>
      <c r="I33" s="13">
        <v>1.0206161650000001</v>
      </c>
      <c r="J33" s="13">
        <v>46.761590800999997</v>
      </c>
      <c r="K33" s="13">
        <v>14.046154281</v>
      </c>
      <c r="L33" s="13">
        <v>9.2583085000000001</v>
      </c>
      <c r="M33" s="13">
        <v>2.9337780000000002</v>
      </c>
      <c r="N33" s="13">
        <v>3.1967460220000001</v>
      </c>
      <c r="O33" s="13">
        <v>3.0462413860000002</v>
      </c>
      <c r="P33" s="13">
        <v>3.0462413860000002</v>
      </c>
    </row>
    <row r="34" spans="3:16" ht="14.4" x14ac:dyDescent="0.3">
      <c r="C34" s="2328" t="s">
        <v>215</v>
      </c>
      <c r="D34" s="13">
        <v>0</v>
      </c>
      <c r="E34" s="13">
        <v>-1.3358251000000001</v>
      </c>
      <c r="F34" s="13">
        <v>-2.2983405939999999</v>
      </c>
      <c r="G34" s="13">
        <v>-15.384319018999999</v>
      </c>
      <c r="H34" s="13">
        <v>-15.411665055</v>
      </c>
      <c r="I34" s="13">
        <v>-18.570693259999999</v>
      </c>
      <c r="J34" s="13">
        <v>-12.885550612999999</v>
      </c>
      <c r="K34" s="13">
        <v>-9.2413352320000008</v>
      </c>
      <c r="L34" s="13">
        <v>-32.373812948000001</v>
      </c>
      <c r="M34" s="13">
        <v>-33.353303353999998</v>
      </c>
      <c r="N34" s="13">
        <v>-42.408961748999999</v>
      </c>
      <c r="O34" s="13">
        <v>-16.441270192000001</v>
      </c>
      <c r="P34" s="13">
        <v>-16.441270192000001</v>
      </c>
    </row>
    <row r="35" spans="3:16" ht="14.4" x14ac:dyDescent="0.3">
      <c r="C35" s="2328" t="s">
        <v>216</v>
      </c>
      <c r="D35" s="13">
        <v>66.308239955999994</v>
      </c>
      <c r="E35" s="13">
        <v>-9.5157697219999999</v>
      </c>
      <c r="F35" s="13">
        <v>87.072579544000007</v>
      </c>
      <c r="G35" s="13">
        <v>70.278732767999998</v>
      </c>
      <c r="H35" s="13">
        <v>46.854215893000003</v>
      </c>
      <c r="I35" s="13">
        <v>103.64864289</v>
      </c>
      <c r="J35" s="13">
        <v>261.85353400999998</v>
      </c>
      <c r="K35" s="13">
        <v>114.48628246299999</v>
      </c>
      <c r="L35" s="13">
        <v>17.715983709</v>
      </c>
      <c r="M35" s="13">
        <v>107.861244625</v>
      </c>
      <c r="N35" s="13">
        <v>-1.0361782049999999</v>
      </c>
      <c r="O35" s="13">
        <v>212.90751051300001</v>
      </c>
      <c r="P35" s="13">
        <v>27.73</v>
      </c>
    </row>
    <row r="36" spans="3:16" ht="14.4" x14ac:dyDescent="0.3">
      <c r="C36" s="2328" t="s">
        <v>217</v>
      </c>
      <c r="D36" s="13">
        <v>-8.8342991089999998</v>
      </c>
      <c r="E36" s="13">
        <v>-20.382572307</v>
      </c>
      <c r="F36" s="13">
        <v>-48.765662857999999</v>
      </c>
      <c r="G36" s="13">
        <v>-66.582054349000003</v>
      </c>
      <c r="H36" s="13">
        <v>-122.88619859400001</v>
      </c>
      <c r="I36" s="13">
        <v>-123.509389946</v>
      </c>
      <c r="J36" s="13">
        <v>-41.474397226999997</v>
      </c>
      <c r="K36" s="13">
        <v>-115.31445511699999</v>
      </c>
      <c r="L36" s="13">
        <v>-49.726230184000002</v>
      </c>
      <c r="M36" s="13">
        <v>-44.080067954999997</v>
      </c>
      <c r="N36" s="13">
        <v>-149.62789548699999</v>
      </c>
      <c r="O36" s="13">
        <v>-59.734319657999997</v>
      </c>
      <c r="P36" s="13">
        <v>0</v>
      </c>
    </row>
    <row r="37" spans="3:16" ht="14.4" x14ac:dyDescent="0.3">
      <c r="C37" s="2328" t="s">
        <v>218</v>
      </c>
      <c r="D37" s="13">
        <v>9.2499999999999999E-2</v>
      </c>
      <c r="E37" s="13">
        <v>1.4349536359999999</v>
      </c>
      <c r="F37" s="13">
        <v>2.4909090859999998</v>
      </c>
      <c r="G37" s="13">
        <v>3.5139999980000001</v>
      </c>
      <c r="H37" s="13">
        <v>1.187752613</v>
      </c>
      <c r="I37" s="13">
        <v>3.653307259</v>
      </c>
      <c r="J37" s="13">
        <v>0.77317772600000001</v>
      </c>
      <c r="K37" s="13">
        <v>0</v>
      </c>
      <c r="L37" s="13">
        <v>0</v>
      </c>
      <c r="M37" s="13">
        <v>0</v>
      </c>
      <c r="N37" s="13">
        <v>0</v>
      </c>
      <c r="O37" s="13">
        <v>4</v>
      </c>
      <c r="P37" s="13">
        <v>0</v>
      </c>
    </row>
    <row r="38" spans="3:16" ht="14.4" x14ac:dyDescent="0.3">
      <c r="C38" s="2328" t="s">
        <v>219</v>
      </c>
      <c r="D38" s="13">
        <v>0</v>
      </c>
      <c r="E38" s="13">
        <v>0</v>
      </c>
      <c r="F38" s="13">
        <v>0</v>
      </c>
      <c r="G38" s="13">
        <v>-0.78796169999999999</v>
      </c>
      <c r="H38" s="13">
        <v>0</v>
      </c>
      <c r="I38" s="13">
        <v>0</v>
      </c>
      <c r="J38" s="13">
        <v>-110</v>
      </c>
      <c r="K38" s="13">
        <v>-164.11099999999999</v>
      </c>
      <c r="L38" s="13">
        <v>-39.689</v>
      </c>
      <c r="M38" s="13">
        <v>0</v>
      </c>
      <c r="N38" s="13">
        <v>0</v>
      </c>
      <c r="O38" s="13">
        <v>-49.021916500000003</v>
      </c>
      <c r="P38" s="13">
        <v>-45.86</v>
      </c>
    </row>
    <row r="39" spans="3:16" ht="14.4" x14ac:dyDescent="0.3">
      <c r="C39" s="2328" t="s">
        <v>220</v>
      </c>
      <c r="D39" s="13">
        <v>0</v>
      </c>
      <c r="E39" s="13">
        <v>6.7000000000000002E-3</v>
      </c>
      <c r="F39" s="13">
        <v>0</v>
      </c>
      <c r="G39" s="13">
        <v>0</v>
      </c>
      <c r="H39" s="13">
        <v>0.78796169999999999</v>
      </c>
      <c r="I39" s="13">
        <v>0</v>
      </c>
      <c r="J39" s="13">
        <v>0</v>
      </c>
      <c r="K39" s="13">
        <v>0</v>
      </c>
      <c r="L39" s="13">
        <v>0</v>
      </c>
      <c r="M39" s="13">
        <v>91.1</v>
      </c>
      <c r="N39" s="13">
        <v>108.76</v>
      </c>
      <c r="O39" s="13">
        <v>80.34</v>
      </c>
      <c r="P39" s="13">
        <v>0</v>
      </c>
    </row>
    <row r="40" spans="3:16" ht="14.4" x14ac:dyDescent="0.3">
      <c r="C40" s="2328" t="s">
        <v>221</v>
      </c>
      <c r="D40" s="13">
        <v>0</v>
      </c>
      <c r="E40" s="13">
        <v>-1.1800592599999999</v>
      </c>
      <c r="F40" s="13">
        <v>-0.27492</v>
      </c>
      <c r="G40" s="13">
        <v>-0.50378000000000001</v>
      </c>
      <c r="H40" s="13">
        <v>-3.7</v>
      </c>
      <c r="I40" s="13">
        <v>0</v>
      </c>
      <c r="J40" s="13">
        <v>-0.68569999999999998</v>
      </c>
      <c r="K40" s="13">
        <v>0</v>
      </c>
      <c r="L40" s="13">
        <v>0</v>
      </c>
      <c r="M40" s="13">
        <v>0</v>
      </c>
      <c r="N40" s="13">
        <v>0</v>
      </c>
      <c r="O40" s="13">
        <v>0</v>
      </c>
      <c r="P40" s="13">
        <v>0</v>
      </c>
    </row>
    <row r="41" spans="3:16" ht="14.4" x14ac:dyDescent="0.3">
      <c r="C41" s="2328" t="s">
        <v>222</v>
      </c>
      <c r="D41" s="13">
        <v>0</v>
      </c>
      <c r="E41" s="13">
        <v>0.16067786000000001</v>
      </c>
      <c r="F41" s="13">
        <v>0.66350900000000002</v>
      </c>
      <c r="G41" s="13">
        <v>20.005960641000001</v>
      </c>
      <c r="H41" s="13">
        <v>0</v>
      </c>
      <c r="I41" s="13">
        <v>0</v>
      </c>
      <c r="J41" s="13">
        <v>2.1459999999999999</v>
      </c>
      <c r="K41" s="13">
        <v>0</v>
      </c>
      <c r="L41" s="13">
        <v>0</v>
      </c>
      <c r="M41" s="13">
        <v>0</v>
      </c>
      <c r="N41" s="13">
        <v>0</v>
      </c>
      <c r="O41" s="13">
        <v>13</v>
      </c>
      <c r="P41" s="13">
        <v>0</v>
      </c>
    </row>
    <row r="42" spans="3:16" ht="14.4" x14ac:dyDescent="0.3">
      <c r="C42" s="2328" t="s">
        <v>223</v>
      </c>
      <c r="D42" s="13">
        <v>2.1151681980000001</v>
      </c>
      <c r="E42" s="13">
        <v>0.54530326600000001</v>
      </c>
      <c r="F42" s="13">
        <v>0.67246285400000005</v>
      </c>
      <c r="G42" s="13">
        <v>1.753679419</v>
      </c>
      <c r="H42" s="13">
        <v>1.4256877610000001</v>
      </c>
      <c r="I42" s="13">
        <v>1.053390872</v>
      </c>
      <c r="J42" s="13">
        <v>14.499025676</v>
      </c>
      <c r="K42" s="13">
        <v>13.178431081999999</v>
      </c>
      <c r="L42" s="13">
        <v>18.071891587</v>
      </c>
      <c r="M42" s="13">
        <v>21.682975744</v>
      </c>
      <c r="N42" s="13">
        <v>21.615407874999999</v>
      </c>
      <c r="O42" s="13">
        <v>9.2733607070000001</v>
      </c>
      <c r="P42" s="13">
        <v>0</v>
      </c>
    </row>
    <row r="43" spans="3:16" ht="14.4" x14ac:dyDescent="0.3">
      <c r="C43" s="3" t="s">
        <v>224</v>
      </c>
      <c r="D43" s="13">
        <v>-6.6266309110000003</v>
      </c>
      <c r="E43" s="13">
        <v>-19.414996805000001</v>
      </c>
      <c r="F43" s="13">
        <v>-45.213701917999998</v>
      </c>
      <c r="G43" s="13">
        <v>-42.600155991000001</v>
      </c>
      <c r="H43" s="13">
        <v>-123.18479652000001</v>
      </c>
      <c r="I43" s="13">
        <v>-118.802691815</v>
      </c>
      <c r="J43" s="13">
        <v>-134.74189382500001</v>
      </c>
      <c r="K43" s="13">
        <v>-266.24702403499998</v>
      </c>
      <c r="L43" s="13">
        <v>-71.343338596999999</v>
      </c>
      <c r="M43" s="13">
        <v>68.702907788999994</v>
      </c>
      <c r="N43" s="13">
        <v>-19.252487611999999</v>
      </c>
      <c r="O43" s="13">
        <v>-2.1428754510000001</v>
      </c>
      <c r="P43" s="13">
        <v>-45.86</v>
      </c>
    </row>
    <row r="44" spans="3:16" ht="14.4" x14ac:dyDescent="0.3">
      <c r="C44" s="2328" t="s">
        <v>225</v>
      </c>
      <c r="D44" s="13">
        <v>0</v>
      </c>
      <c r="E44" s="13">
        <v>0</v>
      </c>
      <c r="F44" s="13">
        <v>4.29969</v>
      </c>
      <c r="G44" s="13">
        <v>0</v>
      </c>
      <c r="H44" s="13">
        <v>0</v>
      </c>
      <c r="I44" s="13">
        <v>0</v>
      </c>
      <c r="J44" s="13">
        <v>0</v>
      </c>
      <c r="K44" s="13">
        <v>125.52865199999999</v>
      </c>
      <c r="L44" s="13">
        <v>0</v>
      </c>
      <c r="M44" s="13">
        <v>0</v>
      </c>
      <c r="N44" s="13">
        <v>0</v>
      </c>
      <c r="O44" s="13">
        <v>0</v>
      </c>
      <c r="P44" s="13">
        <v>0</v>
      </c>
    </row>
    <row r="45" spans="3:16" ht="14.4" x14ac:dyDescent="0.3">
      <c r="C45" s="2328" t="s">
        <v>226</v>
      </c>
      <c r="D45" s="13">
        <v>0</v>
      </c>
      <c r="E45" s="13">
        <v>0</v>
      </c>
      <c r="F45" s="13">
        <v>0</v>
      </c>
      <c r="G45" s="13">
        <v>0</v>
      </c>
      <c r="H45" s="13">
        <v>0</v>
      </c>
      <c r="I45" s="13">
        <v>0</v>
      </c>
      <c r="J45" s="13">
        <v>0</v>
      </c>
      <c r="K45" s="13">
        <v>0</v>
      </c>
      <c r="L45" s="13">
        <v>0</v>
      </c>
      <c r="M45" s="13">
        <v>0</v>
      </c>
      <c r="N45" s="13">
        <v>0</v>
      </c>
      <c r="O45" s="13">
        <v>-1.951918558</v>
      </c>
      <c r="P45" s="13">
        <v>0</v>
      </c>
    </row>
    <row r="46" spans="3:16" ht="14.4" x14ac:dyDescent="0.3">
      <c r="C46" s="2328" t="s">
        <v>227</v>
      </c>
      <c r="D46" s="13">
        <v>877.960553903</v>
      </c>
      <c r="E46" s="13">
        <v>1024.7008789439999</v>
      </c>
      <c r="F46" s="13">
        <v>1219.361192178</v>
      </c>
      <c r="G46" s="13">
        <v>1264.0602462859999</v>
      </c>
      <c r="H46" s="13">
        <v>1566.780671728</v>
      </c>
      <c r="I46" s="13">
        <v>1474.730622413</v>
      </c>
      <c r="J46" s="13">
        <v>88.830702168000002</v>
      </c>
      <c r="K46" s="13">
        <v>46.67957973</v>
      </c>
      <c r="L46" s="13">
        <v>430.08667056899998</v>
      </c>
      <c r="M46" s="13">
        <v>415.81177514799998</v>
      </c>
      <c r="N46" s="13">
        <v>507.75468123399997</v>
      </c>
      <c r="O46" s="13">
        <v>241.18375144800001</v>
      </c>
      <c r="P46" s="13">
        <v>0.93</v>
      </c>
    </row>
    <row r="47" spans="3:16" ht="14.4" x14ac:dyDescent="0.3">
      <c r="C47" s="2328" t="s">
        <v>228</v>
      </c>
      <c r="D47" s="13">
        <v>-921.81279001899998</v>
      </c>
      <c r="E47" s="13">
        <v>-967.92780270399999</v>
      </c>
      <c r="F47" s="13">
        <v>-1261.4660156089999</v>
      </c>
      <c r="G47" s="13">
        <v>-1193.874143367</v>
      </c>
      <c r="H47" s="13">
        <v>-1476.701199374</v>
      </c>
      <c r="I47" s="13">
        <v>-1401.1141004139999</v>
      </c>
      <c r="J47" s="13">
        <v>-117.38968186300001</v>
      </c>
      <c r="K47" s="13">
        <v>-58.647288621000001</v>
      </c>
      <c r="L47" s="13">
        <v>-310.738766537</v>
      </c>
      <c r="M47" s="13">
        <v>-517.74940579099996</v>
      </c>
      <c r="N47" s="13">
        <v>-363.329411709</v>
      </c>
      <c r="O47" s="13">
        <v>-400.88240444600001</v>
      </c>
      <c r="P47" s="13">
        <v>0</v>
      </c>
    </row>
    <row r="48" spans="3:16" ht="14.4" x14ac:dyDescent="0.3">
      <c r="C48" s="2328" t="s">
        <v>229</v>
      </c>
      <c r="D48" s="13">
        <v>0</v>
      </c>
      <c r="E48" s="13">
        <v>0</v>
      </c>
      <c r="F48" s="13">
        <v>0</v>
      </c>
      <c r="G48" s="13">
        <v>0</v>
      </c>
      <c r="H48" s="13">
        <v>0</v>
      </c>
      <c r="I48" s="13">
        <v>0</v>
      </c>
      <c r="J48" s="13">
        <v>0</v>
      </c>
      <c r="K48" s="13">
        <v>0</v>
      </c>
      <c r="L48" s="13">
        <v>0</v>
      </c>
      <c r="M48" s="13">
        <v>0</v>
      </c>
      <c r="N48" s="13">
        <v>0</v>
      </c>
      <c r="O48" s="13">
        <v>0</v>
      </c>
      <c r="P48" s="13">
        <v>0</v>
      </c>
    </row>
    <row r="49" spans="3:16" s="2330" customFormat="1" ht="14.4" x14ac:dyDescent="0.3">
      <c r="C49" s="2328" t="s">
        <v>230</v>
      </c>
      <c r="D49" s="2329">
        <v>-6.0535991610000002</v>
      </c>
      <c r="E49" s="2329">
        <v>-4.9498784999999996</v>
      </c>
      <c r="F49" s="2329">
        <v>-11.210015</v>
      </c>
      <c r="G49" s="2329">
        <v>-36.059077000000002</v>
      </c>
      <c r="H49" s="2329">
        <v>-12.055425</v>
      </c>
      <c r="I49" s="2329">
        <v>-31.5280995</v>
      </c>
      <c r="J49" s="2329">
        <v>-26.80396</v>
      </c>
      <c r="K49" s="2329">
        <v>-36.637738949999999</v>
      </c>
      <c r="L49" s="2329">
        <v>-104.76584549899999</v>
      </c>
      <c r="M49" s="2329">
        <v>-78.569595601000003</v>
      </c>
      <c r="N49" s="2329">
        <v>-78.531146274999998</v>
      </c>
      <c r="O49" s="2329">
        <v>-78.547526175000002</v>
      </c>
      <c r="P49" s="2329">
        <v>0</v>
      </c>
    </row>
    <row r="50" spans="3:16" ht="14.4" x14ac:dyDescent="0.3">
      <c r="C50" s="3" t="s">
        <v>231</v>
      </c>
      <c r="D50" s="13">
        <v>0</v>
      </c>
      <c r="E50" s="13">
        <v>0</v>
      </c>
      <c r="F50" s="13">
        <v>0</v>
      </c>
      <c r="G50" s="13">
        <v>0</v>
      </c>
      <c r="H50" s="13">
        <v>0</v>
      </c>
      <c r="I50" s="13">
        <v>0</v>
      </c>
      <c r="J50" s="13">
        <v>0</v>
      </c>
      <c r="K50" s="13">
        <v>0</v>
      </c>
      <c r="L50" s="13">
        <v>0</v>
      </c>
      <c r="M50" s="13">
        <v>0</v>
      </c>
      <c r="N50" s="13">
        <v>0</v>
      </c>
      <c r="O50" s="13">
        <v>0</v>
      </c>
      <c r="P50" s="13">
        <v>0</v>
      </c>
    </row>
    <row r="51" spans="3:16" ht="14.4" x14ac:dyDescent="0.3">
      <c r="C51" s="3" t="s">
        <v>232</v>
      </c>
      <c r="D51" s="13">
        <v>-49.905835277000001</v>
      </c>
      <c r="E51" s="13">
        <v>51.823197739999998</v>
      </c>
      <c r="F51" s="13">
        <v>-49.015148431</v>
      </c>
      <c r="G51" s="13">
        <v>34.127025918999998</v>
      </c>
      <c r="H51" s="13">
        <v>78.024047354000004</v>
      </c>
      <c r="I51" s="13">
        <v>42.088422499000004</v>
      </c>
      <c r="J51" s="13">
        <v>-55.362939695000001</v>
      </c>
      <c r="K51" s="13">
        <v>76.923204158999994</v>
      </c>
      <c r="L51" s="13">
        <v>14.582058533</v>
      </c>
      <c r="M51" s="13">
        <v>-180.50722624400001</v>
      </c>
      <c r="N51" s="13">
        <v>65.894123250000007</v>
      </c>
      <c r="O51" s="13">
        <v>-240.19809773099999</v>
      </c>
      <c r="P51" s="13">
        <v>0.93</v>
      </c>
    </row>
    <row r="52" spans="3:16" ht="14.4" x14ac:dyDescent="0.3">
      <c r="C52" s="3" t="s">
        <v>233</v>
      </c>
      <c r="D52" s="13">
        <v>9.7757737680000005</v>
      </c>
      <c r="E52" s="13">
        <v>22.892431212999998</v>
      </c>
      <c r="F52" s="13">
        <v>-7.1562708050000001</v>
      </c>
      <c r="G52" s="13">
        <v>61.805602696000001</v>
      </c>
      <c r="H52" s="13">
        <v>1.6934667269999999</v>
      </c>
      <c r="I52" s="13">
        <v>26.934373573999999</v>
      </c>
      <c r="J52" s="13">
        <v>71.748700490000004</v>
      </c>
      <c r="K52" s="13">
        <v>-74.837537413000007</v>
      </c>
      <c r="L52" s="13">
        <v>-39.045296354999998</v>
      </c>
      <c r="M52" s="13">
        <v>-3.9430738299999999</v>
      </c>
      <c r="N52" s="13">
        <v>45.605457432999998</v>
      </c>
      <c r="O52" s="13">
        <v>-29.433462669000001</v>
      </c>
      <c r="P52" s="13">
        <v>0</v>
      </c>
    </row>
    <row r="53" spans="3:16" ht="14.4" x14ac:dyDescent="0.3">
      <c r="C53" s="3" t="s">
        <v>234</v>
      </c>
      <c r="D53" s="13">
        <v>13.350126306</v>
      </c>
      <c r="E53" s="13">
        <v>21.196006468</v>
      </c>
      <c r="F53" s="13">
        <v>44.016582137</v>
      </c>
      <c r="G53" s="13">
        <v>36.961259775000002</v>
      </c>
      <c r="H53" s="13">
        <v>98.834989262999997</v>
      </c>
      <c r="I53" s="13">
        <v>100.572076603</v>
      </c>
      <c r="J53" s="13">
        <v>138.943070425</v>
      </c>
      <c r="K53" s="13">
        <v>210.69177091500001</v>
      </c>
      <c r="L53" s="13">
        <v>135.54888223399999</v>
      </c>
      <c r="M53" s="13">
        <v>96.499799276000005</v>
      </c>
      <c r="N53" s="13">
        <v>92.556725446000002</v>
      </c>
      <c r="O53" s="13">
        <v>138.16217737900001</v>
      </c>
      <c r="P53" s="13">
        <v>108.72871471000001</v>
      </c>
    </row>
    <row r="54" spans="3:16" ht="14.4" x14ac:dyDescent="0.3">
      <c r="C54" s="3" t="s">
        <v>235</v>
      </c>
      <c r="D54" s="13">
        <v>-1.929893606</v>
      </c>
      <c r="E54" s="13">
        <v>-7.1855543999999993E-2</v>
      </c>
      <c r="F54" s="13">
        <v>0.100948443</v>
      </c>
      <c r="G54" s="13">
        <v>6.8126792000000005E-2</v>
      </c>
      <c r="H54" s="13">
        <v>4.3620613000000003E-2</v>
      </c>
      <c r="I54" s="13">
        <v>-8.3636830000000002E-3</v>
      </c>
      <c r="J54" s="13">
        <v>0</v>
      </c>
      <c r="K54" s="13">
        <v>-0.30535126800000001</v>
      </c>
      <c r="L54" s="13">
        <v>-3.7866029999999999E-3</v>
      </c>
      <c r="M54" s="13">
        <v>0</v>
      </c>
      <c r="N54" s="13">
        <v>-5.4999999999999999E-6</v>
      </c>
      <c r="O54" s="13">
        <v>0</v>
      </c>
      <c r="P54" s="13">
        <v>0</v>
      </c>
    </row>
    <row r="55" spans="3:16" ht="14.4" x14ac:dyDescent="0.3">
      <c r="C55" s="3" t="s">
        <v>236</v>
      </c>
      <c r="D55" s="13">
        <v>21.196006468</v>
      </c>
      <c r="E55" s="13">
        <v>44.016582137</v>
      </c>
      <c r="F55" s="13">
        <v>36.961259775000002</v>
      </c>
      <c r="G55" s="13">
        <v>98.834989262999997</v>
      </c>
      <c r="H55" s="13">
        <v>100.572076603</v>
      </c>
      <c r="I55" s="13">
        <v>127.49808649400001</v>
      </c>
      <c r="J55" s="13">
        <v>210.69177091500001</v>
      </c>
      <c r="K55" s="13">
        <v>135.54888223399999</v>
      </c>
      <c r="L55" s="13">
        <v>96.499799276000005</v>
      </c>
      <c r="M55" s="13">
        <v>92.556725446000002</v>
      </c>
      <c r="N55" s="13">
        <v>138.16217737900001</v>
      </c>
      <c r="O55" s="13">
        <v>108.72871471000001</v>
      </c>
      <c r="P55" s="13">
        <v>0</v>
      </c>
    </row>
    <row r="56" spans="3:16" ht="15.6" x14ac:dyDescent="0.3">
      <c r="C56" s="16"/>
    </row>
    <row r="57" spans="3:16" ht="15.6" x14ac:dyDescent="0.3">
      <c r="C57" s="16" t="s">
        <v>57</v>
      </c>
    </row>
    <row r="58" spans="3:16" ht="15.6" x14ac:dyDescent="0.3">
      <c r="C58" s="17" t="s">
        <v>58</v>
      </c>
    </row>
    <row r="59" spans="3:16" ht="15.6" x14ac:dyDescent="0.3">
      <c r="C59" s="17" t="s">
        <v>59</v>
      </c>
    </row>
    <row r="60" spans="3:16" ht="14.4" x14ac:dyDescent="0.3">
      <c r="C60" s="18" t="s">
        <v>60</v>
      </c>
    </row>
    <row r="61" spans="3:16" ht="14.4" x14ac:dyDescent="0.3">
      <c r="C61" s="19"/>
    </row>
    <row r="62" spans="3:16" ht="15.6" x14ac:dyDescent="0.3">
      <c r="C62" s="16" t="s">
        <v>61</v>
      </c>
    </row>
    <row r="63" spans="3:16" ht="15.6" x14ac:dyDescent="0.3">
      <c r="C63" s="16" t="s">
        <v>62</v>
      </c>
    </row>
    <row r="64" spans="3:16" ht="15.6" x14ac:dyDescent="0.3">
      <c r="C64" s="17" t="s">
        <v>63</v>
      </c>
    </row>
    <row r="65" spans="3:3" ht="14.4" x14ac:dyDescent="0.3">
      <c r="C65" s="18" t="s">
        <v>64</v>
      </c>
    </row>
    <row r="66" spans="3:3" ht="14.4" x14ac:dyDescent="0.3">
      <c r="C66" s="19" t="s">
        <v>65</v>
      </c>
    </row>
    <row r="67" spans="3:3" ht="15.6" x14ac:dyDescent="0.3">
      <c r="C67" s="16"/>
    </row>
    <row r="68" spans="3:3" ht="15.6" x14ac:dyDescent="0.3">
      <c r="C68" s="17" t="s">
        <v>66</v>
      </c>
    </row>
    <row r="69" spans="3:3" ht="14.4" x14ac:dyDescent="0.3">
      <c r="C69" s="18" t="s">
        <v>67</v>
      </c>
    </row>
    <row r="70" spans="3:3" ht="14.4" x14ac:dyDescent="0.3">
      <c r="C70" s="19" t="s">
        <v>68</v>
      </c>
    </row>
    <row r="71" spans="3:3" ht="14.4" x14ac:dyDescent="0.3">
      <c r="C71" s="19" t="s">
        <v>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3954-9AAC-44F7-9E9F-DE692E6ED428}">
  <dimension ref="A1:W197"/>
  <sheetViews>
    <sheetView topLeftCell="C1" zoomScale="69" zoomScaleNormal="69" workbookViewId="0">
      <selection activeCell="C27" sqref="A27:XFD27"/>
    </sheetView>
  </sheetViews>
  <sheetFormatPr defaultRowHeight="14.4" x14ac:dyDescent="0.3"/>
  <cols>
    <col min="1" max="2" width="0" style="19" hidden="1" customWidth="1"/>
    <col min="3" max="3" width="58.6640625" style="19" bestFit="1" customWidth="1"/>
    <col min="4" max="6" width="13.5546875" style="19" bestFit="1" customWidth="1"/>
    <col min="7" max="7" width="15.44140625" style="19" bestFit="1" customWidth="1"/>
    <col min="8" max="16" width="21.109375" style="19" bestFit="1" customWidth="1"/>
    <col min="17" max="16384" width="8.88671875" style="19"/>
  </cols>
  <sheetData>
    <row r="1" spans="3:16" s="1" customFormat="1" ht="12" x14ac:dyDescent="0.3"/>
    <row r="2" spans="3:16" s="1" customFormat="1" ht="12" x14ac:dyDescent="0.3"/>
    <row r="3" spans="3:16" s="1" customFormat="1" ht="12" x14ac:dyDescent="0.3"/>
    <row r="4" spans="3:16" s="1" customFormat="1" ht="12" x14ac:dyDescent="0.3"/>
    <row r="5" spans="3:16" s="4" customFormat="1" x14ac:dyDescent="0.3">
      <c r="C5" s="2" t="s">
        <v>0</v>
      </c>
      <c r="D5" s="3"/>
    </row>
    <row r="6" spans="3:16" s="4" customFormat="1" x14ac:dyDescent="0.3">
      <c r="C6" s="2" t="s">
        <v>1</v>
      </c>
      <c r="D6" s="3"/>
      <c r="H6" s="4">
        <v>1000000000</v>
      </c>
      <c r="N6" s="5"/>
      <c r="P6" s="4">
        <v>1000000000</v>
      </c>
    </row>
    <row r="7" spans="3:16" s="4" customFormat="1" ht="12" x14ac:dyDescent="0.3">
      <c r="E7" s="6"/>
      <c r="N7" s="5"/>
    </row>
    <row r="8" spans="3:16" s="4" customFormat="1" x14ac:dyDescent="0.3">
      <c r="C8" s="2" t="s">
        <v>2</v>
      </c>
      <c r="D8" s="3" t="s">
        <v>3</v>
      </c>
      <c r="F8" s="2" t="s">
        <v>4</v>
      </c>
      <c r="G8" s="3" t="s">
        <v>5</v>
      </c>
      <c r="H8" s="3" t="s">
        <v>6</v>
      </c>
    </row>
    <row r="9" spans="3:16" s="4" customFormat="1" x14ac:dyDescent="0.3">
      <c r="C9" s="2" t="s">
        <v>7</v>
      </c>
      <c r="D9" s="3" t="s">
        <v>8</v>
      </c>
      <c r="F9" s="2" t="s">
        <v>9</v>
      </c>
      <c r="G9" s="3" t="s">
        <v>10</v>
      </c>
      <c r="H9" s="3" t="s">
        <v>10</v>
      </c>
    </row>
    <row r="10" spans="3:16" x14ac:dyDescent="0.3">
      <c r="J10" s="23"/>
      <c r="K10" s="23"/>
      <c r="L10" s="23"/>
      <c r="M10" s="23"/>
      <c r="N10" s="23"/>
      <c r="O10" s="23"/>
      <c r="P10" s="23"/>
    </row>
    <row r="11" spans="3:16" s="4" customFormat="1" x14ac:dyDescent="0.3">
      <c r="C11" s="11"/>
      <c r="D11" s="2" t="s">
        <v>192</v>
      </c>
      <c r="E11" s="2" t="s">
        <v>193</v>
      </c>
      <c r="F11" s="2" t="s">
        <v>194</v>
      </c>
      <c r="G11" s="2" t="s">
        <v>195</v>
      </c>
      <c r="H11" s="2" t="s">
        <v>11</v>
      </c>
      <c r="I11" s="2" t="s">
        <v>12</v>
      </c>
      <c r="J11" s="12" t="s">
        <v>237</v>
      </c>
      <c r="K11" s="12" t="s">
        <v>14</v>
      </c>
      <c r="L11" s="12" t="s">
        <v>15</v>
      </c>
      <c r="M11" s="12" t="s">
        <v>6</v>
      </c>
      <c r="N11" s="12" t="s">
        <v>16</v>
      </c>
      <c r="O11" s="12" t="s">
        <v>17</v>
      </c>
      <c r="P11" s="12" t="s">
        <v>18</v>
      </c>
    </row>
    <row r="12" spans="3:16" s="4" customFormat="1" x14ac:dyDescent="0.3">
      <c r="C12" s="3" t="s">
        <v>19</v>
      </c>
      <c r="D12" s="3" t="s">
        <v>20</v>
      </c>
      <c r="E12" s="3" t="s">
        <v>20</v>
      </c>
      <c r="F12" s="3" t="s">
        <v>20</v>
      </c>
      <c r="G12" s="3" t="s">
        <v>20</v>
      </c>
      <c r="H12" s="3" t="s">
        <v>20</v>
      </c>
      <c r="I12" s="3" t="s">
        <v>20</v>
      </c>
      <c r="J12" s="3" t="s">
        <v>20</v>
      </c>
      <c r="K12" s="3" t="s">
        <v>20</v>
      </c>
      <c r="L12" s="3" t="s">
        <v>20</v>
      </c>
      <c r="M12" s="3" t="s">
        <v>20</v>
      </c>
      <c r="N12" s="3" t="s">
        <v>20</v>
      </c>
      <c r="O12" s="3" t="s">
        <v>20</v>
      </c>
      <c r="P12" s="3" t="s">
        <v>20</v>
      </c>
    </row>
    <row r="13" spans="3:16" s="4" customFormat="1" x14ac:dyDescent="0.3">
      <c r="C13" s="3" t="s">
        <v>21</v>
      </c>
      <c r="D13" s="3"/>
      <c r="E13" s="3"/>
      <c r="F13" s="3"/>
      <c r="G13" s="3" t="s">
        <v>22</v>
      </c>
      <c r="H13" s="3" t="s">
        <v>22</v>
      </c>
      <c r="I13" s="3" t="s">
        <v>22</v>
      </c>
      <c r="J13" s="3" t="s">
        <v>22</v>
      </c>
      <c r="K13" s="3" t="s">
        <v>22</v>
      </c>
      <c r="L13" s="3" t="s">
        <v>22</v>
      </c>
      <c r="M13" s="3" t="s">
        <v>22</v>
      </c>
      <c r="N13" s="3" t="s">
        <v>22</v>
      </c>
      <c r="O13" s="3" t="s">
        <v>22</v>
      </c>
      <c r="P13" s="3" t="s">
        <v>22</v>
      </c>
    </row>
    <row r="14" spans="3:16" s="4" customFormat="1" x14ac:dyDescent="0.3">
      <c r="C14" s="3" t="s">
        <v>23</v>
      </c>
      <c r="D14" s="3"/>
      <c r="E14" s="3"/>
      <c r="F14" s="3"/>
      <c r="G14" s="3" t="s">
        <v>24</v>
      </c>
      <c r="H14" s="3" t="s">
        <v>25</v>
      </c>
      <c r="I14" s="3" t="s">
        <v>25</v>
      </c>
      <c r="J14" s="3" t="s">
        <v>25</v>
      </c>
      <c r="K14" s="3" t="s">
        <v>25</v>
      </c>
      <c r="L14" s="3" t="s">
        <v>25</v>
      </c>
      <c r="M14" s="3" t="s">
        <v>25</v>
      </c>
      <c r="N14" s="3" t="s">
        <v>25</v>
      </c>
      <c r="O14" s="3" t="s">
        <v>25</v>
      </c>
      <c r="P14" s="3" t="s">
        <v>25</v>
      </c>
    </row>
    <row r="15" spans="3:16" s="4" customFormat="1" x14ac:dyDescent="0.3">
      <c r="C15" s="3" t="s">
        <v>238</v>
      </c>
      <c r="D15" s="13">
        <v>21.196006468</v>
      </c>
      <c r="E15" s="13">
        <v>44.016582137</v>
      </c>
      <c r="F15" s="13">
        <v>36.961259775000002</v>
      </c>
      <c r="G15" s="13">
        <v>98.834989262999997</v>
      </c>
      <c r="H15" s="13">
        <v>100.572076603</v>
      </c>
      <c r="I15" s="13">
        <v>127.49808649400001</v>
      </c>
      <c r="J15" s="13">
        <v>210.7</v>
      </c>
      <c r="K15" s="13">
        <v>135.54888223399999</v>
      </c>
      <c r="L15" s="13">
        <v>96.499799276000005</v>
      </c>
      <c r="M15" s="13">
        <v>92.556725446000002</v>
      </c>
      <c r="N15" s="13">
        <v>138.16217737900001</v>
      </c>
      <c r="O15" s="13">
        <v>110.52871471</v>
      </c>
      <c r="P15" s="13">
        <v>0</v>
      </c>
    </row>
    <row r="16" spans="3:16" s="4" customFormat="1" x14ac:dyDescent="0.3">
      <c r="C16" s="3" t="s">
        <v>239</v>
      </c>
      <c r="D16" s="13">
        <v>1.963683772</v>
      </c>
      <c r="E16" s="13">
        <v>1.7728804579999999</v>
      </c>
      <c r="F16" s="13">
        <v>4.0392070970000002</v>
      </c>
      <c r="G16" s="13">
        <v>1.128680071</v>
      </c>
      <c r="H16" s="13">
        <v>6.0291764729999997</v>
      </c>
      <c r="I16" s="13">
        <v>3.7866959489999998</v>
      </c>
      <c r="J16" s="13">
        <v>0.87</v>
      </c>
      <c r="K16" s="13">
        <v>0.98680986800000003</v>
      </c>
      <c r="L16" s="13">
        <v>0.66149680399999999</v>
      </c>
      <c r="M16" s="13">
        <v>0.56186444999999996</v>
      </c>
      <c r="N16" s="13">
        <v>0.70901409999999998</v>
      </c>
      <c r="O16" s="13">
        <v>0.47311067600000001</v>
      </c>
      <c r="P16" s="13">
        <v>0</v>
      </c>
    </row>
    <row r="17" spans="1:16" s="4" customFormat="1" x14ac:dyDescent="0.3">
      <c r="C17" s="3" t="s">
        <v>240</v>
      </c>
      <c r="D17" s="13">
        <v>19.232322696000001</v>
      </c>
      <c r="E17" s="13">
        <v>42.243701678999997</v>
      </c>
      <c r="F17" s="13">
        <v>32.922052678</v>
      </c>
      <c r="G17" s="13">
        <v>46.173419504000002</v>
      </c>
      <c r="H17" s="13">
        <v>94.542900130000007</v>
      </c>
      <c r="I17" s="13">
        <v>51.140107211999997</v>
      </c>
      <c r="J17" s="13">
        <v>52.8</v>
      </c>
      <c r="K17" s="13">
        <v>62.062072366000002</v>
      </c>
      <c r="L17" s="13">
        <v>53.338302472000002</v>
      </c>
      <c r="M17" s="13">
        <v>79.994860996</v>
      </c>
      <c r="N17" s="13">
        <v>46.733318584000003</v>
      </c>
      <c r="O17" s="13">
        <v>34.711559952999998</v>
      </c>
      <c r="P17" s="13">
        <v>0</v>
      </c>
    </row>
    <row r="18" spans="1:16" s="4" customFormat="1" x14ac:dyDescent="0.3">
      <c r="C18" s="3" t="s">
        <v>241</v>
      </c>
      <c r="D18" s="13">
        <v>0</v>
      </c>
      <c r="E18" s="13">
        <v>0</v>
      </c>
      <c r="F18" s="13">
        <v>0</v>
      </c>
      <c r="G18" s="13">
        <v>0</v>
      </c>
      <c r="H18" s="13">
        <v>0</v>
      </c>
      <c r="I18" s="13">
        <v>1.4450000000000001</v>
      </c>
      <c r="J18" s="13">
        <v>0</v>
      </c>
      <c r="K18" s="13">
        <v>0</v>
      </c>
      <c r="L18" s="13">
        <v>0</v>
      </c>
      <c r="M18" s="13">
        <v>0</v>
      </c>
      <c r="N18" s="13">
        <v>0</v>
      </c>
      <c r="O18" s="13">
        <v>0</v>
      </c>
      <c r="P18" s="13">
        <v>0</v>
      </c>
    </row>
    <row r="19" spans="1:16" s="4" customFormat="1" x14ac:dyDescent="0.3">
      <c r="C19" s="3" t="s">
        <v>242</v>
      </c>
      <c r="D19" s="13">
        <v>0</v>
      </c>
      <c r="E19" s="13">
        <v>0</v>
      </c>
      <c r="F19" s="13">
        <v>0</v>
      </c>
      <c r="G19" s="13">
        <v>51.532889687999997</v>
      </c>
      <c r="H19" s="13">
        <v>0</v>
      </c>
      <c r="I19" s="13">
        <v>71.126283333000003</v>
      </c>
      <c r="J19" s="13">
        <v>157</v>
      </c>
      <c r="K19" s="13">
        <v>72.5</v>
      </c>
      <c r="L19" s="13">
        <v>42.5</v>
      </c>
      <c r="M19" s="13">
        <v>12</v>
      </c>
      <c r="N19" s="13">
        <v>90.719844695000006</v>
      </c>
      <c r="O19" s="13">
        <v>75.344044081000007</v>
      </c>
      <c r="P19" s="13">
        <v>0</v>
      </c>
    </row>
    <row r="20" spans="1:16" s="4" customFormat="1" x14ac:dyDescent="0.3">
      <c r="C20" s="3" t="s">
        <v>243</v>
      </c>
      <c r="D20" s="13">
        <v>4.2701751000000003</v>
      </c>
      <c r="E20" s="13">
        <v>4.2419197000000004</v>
      </c>
      <c r="F20" s="13">
        <v>3.8007987999999999</v>
      </c>
      <c r="G20" s="13">
        <v>4.2409005000000004</v>
      </c>
      <c r="H20" s="13">
        <v>3.4392469000000001</v>
      </c>
      <c r="I20" s="13">
        <v>0.87379810000000002</v>
      </c>
      <c r="J20" s="13">
        <v>110</v>
      </c>
      <c r="K20" s="13">
        <v>274.11239330000001</v>
      </c>
      <c r="L20" s="13">
        <v>313.80139329999997</v>
      </c>
      <c r="M20" s="13">
        <v>222.7027866</v>
      </c>
      <c r="N20" s="13">
        <v>113.9413933</v>
      </c>
      <c r="O20" s="13">
        <v>93.341393299999993</v>
      </c>
      <c r="P20" s="13">
        <v>0</v>
      </c>
    </row>
    <row r="21" spans="1:16" s="4" customFormat="1" x14ac:dyDescent="0.3">
      <c r="C21" s="3" t="s">
        <v>244</v>
      </c>
      <c r="D21" s="13">
        <v>8.051410336</v>
      </c>
      <c r="E21" s="13">
        <v>9.0707917360000003</v>
      </c>
      <c r="F21" s="13">
        <v>9.1910027359999997</v>
      </c>
      <c r="G21" s="13">
        <v>7.5708960000000003</v>
      </c>
      <c r="H21" s="13">
        <v>7.5708960000000003</v>
      </c>
      <c r="I21" s="13">
        <v>1.17953</v>
      </c>
      <c r="J21" s="13">
        <v>0</v>
      </c>
      <c r="K21" s="13">
        <v>1.3933000000000001E-3</v>
      </c>
      <c r="L21" s="13">
        <v>1.3933000000000001E-3</v>
      </c>
      <c r="M21" s="13">
        <v>1.3933000000000001E-3</v>
      </c>
      <c r="N21" s="13">
        <v>1.3933000000000001E-3</v>
      </c>
      <c r="O21" s="13">
        <v>1.3933000000000001E-3</v>
      </c>
      <c r="P21" s="13">
        <v>0</v>
      </c>
    </row>
    <row r="22" spans="1:16" s="4" customFormat="1" x14ac:dyDescent="0.3">
      <c r="C22" s="3" t="s">
        <v>78</v>
      </c>
      <c r="D22" s="13">
        <v>0</v>
      </c>
      <c r="E22" s="13">
        <v>0</v>
      </c>
      <c r="F22" s="13">
        <v>0</v>
      </c>
      <c r="G22" s="13">
        <v>0</v>
      </c>
      <c r="H22" s="13">
        <v>0</v>
      </c>
      <c r="I22" s="13">
        <v>0</v>
      </c>
      <c r="J22" s="13">
        <v>110</v>
      </c>
      <c r="K22" s="13">
        <v>274.11099999999999</v>
      </c>
      <c r="L22" s="13">
        <v>313.8</v>
      </c>
      <c r="M22" s="13">
        <v>222.70139330000001</v>
      </c>
      <c r="N22" s="13">
        <v>113.94</v>
      </c>
      <c r="O22" s="13">
        <v>93.34</v>
      </c>
      <c r="P22" s="13">
        <v>0</v>
      </c>
    </row>
    <row r="23" spans="1:16" s="4" customFormat="1" x14ac:dyDescent="0.3">
      <c r="C23" s="3" t="s">
        <v>245</v>
      </c>
      <c r="D23" s="13">
        <v>0</v>
      </c>
      <c r="E23" s="13">
        <v>0</v>
      </c>
      <c r="F23" s="13">
        <v>0</v>
      </c>
      <c r="G23" s="13">
        <v>0</v>
      </c>
      <c r="H23" s="13">
        <v>0</v>
      </c>
      <c r="I23" s="13">
        <v>0</v>
      </c>
      <c r="J23" s="13">
        <v>110</v>
      </c>
      <c r="K23" s="13">
        <v>274.11099999999999</v>
      </c>
      <c r="L23" s="13">
        <v>313.8</v>
      </c>
      <c r="M23" s="13">
        <v>222.70139330000001</v>
      </c>
      <c r="N23" s="13">
        <v>113.94</v>
      </c>
      <c r="O23" s="13">
        <v>93.34</v>
      </c>
      <c r="P23" s="13">
        <v>0</v>
      </c>
    </row>
    <row r="24" spans="1:16" s="4" customFormat="1" x14ac:dyDescent="0.3">
      <c r="C24" s="3" t="s">
        <v>246</v>
      </c>
      <c r="D24" s="13">
        <v>0</v>
      </c>
      <c r="E24" s="13">
        <v>0</v>
      </c>
      <c r="F24" s="13">
        <v>0</v>
      </c>
      <c r="G24" s="13">
        <v>0</v>
      </c>
      <c r="H24" s="13">
        <v>0</v>
      </c>
      <c r="I24" s="13">
        <v>0</v>
      </c>
      <c r="J24" s="13">
        <v>0</v>
      </c>
      <c r="K24" s="13">
        <v>0</v>
      </c>
      <c r="L24" s="13">
        <v>0</v>
      </c>
      <c r="M24" s="13">
        <v>0</v>
      </c>
      <c r="N24" s="13">
        <v>0</v>
      </c>
      <c r="O24" s="13">
        <v>0</v>
      </c>
      <c r="P24" s="13">
        <v>0</v>
      </c>
    </row>
    <row r="25" spans="1:16" s="4" customFormat="1" x14ac:dyDescent="0.3">
      <c r="C25" s="3" t="s">
        <v>247</v>
      </c>
      <c r="D25" s="13">
        <v>-3.7812352360000001</v>
      </c>
      <c r="E25" s="13">
        <v>0</v>
      </c>
      <c r="F25" s="13">
        <v>0</v>
      </c>
      <c r="G25" s="13">
        <v>0.78796169999999999</v>
      </c>
      <c r="H25" s="13">
        <v>0</v>
      </c>
      <c r="I25" s="13">
        <v>0</v>
      </c>
      <c r="J25" s="13">
        <v>0</v>
      </c>
      <c r="K25" s="13">
        <v>0</v>
      </c>
      <c r="L25" s="13">
        <v>0</v>
      </c>
      <c r="M25" s="13">
        <v>0</v>
      </c>
      <c r="N25" s="13">
        <v>0</v>
      </c>
      <c r="O25" s="13">
        <v>0</v>
      </c>
      <c r="P25" s="13">
        <v>0</v>
      </c>
    </row>
    <row r="26" spans="1:16" s="4" customFormat="1" x14ac:dyDescent="0.3">
      <c r="C26" s="3" t="s">
        <v>248</v>
      </c>
      <c r="D26" s="13">
        <v>0</v>
      </c>
      <c r="E26" s="13">
        <v>-4.8288720359999999</v>
      </c>
      <c r="F26" s="13">
        <v>-5.3902039359999998</v>
      </c>
      <c r="G26" s="13">
        <v>-4.1179572000000002</v>
      </c>
      <c r="H26" s="13">
        <v>-4.1316490999999997</v>
      </c>
      <c r="I26" s="13">
        <v>-0.3057319</v>
      </c>
      <c r="J26" s="13">
        <v>0</v>
      </c>
      <c r="K26" s="13">
        <v>0</v>
      </c>
      <c r="L26" s="13">
        <v>0</v>
      </c>
      <c r="M26" s="13">
        <v>0</v>
      </c>
      <c r="N26" s="13">
        <v>0</v>
      </c>
      <c r="O26" s="13">
        <v>0</v>
      </c>
      <c r="P26" s="13">
        <v>0</v>
      </c>
    </row>
    <row r="27" spans="1:16" s="4" customFormat="1" x14ac:dyDescent="0.3">
      <c r="C27" s="3" t="s">
        <v>249</v>
      </c>
      <c r="D27" s="13">
        <v>1.116964804</v>
      </c>
      <c r="E27" s="13">
        <v>1.4316995530000001</v>
      </c>
      <c r="F27" s="13">
        <v>0.376484757</v>
      </c>
      <c r="G27" s="13">
        <v>0.63864922700000004</v>
      </c>
      <c r="H27" s="13">
        <v>0.97749797900000002</v>
      </c>
      <c r="I27" s="13">
        <v>2.8317885459999999</v>
      </c>
      <c r="J27" s="13">
        <v>4.87</v>
      </c>
      <c r="K27" s="13">
        <v>8.2147228979999998</v>
      </c>
      <c r="L27" s="13">
        <v>5.3872809090000002</v>
      </c>
      <c r="M27" s="13">
        <v>6.1331492560000003</v>
      </c>
      <c r="N27" s="13">
        <v>5.9918124590000001</v>
      </c>
      <c r="O27" s="13">
        <v>3.2531060169999999</v>
      </c>
      <c r="P27" s="13">
        <v>0</v>
      </c>
    </row>
    <row r="28" spans="1:16" s="4" customFormat="1" x14ac:dyDescent="0.3">
      <c r="C28" s="3" t="s">
        <v>250</v>
      </c>
      <c r="D28" s="13">
        <v>0</v>
      </c>
      <c r="E28" s="13">
        <v>0</v>
      </c>
      <c r="F28" s="13">
        <v>0</v>
      </c>
      <c r="G28" s="13">
        <v>0</v>
      </c>
      <c r="H28" s="13">
        <v>0</v>
      </c>
      <c r="I28" s="13">
        <v>0</v>
      </c>
      <c r="J28" s="13">
        <v>0</v>
      </c>
      <c r="K28" s="13">
        <v>0</v>
      </c>
      <c r="L28" s="13">
        <v>0</v>
      </c>
      <c r="M28" s="13">
        <v>0</v>
      </c>
      <c r="N28" s="13">
        <v>0</v>
      </c>
      <c r="O28" s="13">
        <v>0</v>
      </c>
      <c r="P28" s="13">
        <v>0</v>
      </c>
    </row>
    <row r="29" spans="1:16" s="4" customFormat="1" x14ac:dyDescent="0.3">
      <c r="C29" s="3" t="s">
        <v>251</v>
      </c>
      <c r="D29" s="13">
        <v>0</v>
      </c>
      <c r="E29" s="13">
        <v>0</v>
      </c>
      <c r="F29" s="13">
        <v>0</v>
      </c>
      <c r="G29" s="13">
        <v>0</v>
      </c>
      <c r="H29" s="13">
        <v>0</v>
      </c>
      <c r="I29" s="13">
        <v>0</v>
      </c>
      <c r="J29" s="13">
        <v>0</v>
      </c>
      <c r="K29" s="13">
        <v>0</v>
      </c>
      <c r="L29" s="13">
        <v>0</v>
      </c>
      <c r="M29" s="13">
        <v>0</v>
      </c>
      <c r="N29" s="13">
        <v>0</v>
      </c>
      <c r="O29" s="13">
        <v>0</v>
      </c>
      <c r="P29" s="13">
        <v>0</v>
      </c>
    </row>
    <row r="30" spans="1:16" s="4" customFormat="1" x14ac:dyDescent="0.3">
      <c r="C30" s="3" t="s">
        <v>252</v>
      </c>
      <c r="D30" s="13">
        <v>0</v>
      </c>
      <c r="E30" s="13">
        <v>0</v>
      </c>
      <c r="F30" s="13">
        <v>0</v>
      </c>
      <c r="G30" s="13">
        <v>0</v>
      </c>
      <c r="H30" s="13">
        <v>0</v>
      </c>
      <c r="I30" s="13">
        <v>0</v>
      </c>
      <c r="J30" s="13">
        <v>0</v>
      </c>
      <c r="K30" s="13">
        <v>0</v>
      </c>
      <c r="L30" s="13">
        <v>0</v>
      </c>
      <c r="M30" s="13">
        <v>0</v>
      </c>
      <c r="N30" s="13">
        <v>0</v>
      </c>
      <c r="O30" s="13">
        <v>0</v>
      </c>
      <c r="P30" s="13">
        <v>0</v>
      </c>
    </row>
    <row r="31" spans="1:16" s="4" customFormat="1" x14ac:dyDescent="0.3">
      <c r="C31" s="3" t="s">
        <v>85</v>
      </c>
      <c r="D31" s="13">
        <v>1.116964804</v>
      </c>
      <c r="E31" s="13">
        <v>1.4316995530000001</v>
      </c>
      <c r="F31" s="13">
        <v>0.376484757</v>
      </c>
      <c r="G31" s="13">
        <v>0.63864922700000004</v>
      </c>
      <c r="H31" s="13">
        <v>0.97749797900000002</v>
      </c>
      <c r="I31" s="13">
        <v>2.8317885459999999</v>
      </c>
      <c r="J31" s="13">
        <v>4.87</v>
      </c>
      <c r="K31" s="13">
        <v>8.2147228979999998</v>
      </c>
      <c r="L31" s="13">
        <v>5.3872809090000002</v>
      </c>
      <c r="M31" s="13">
        <v>6.1331492560000003</v>
      </c>
      <c r="N31" s="13">
        <v>5.9918124590000001</v>
      </c>
      <c r="O31" s="13">
        <v>3.2531060169999999</v>
      </c>
      <c r="P31" s="13">
        <v>0</v>
      </c>
    </row>
    <row r="32" spans="1:16" s="4" customFormat="1" x14ac:dyDescent="0.3">
      <c r="C32" s="3" t="s">
        <v>253</v>
      </c>
      <c r="D32" s="13">
        <v>155.56043079299999</v>
      </c>
      <c r="E32" s="13">
        <v>113.88695119800001</v>
      </c>
      <c r="F32" s="13">
        <v>166.935552664</v>
      </c>
      <c r="G32" s="13">
        <v>207.673920829</v>
      </c>
      <c r="H32" s="13">
        <v>316.93256164399997</v>
      </c>
      <c r="I32" s="13">
        <v>325.30438322600003</v>
      </c>
      <c r="J32" s="13">
        <v>174.2</v>
      </c>
      <c r="K32" s="13">
        <v>231.11905704200001</v>
      </c>
      <c r="L32" s="13">
        <v>289.89675649999998</v>
      </c>
      <c r="M32" s="13">
        <v>269.72904185800002</v>
      </c>
      <c r="N32" s="13">
        <v>312.96735966799997</v>
      </c>
      <c r="O32" s="13">
        <v>214.908006156</v>
      </c>
      <c r="P32" s="13">
        <v>0</v>
      </c>
    </row>
    <row r="33" spans="3:16" s="4" customFormat="1" x14ac:dyDescent="0.3">
      <c r="C33" s="3" t="s">
        <v>254</v>
      </c>
      <c r="D33" s="13">
        <v>0</v>
      </c>
      <c r="E33" s="13">
        <v>0</v>
      </c>
      <c r="F33" s="13">
        <v>1.937019979</v>
      </c>
      <c r="G33" s="13">
        <v>1.7829022800000001</v>
      </c>
      <c r="H33" s="13">
        <v>16.121653621</v>
      </c>
      <c r="I33" s="13">
        <v>13.058462299</v>
      </c>
      <c r="J33" s="13">
        <v>0</v>
      </c>
      <c r="K33" s="13">
        <v>9.3781312119999996</v>
      </c>
      <c r="L33" s="13">
        <v>22.602179014000001</v>
      </c>
      <c r="M33" s="13">
        <v>8.2358343670000007</v>
      </c>
      <c r="N33" s="13">
        <v>11.959245741</v>
      </c>
      <c r="O33" s="13">
        <v>9.7982759040000005</v>
      </c>
      <c r="P33" s="13">
        <v>0</v>
      </c>
    </row>
    <row r="34" spans="3:16" s="4" customFormat="1" x14ac:dyDescent="0.3">
      <c r="C34" s="3" t="s">
        <v>255</v>
      </c>
      <c r="D34" s="13">
        <v>57.954171473999999</v>
      </c>
      <c r="E34" s="13">
        <v>54.354375216000001</v>
      </c>
      <c r="F34" s="13">
        <v>78.138377829000007</v>
      </c>
      <c r="G34" s="13">
        <v>106.02951014</v>
      </c>
      <c r="H34" s="13">
        <v>155.57169820999999</v>
      </c>
      <c r="I34" s="13">
        <v>161.210681403</v>
      </c>
      <c r="J34" s="13">
        <v>87.37</v>
      </c>
      <c r="K34" s="13">
        <v>102.393581842</v>
      </c>
      <c r="L34" s="13">
        <v>97.611377445000002</v>
      </c>
      <c r="M34" s="13">
        <v>97.369685799999999</v>
      </c>
      <c r="N34" s="13">
        <v>136.27970794300001</v>
      </c>
      <c r="O34" s="13">
        <v>113.122886925</v>
      </c>
      <c r="P34" s="13">
        <v>0</v>
      </c>
    </row>
    <row r="35" spans="3:16" s="4" customFormat="1" x14ac:dyDescent="0.3">
      <c r="C35" s="3" t="s">
        <v>256</v>
      </c>
      <c r="D35" s="13">
        <v>0.163594618</v>
      </c>
      <c r="E35" s="13">
        <v>0.26498027200000002</v>
      </c>
      <c r="F35" s="13">
        <v>0.14052058100000001</v>
      </c>
      <c r="G35" s="13">
        <v>0.112134001</v>
      </c>
      <c r="H35" s="13">
        <v>0.100121558</v>
      </c>
      <c r="I35" s="13">
        <v>0.29760681900000002</v>
      </c>
      <c r="J35" s="13">
        <v>0</v>
      </c>
      <c r="K35" s="13">
        <v>0</v>
      </c>
      <c r="L35" s="13">
        <v>0.75</v>
      </c>
      <c r="M35" s="13">
        <v>0.41872868600000002</v>
      </c>
      <c r="N35" s="13">
        <v>0.40350911299999997</v>
      </c>
      <c r="O35" s="13">
        <v>0.37915779399999999</v>
      </c>
      <c r="P35" s="13">
        <v>0</v>
      </c>
    </row>
    <row r="36" spans="3:16" s="4" customFormat="1" x14ac:dyDescent="0.3">
      <c r="C36" s="3" t="s">
        <v>257</v>
      </c>
      <c r="D36" s="13">
        <v>35.670147448000002</v>
      </c>
      <c r="E36" s="13">
        <v>45.500955067</v>
      </c>
      <c r="F36" s="13">
        <v>58.833707056000002</v>
      </c>
      <c r="G36" s="13">
        <v>87.127633536000005</v>
      </c>
      <c r="H36" s="13">
        <v>62.384108386999998</v>
      </c>
      <c r="I36" s="13">
        <v>105.54973486</v>
      </c>
      <c r="J36" s="13">
        <v>8.5500000000000007</v>
      </c>
      <c r="K36" s="13">
        <v>12.130527257000001</v>
      </c>
      <c r="L36" s="13">
        <v>13.69915932</v>
      </c>
      <c r="M36" s="13">
        <v>5.7105919539999999</v>
      </c>
      <c r="N36" s="13">
        <v>11.721922994</v>
      </c>
      <c r="O36" s="13">
        <v>9.6616463610000007</v>
      </c>
      <c r="P36" s="13">
        <v>0</v>
      </c>
    </row>
    <row r="37" spans="3:16" s="4" customFormat="1" x14ac:dyDescent="0.3">
      <c r="C37" s="3" t="s">
        <v>258</v>
      </c>
      <c r="D37" s="13">
        <v>6.4758472740000004</v>
      </c>
      <c r="E37" s="13">
        <v>3.1952819510000001</v>
      </c>
      <c r="F37" s="13">
        <v>1.508010855</v>
      </c>
      <c r="G37" s="13">
        <v>3.4104044359999999</v>
      </c>
      <c r="H37" s="13">
        <v>11.069076003999999</v>
      </c>
      <c r="I37" s="13">
        <v>11.720787290000001</v>
      </c>
      <c r="J37" s="13">
        <v>62.71</v>
      </c>
      <c r="K37" s="13">
        <v>79.319439684000002</v>
      </c>
      <c r="L37" s="13">
        <v>117.970824388</v>
      </c>
      <c r="M37" s="13">
        <v>115.397131684</v>
      </c>
      <c r="N37" s="13">
        <v>115.500639862</v>
      </c>
      <c r="O37" s="13">
        <v>68.550428480999997</v>
      </c>
      <c r="P37" s="13">
        <v>0</v>
      </c>
    </row>
    <row r="38" spans="3:16" s="4" customFormat="1" x14ac:dyDescent="0.3">
      <c r="C38" s="3" t="s">
        <v>259</v>
      </c>
      <c r="D38" s="13">
        <v>55.296669979000001</v>
      </c>
      <c r="E38" s="13">
        <v>10.571358692</v>
      </c>
      <c r="F38" s="13">
        <v>26.377916364000001</v>
      </c>
      <c r="G38" s="13">
        <v>9.2113364359999998</v>
      </c>
      <c r="H38" s="13">
        <v>71.685903863999997</v>
      </c>
      <c r="I38" s="13">
        <v>33.467110554999998</v>
      </c>
      <c r="J38" s="13">
        <v>15.57</v>
      </c>
      <c r="K38" s="13">
        <v>27.897377046999999</v>
      </c>
      <c r="L38" s="13">
        <v>37.263216333000003</v>
      </c>
      <c r="M38" s="13">
        <v>42.597069367000003</v>
      </c>
      <c r="N38" s="13">
        <v>37.102334014999997</v>
      </c>
      <c r="O38" s="13">
        <v>13.395610691</v>
      </c>
      <c r="P38" s="13">
        <v>0</v>
      </c>
    </row>
    <row r="39" spans="3:16" s="4" customFormat="1" x14ac:dyDescent="0.3">
      <c r="C39" s="3" t="s">
        <v>260</v>
      </c>
      <c r="D39" s="13">
        <v>0</v>
      </c>
      <c r="E39" s="13">
        <v>0</v>
      </c>
      <c r="F39" s="13">
        <v>0</v>
      </c>
      <c r="G39" s="13">
        <v>0</v>
      </c>
      <c r="H39" s="13">
        <v>0</v>
      </c>
      <c r="I39" s="13">
        <v>0</v>
      </c>
      <c r="J39" s="13">
        <v>0</v>
      </c>
      <c r="K39" s="13">
        <v>0</v>
      </c>
      <c r="L39" s="13">
        <v>0</v>
      </c>
      <c r="M39" s="13">
        <v>0</v>
      </c>
      <c r="N39" s="13">
        <v>0</v>
      </c>
      <c r="O39" s="13">
        <v>0</v>
      </c>
      <c r="P39" s="13">
        <v>0</v>
      </c>
    </row>
    <row r="40" spans="3:16" s="4" customFormat="1" x14ac:dyDescent="0.3">
      <c r="C40" s="3" t="s">
        <v>261</v>
      </c>
      <c r="D40" s="13">
        <v>0</v>
      </c>
      <c r="E40" s="13">
        <v>0</v>
      </c>
      <c r="F40" s="13">
        <v>0</v>
      </c>
      <c r="G40" s="13">
        <v>0</v>
      </c>
      <c r="H40" s="13">
        <v>0</v>
      </c>
      <c r="I40" s="13">
        <v>0</v>
      </c>
      <c r="J40" s="13">
        <v>0</v>
      </c>
      <c r="K40" s="13">
        <v>0</v>
      </c>
      <c r="L40" s="13">
        <v>0</v>
      </c>
      <c r="M40" s="13">
        <v>0</v>
      </c>
      <c r="N40" s="13">
        <v>0</v>
      </c>
      <c r="O40" s="13">
        <v>0</v>
      </c>
      <c r="P40" s="13">
        <v>0</v>
      </c>
    </row>
    <row r="41" spans="3:16" s="4" customFormat="1" x14ac:dyDescent="0.3">
      <c r="C41" s="3" t="s">
        <v>262</v>
      </c>
      <c r="D41" s="13">
        <v>0</v>
      </c>
      <c r="E41" s="13">
        <v>0</v>
      </c>
      <c r="F41" s="13">
        <v>0</v>
      </c>
      <c r="G41" s="13">
        <v>0</v>
      </c>
      <c r="H41" s="13">
        <v>0</v>
      </c>
      <c r="I41" s="13">
        <v>0</v>
      </c>
      <c r="J41" s="13">
        <v>0</v>
      </c>
      <c r="K41" s="13">
        <v>0</v>
      </c>
      <c r="L41" s="13">
        <v>0</v>
      </c>
      <c r="M41" s="13">
        <v>0</v>
      </c>
      <c r="N41" s="13">
        <v>0</v>
      </c>
      <c r="O41" s="13">
        <v>0</v>
      </c>
      <c r="P41" s="13">
        <v>0</v>
      </c>
    </row>
    <row r="42" spans="3:16" s="4" customFormat="1" x14ac:dyDescent="0.3">
      <c r="C42" s="3" t="s">
        <v>263</v>
      </c>
      <c r="D42" s="13">
        <v>3.3539253699999998</v>
      </c>
      <c r="E42" s="13">
        <v>2.2147771070000002</v>
      </c>
      <c r="F42" s="13">
        <v>1.5484695610000001</v>
      </c>
      <c r="G42" s="13">
        <v>1.8393985070000001</v>
      </c>
      <c r="H42" s="13">
        <v>2.7161872599999999</v>
      </c>
      <c r="I42" s="13">
        <v>0</v>
      </c>
      <c r="J42" s="13">
        <v>5.2</v>
      </c>
      <c r="K42" s="13">
        <v>10.199999999999999</v>
      </c>
      <c r="L42" s="13">
        <v>0</v>
      </c>
      <c r="M42" s="13">
        <v>0</v>
      </c>
      <c r="N42" s="13">
        <v>0</v>
      </c>
      <c r="O42" s="13">
        <v>0</v>
      </c>
      <c r="P42" s="13">
        <v>0</v>
      </c>
    </row>
    <row r="43" spans="3:16" s="4" customFormat="1" x14ac:dyDescent="0.3">
      <c r="C43" s="3" t="s">
        <v>264</v>
      </c>
      <c r="D43" s="13">
        <v>0</v>
      </c>
      <c r="E43" s="13">
        <v>0</v>
      </c>
      <c r="F43" s="13">
        <v>0</v>
      </c>
      <c r="G43" s="13">
        <v>0.77068900699999998</v>
      </c>
      <c r="H43" s="13">
        <v>1.2386285770000001</v>
      </c>
      <c r="I43" s="13">
        <v>0</v>
      </c>
      <c r="J43" s="13">
        <v>0</v>
      </c>
      <c r="K43" s="13">
        <v>0</v>
      </c>
      <c r="L43" s="13">
        <v>0</v>
      </c>
      <c r="M43" s="13">
        <v>0</v>
      </c>
      <c r="N43" s="13">
        <v>0</v>
      </c>
      <c r="O43" s="13">
        <v>0</v>
      </c>
      <c r="P43" s="13">
        <v>0</v>
      </c>
    </row>
    <row r="44" spans="3:16" s="4" customFormat="1" x14ac:dyDescent="0.3">
      <c r="C44" s="3" t="s">
        <v>87</v>
      </c>
      <c r="D44" s="13">
        <v>0</v>
      </c>
      <c r="E44" s="13">
        <v>0</v>
      </c>
      <c r="F44" s="13">
        <v>0</v>
      </c>
      <c r="G44" s="13">
        <v>0</v>
      </c>
      <c r="H44" s="13">
        <v>0</v>
      </c>
      <c r="I44" s="13">
        <v>0</v>
      </c>
      <c r="J44" s="13">
        <v>0</v>
      </c>
      <c r="K44" s="13">
        <v>0</v>
      </c>
      <c r="L44" s="13">
        <v>0</v>
      </c>
      <c r="M44" s="13">
        <v>0</v>
      </c>
      <c r="N44" s="13">
        <v>0</v>
      </c>
      <c r="O44" s="13">
        <v>0</v>
      </c>
      <c r="P44" s="13">
        <v>0</v>
      </c>
    </row>
    <row r="45" spans="3:16" s="4" customFormat="1" x14ac:dyDescent="0.3">
      <c r="C45" s="3" t="s">
        <v>265</v>
      </c>
      <c r="D45" s="13">
        <v>0</v>
      </c>
      <c r="E45" s="13">
        <v>0</v>
      </c>
      <c r="F45" s="13">
        <v>0</v>
      </c>
      <c r="G45" s="13">
        <v>1.0687095</v>
      </c>
      <c r="H45" s="13">
        <v>1.477558683</v>
      </c>
      <c r="I45" s="13">
        <v>0</v>
      </c>
      <c r="J45" s="13">
        <v>0</v>
      </c>
      <c r="K45" s="13">
        <v>0</v>
      </c>
      <c r="L45" s="13">
        <v>0</v>
      </c>
      <c r="M45" s="13">
        <v>0</v>
      </c>
      <c r="N45" s="13">
        <v>0</v>
      </c>
      <c r="O45" s="13">
        <v>0</v>
      </c>
      <c r="P45" s="13">
        <v>0</v>
      </c>
    </row>
    <row r="46" spans="3:16" s="4" customFormat="1" x14ac:dyDescent="0.3">
      <c r="C46" s="3" t="s">
        <v>266</v>
      </c>
      <c r="D46" s="13">
        <v>3.3539253699999998</v>
      </c>
      <c r="E46" s="13">
        <v>2.2147771070000002</v>
      </c>
      <c r="F46" s="13">
        <v>1.5484695610000001</v>
      </c>
      <c r="G46" s="13">
        <v>0</v>
      </c>
      <c r="H46" s="13">
        <v>0</v>
      </c>
      <c r="I46" s="13">
        <v>0</v>
      </c>
      <c r="J46" s="13">
        <v>1.5260226E-2</v>
      </c>
      <c r="K46" s="13">
        <v>0</v>
      </c>
      <c r="L46" s="13">
        <v>0</v>
      </c>
      <c r="M46" s="13">
        <v>0</v>
      </c>
      <c r="N46" s="13">
        <v>0</v>
      </c>
      <c r="O46" s="13">
        <v>0</v>
      </c>
      <c r="P46" s="13">
        <v>0</v>
      </c>
    </row>
    <row r="47" spans="3:16" s="4" customFormat="1" x14ac:dyDescent="0.3">
      <c r="C47" s="3" t="s">
        <v>267</v>
      </c>
      <c r="D47" s="13">
        <v>0</v>
      </c>
      <c r="E47" s="13">
        <v>0</v>
      </c>
      <c r="F47" s="13">
        <v>1.0140803</v>
      </c>
      <c r="G47" s="13">
        <v>0</v>
      </c>
      <c r="H47" s="13">
        <v>0.624305106</v>
      </c>
      <c r="I47" s="13">
        <v>3.6021565500000001</v>
      </c>
      <c r="J47" s="13">
        <v>0</v>
      </c>
      <c r="K47" s="13">
        <v>0</v>
      </c>
      <c r="L47" s="13">
        <v>0</v>
      </c>
      <c r="M47" s="13">
        <v>0</v>
      </c>
      <c r="N47" s="13">
        <v>0</v>
      </c>
      <c r="O47" s="13">
        <v>0</v>
      </c>
      <c r="P47" s="13">
        <v>0</v>
      </c>
    </row>
    <row r="48" spans="3:16" s="4" customFormat="1" x14ac:dyDescent="0.3">
      <c r="C48" s="3" t="s">
        <v>268</v>
      </c>
      <c r="D48" s="13">
        <v>0</v>
      </c>
      <c r="E48" s="13">
        <v>0</v>
      </c>
      <c r="F48" s="13">
        <v>0</v>
      </c>
      <c r="G48" s="13">
        <v>0</v>
      </c>
      <c r="H48" s="13">
        <v>0</v>
      </c>
      <c r="I48" s="13">
        <v>0</v>
      </c>
      <c r="J48" s="13">
        <v>0</v>
      </c>
      <c r="K48" s="13">
        <v>0</v>
      </c>
      <c r="L48" s="13">
        <v>0</v>
      </c>
      <c r="M48" s="13">
        <v>0</v>
      </c>
      <c r="N48" s="13">
        <v>0</v>
      </c>
      <c r="O48" s="13">
        <v>0</v>
      </c>
      <c r="P48" s="13">
        <v>0</v>
      </c>
    </row>
    <row r="49" spans="3:23" s="4" customFormat="1" x14ac:dyDescent="0.3">
      <c r="C49" s="3" t="s">
        <v>269</v>
      </c>
      <c r="D49" s="13">
        <v>0</v>
      </c>
      <c r="E49" s="13">
        <v>0</v>
      </c>
      <c r="F49" s="13">
        <v>0</v>
      </c>
      <c r="G49" s="13">
        <v>0</v>
      </c>
      <c r="H49" s="13">
        <v>0</v>
      </c>
      <c r="I49" s="13">
        <v>0</v>
      </c>
      <c r="J49" s="13">
        <v>0</v>
      </c>
      <c r="K49" s="13">
        <v>0</v>
      </c>
      <c r="L49" s="13">
        <v>0</v>
      </c>
      <c r="M49" s="13">
        <v>0</v>
      </c>
      <c r="N49" s="13">
        <v>0</v>
      </c>
      <c r="O49" s="13">
        <v>0</v>
      </c>
      <c r="P49" s="13">
        <v>0</v>
      </c>
    </row>
    <row r="50" spans="3:23" s="4" customFormat="1" x14ac:dyDescent="0.3">
      <c r="C50" s="3" t="s">
        <v>270</v>
      </c>
      <c r="D50" s="13">
        <v>0</v>
      </c>
      <c r="E50" s="13">
        <v>0</v>
      </c>
      <c r="F50" s="13">
        <v>0</v>
      </c>
      <c r="G50" s="13">
        <v>0</v>
      </c>
      <c r="H50" s="13">
        <v>0</v>
      </c>
      <c r="I50" s="13">
        <v>0</v>
      </c>
      <c r="J50" s="13">
        <v>0</v>
      </c>
      <c r="K50" s="13">
        <v>0</v>
      </c>
      <c r="L50" s="13">
        <v>0</v>
      </c>
      <c r="M50" s="13">
        <v>0</v>
      </c>
      <c r="N50" s="13">
        <v>0</v>
      </c>
      <c r="O50" s="13">
        <v>0</v>
      </c>
      <c r="P50" s="13">
        <v>0</v>
      </c>
    </row>
    <row r="51" spans="3:23" s="4" customFormat="1" x14ac:dyDescent="0.3">
      <c r="C51" s="3" t="s">
        <v>104</v>
      </c>
      <c r="D51" s="13">
        <v>0</v>
      </c>
      <c r="E51" s="13">
        <v>0</v>
      </c>
      <c r="F51" s="13">
        <v>1.0140803</v>
      </c>
      <c r="G51" s="13">
        <v>0</v>
      </c>
      <c r="H51" s="13">
        <v>0.624305106</v>
      </c>
      <c r="I51" s="13">
        <v>3.6021565500000001</v>
      </c>
      <c r="J51" s="13">
        <v>2.2005429400000001</v>
      </c>
      <c r="K51" s="13">
        <v>0</v>
      </c>
      <c r="L51" s="13">
        <v>0</v>
      </c>
      <c r="M51" s="13">
        <v>0</v>
      </c>
      <c r="N51" s="13">
        <v>0</v>
      </c>
      <c r="O51" s="13">
        <v>0</v>
      </c>
      <c r="P51" s="13">
        <v>0</v>
      </c>
    </row>
    <row r="52" spans="3:23" s="4" customFormat="1" x14ac:dyDescent="0.3">
      <c r="C52" s="3" t="s">
        <v>271</v>
      </c>
      <c r="D52" s="13">
        <v>276.82669007499999</v>
      </c>
      <c r="E52" s="13">
        <v>288.42401132499998</v>
      </c>
      <c r="F52" s="13">
        <v>319.28201435400001</v>
      </c>
      <c r="G52" s="13">
        <v>346.92082581400001</v>
      </c>
      <c r="H52" s="13">
        <v>463.22526153699999</v>
      </c>
      <c r="I52" s="13">
        <v>570.61055496799997</v>
      </c>
      <c r="J52" s="13">
        <v>304.47000000000003</v>
      </c>
      <c r="K52" s="13">
        <v>388.91654651200002</v>
      </c>
      <c r="L52" s="13">
        <v>445.53522275199998</v>
      </c>
      <c r="M52" s="13">
        <v>461.03672382399998</v>
      </c>
      <c r="N52" s="13">
        <v>502.08484412799999</v>
      </c>
      <c r="O52" s="13">
        <v>540.88351891100001</v>
      </c>
      <c r="P52" s="13">
        <v>579.02388575199996</v>
      </c>
      <c r="Q52" s="9"/>
    </row>
    <row r="53" spans="3:23" s="4" customFormat="1" x14ac:dyDescent="0.3">
      <c r="C53" s="3" t="s">
        <v>272</v>
      </c>
      <c r="D53" s="13">
        <v>245.84501083200001</v>
      </c>
      <c r="E53" s="13">
        <v>288.42401132499998</v>
      </c>
      <c r="F53" s="13">
        <v>288.42401132499998</v>
      </c>
      <c r="G53" s="13">
        <v>319.28201435400001</v>
      </c>
      <c r="H53" s="13">
        <v>346.92082581400001</v>
      </c>
      <c r="I53" s="13">
        <v>463.22526153699999</v>
      </c>
      <c r="J53" s="13">
        <v>107.19</v>
      </c>
      <c r="K53" s="13">
        <v>304.47471008600002</v>
      </c>
      <c r="L53" s="13">
        <v>388.91654651200002</v>
      </c>
      <c r="M53" s="13">
        <v>445.53522275199998</v>
      </c>
      <c r="N53" s="13">
        <v>461.04</v>
      </c>
      <c r="O53" s="13">
        <v>502.08484412799999</v>
      </c>
      <c r="P53" s="13">
        <v>540.88</v>
      </c>
    </row>
    <row r="54" spans="3:23" s="4" customFormat="1" x14ac:dyDescent="0.3">
      <c r="C54" s="3" t="s">
        <v>273</v>
      </c>
      <c r="D54" s="13">
        <v>33.060205871000001</v>
      </c>
      <c r="E54" s="13">
        <v>0</v>
      </c>
      <c r="F54" s="13">
        <v>43.460476466000003</v>
      </c>
      <c r="G54" s="13">
        <v>46.561205590999997</v>
      </c>
      <c r="H54" s="13">
        <v>128.68361482399999</v>
      </c>
      <c r="I54" s="13">
        <v>119.96641366599999</v>
      </c>
      <c r="J54" s="13">
        <v>199</v>
      </c>
      <c r="K54" s="13">
        <v>84.781570826000006</v>
      </c>
      <c r="L54" s="13">
        <v>57.535595374000003</v>
      </c>
      <c r="M54" s="13">
        <v>18.478405078000002</v>
      </c>
      <c r="N54" s="13">
        <v>43.991415932000002</v>
      </c>
      <c r="O54" s="13">
        <v>42.051353589000001</v>
      </c>
      <c r="P54" s="13">
        <v>64.841582380000006</v>
      </c>
    </row>
    <row r="55" spans="3:23" s="4" customFormat="1" x14ac:dyDescent="0.3">
      <c r="C55" s="3" t="s">
        <v>274</v>
      </c>
      <c r="D55" s="13">
        <v>-2.0785266280000001</v>
      </c>
      <c r="E55" s="13">
        <v>0</v>
      </c>
      <c r="F55" s="13">
        <v>-12.602473437</v>
      </c>
      <c r="G55" s="13">
        <v>-18.922394131000001</v>
      </c>
      <c r="H55" s="13">
        <v>-12.379179101</v>
      </c>
      <c r="I55" s="13">
        <v>-12.581120235</v>
      </c>
      <c r="J55" s="13">
        <v>-1.72</v>
      </c>
      <c r="K55" s="13">
        <v>-0.33973439999999999</v>
      </c>
      <c r="L55" s="13">
        <v>-0.91691913400000002</v>
      </c>
      <c r="M55" s="13">
        <v>-2.9769040059999998</v>
      </c>
      <c r="N55" s="13">
        <v>-2.95</v>
      </c>
      <c r="O55" s="13">
        <v>-3.252678806</v>
      </c>
      <c r="P55" s="13">
        <v>-26.701215539</v>
      </c>
    </row>
    <row r="56" spans="3:23" s="4" customFormat="1" x14ac:dyDescent="0.3">
      <c r="C56" s="3" t="s">
        <v>275</v>
      </c>
      <c r="D56" s="13">
        <v>123.83827097</v>
      </c>
      <c r="E56" s="13">
        <v>148.39637674299999</v>
      </c>
      <c r="F56" s="13">
        <v>168.31748270599999</v>
      </c>
      <c r="G56" s="13">
        <v>191.89211688099999</v>
      </c>
      <c r="H56" s="13">
        <v>233.131552266</v>
      </c>
      <c r="I56" s="13">
        <v>288.09409159199998</v>
      </c>
      <c r="J56" s="13">
        <v>178.88</v>
      </c>
      <c r="K56" s="13">
        <v>206.43423748000001</v>
      </c>
      <c r="L56" s="13">
        <v>250.961285651</v>
      </c>
      <c r="M56" s="13">
        <v>293.13988381199999</v>
      </c>
      <c r="N56" s="13">
        <v>321.82623683200001</v>
      </c>
      <c r="O56" s="13">
        <v>353.99244132400003</v>
      </c>
      <c r="P56" s="13">
        <v>392.34992068600002</v>
      </c>
      <c r="Q56" s="9"/>
      <c r="R56" s="9"/>
      <c r="S56" s="9"/>
      <c r="T56" s="9"/>
      <c r="U56" s="9"/>
      <c r="V56" s="9"/>
      <c r="W56" s="9"/>
    </row>
    <row r="57" spans="3:23" s="4" customFormat="1" x14ac:dyDescent="0.3">
      <c r="C57" s="3" t="s">
        <v>276</v>
      </c>
      <c r="D57" s="13">
        <v>96.267964222000003</v>
      </c>
      <c r="E57" s="13">
        <v>148.39637674299999</v>
      </c>
      <c r="F57" s="13">
        <v>148.39637674299999</v>
      </c>
      <c r="G57" s="13">
        <v>168.31748270599999</v>
      </c>
      <c r="H57" s="13">
        <v>191.89211688099999</v>
      </c>
      <c r="I57" s="13">
        <v>233.131552266</v>
      </c>
      <c r="J57" s="13">
        <v>38.549999999999997</v>
      </c>
      <c r="K57" s="13">
        <v>178.880476625</v>
      </c>
      <c r="L57" s="13">
        <v>206.43423748000001</v>
      </c>
      <c r="M57" s="13">
        <v>250.96</v>
      </c>
      <c r="N57" s="13">
        <v>293.13988391200002</v>
      </c>
      <c r="O57" s="13">
        <v>321.82623683200001</v>
      </c>
      <c r="P57" s="13">
        <v>353.99</v>
      </c>
    </row>
    <row r="58" spans="3:23" s="4" customFormat="1" x14ac:dyDescent="0.3">
      <c r="C58" s="3" t="s">
        <v>273</v>
      </c>
      <c r="D58" s="13">
        <v>28.941891220999999</v>
      </c>
      <c r="E58" s="13">
        <v>0</v>
      </c>
      <c r="F58" s="13">
        <v>31.101278430000001</v>
      </c>
      <c r="G58" s="13">
        <v>38.478176462</v>
      </c>
      <c r="H58" s="13">
        <v>50.416830523000002</v>
      </c>
      <c r="I58" s="13">
        <v>66.935858996999997</v>
      </c>
      <c r="J58" s="13">
        <v>141.30000000000001</v>
      </c>
      <c r="K58" s="13">
        <v>36.358490255</v>
      </c>
      <c r="L58" s="13">
        <v>45.443967305000001</v>
      </c>
      <c r="M58" s="13">
        <v>45.155502267000003</v>
      </c>
      <c r="N58" s="13">
        <v>31.629648547999999</v>
      </c>
      <c r="O58" s="13">
        <v>35.418883297999997</v>
      </c>
      <c r="P58" s="13">
        <v>58.894680766</v>
      </c>
    </row>
    <row r="59" spans="3:23" s="4" customFormat="1" x14ac:dyDescent="0.3">
      <c r="C59" s="3" t="s">
        <v>274</v>
      </c>
      <c r="D59" s="13">
        <v>-1.371584473</v>
      </c>
      <c r="E59" s="13">
        <v>0</v>
      </c>
      <c r="F59" s="13">
        <v>-11.180172467</v>
      </c>
      <c r="G59" s="13">
        <v>-14.903542287</v>
      </c>
      <c r="H59" s="13">
        <v>-9.1773951379999996</v>
      </c>
      <c r="I59" s="13">
        <v>-11.973319671</v>
      </c>
      <c r="J59" s="13">
        <v>-0.97</v>
      </c>
      <c r="K59" s="13">
        <v>-8.8047293999999994</v>
      </c>
      <c r="L59" s="13">
        <v>-0.91691913400000002</v>
      </c>
      <c r="M59" s="13">
        <v>-2.9769040059999998</v>
      </c>
      <c r="N59" s="13">
        <v>-2.943295628</v>
      </c>
      <c r="O59" s="13">
        <v>-3.252678806</v>
      </c>
      <c r="P59" s="13">
        <v>-20.537201404000001</v>
      </c>
    </row>
    <row r="60" spans="3:23" s="4" customFormat="1" x14ac:dyDescent="0.3">
      <c r="C60" s="3" t="s">
        <v>277</v>
      </c>
      <c r="D60" s="13">
        <v>0</v>
      </c>
      <c r="E60" s="13">
        <v>0</v>
      </c>
      <c r="F60" s="13">
        <v>0</v>
      </c>
      <c r="G60" s="13">
        <v>0</v>
      </c>
      <c r="H60" s="13">
        <v>0</v>
      </c>
      <c r="I60" s="13">
        <v>0</v>
      </c>
      <c r="J60" s="13">
        <v>0</v>
      </c>
      <c r="K60" s="13">
        <v>0</v>
      </c>
      <c r="L60" s="13">
        <v>0</v>
      </c>
      <c r="M60" s="13">
        <v>0</v>
      </c>
      <c r="N60" s="13">
        <v>0</v>
      </c>
      <c r="O60" s="13">
        <v>0</v>
      </c>
      <c r="P60" s="13">
        <v>0</v>
      </c>
    </row>
    <row r="61" spans="3:23" s="4" customFormat="1" x14ac:dyDescent="0.3">
      <c r="C61" s="3" t="s">
        <v>272</v>
      </c>
      <c r="D61" s="13">
        <v>0</v>
      </c>
      <c r="E61" s="13">
        <v>0</v>
      </c>
      <c r="F61" s="13">
        <v>0</v>
      </c>
      <c r="G61" s="13">
        <v>0</v>
      </c>
      <c r="H61" s="13">
        <v>0</v>
      </c>
      <c r="I61" s="13">
        <v>0</v>
      </c>
      <c r="J61" s="13">
        <v>0</v>
      </c>
      <c r="K61" s="13">
        <v>0</v>
      </c>
      <c r="L61" s="13">
        <v>0</v>
      </c>
      <c r="M61" s="13">
        <v>0</v>
      </c>
      <c r="N61" s="13">
        <v>0</v>
      </c>
      <c r="O61" s="13">
        <v>0</v>
      </c>
      <c r="P61" s="13">
        <v>0</v>
      </c>
    </row>
    <row r="62" spans="3:23" s="4" customFormat="1" x14ac:dyDescent="0.3">
      <c r="C62" s="3" t="s">
        <v>273</v>
      </c>
      <c r="D62" s="13">
        <v>0</v>
      </c>
      <c r="E62" s="13">
        <v>0</v>
      </c>
      <c r="F62" s="13">
        <v>0</v>
      </c>
      <c r="G62" s="13">
        <v>0</v>
      </c>
      <c r="H62" s="13">
        <v>0</v>
      </c>
      <c r="I62" s="13">
        <v>0</v>
      </c>
      <c r="J62" s="13">
        <v>0</v>
      </c>
      <c r="K62" s="13">
        <v>0</v>
      </c>
      <c r="L62" s="13">
        <v>0</v>
      </c>
      <c r="M62" s="13">
        <v>0</v>
      </c>
      <c r="N62" s="13">
        <v>0</v>
      </c>
      <c r="O62" s="13">
        <v>0</v>
      </c>
      <c r="P62" s="13">
        <v>0</v>
      </c>
    </row>
    <row r="63" spans="3:23" s="4" customFormat="1" x14ac:dyDescent="0.3">
      <c r="C63" s="3" t="s">
        <v>274</v>
      </c>
      <c r="D63" s="13">
        <v>0</v>
      </c>
      <c r="E63" s="13">
        <v>0</v>
      </c>
      <c r="F63" s="13">
        <v>0</v>
      </c>
      <c r="G63" s="13">
        <v>0</v>
      </c>
      <c r="H63" s="13">
        <v>0</v>
      </c>
      <c r="I63" s="13">
        <v>0</v>
      </c>
      <c r="J63" s="13">
        <v>0</v>
      </c>
      <c r="K63" s="13">
        <v>0</v>
      </c>
      <c r="L63" s="13">
        <v>0</v>
      </c>
      <c r="M63" s="13">
        <v>0</v>
      </c>
      <c r="N63" s="13">
        <v>0</v>
      </c>
      <c r="O63" s="13">
        <v>0</v>
      </c>
      <c r="P63" s="13">
        <v>0</v>
      </c>
    </row>
    <row r="64" spans="3:23" s="4" customFormat="1" x14ac:dyDescent="0.3">
      <c r="C64" s="3" t="s">
        <v>278</v>
      </c>
      <c r="D64" s="13">
        <v>0</v>
      </c>
      <c r="E64" s="13">
        <v>0</v>
      </c>
      <c r="F64" s="13">
        <v>0</v>
      </c>
      <c r="G64" s="13">
        <v>0</v>
      </c>
      <c r="H64" s="13">
        <v>0</v>
      </c>
      <c r="I64" s="13">
        <v>0</v>
      </c>
      <c r="J64" s="13">
        <v>0</v>
      </c>
      <c r="K64" s="13">
        <v>0</v>
      </c>
      <c r="L64" s="13">
        <v>0</v>
      </c>
      <c r="M64" s="13">
        <v>0</v>
      </c>
      <c r="N64" s="13">
        <v>0</v>
      </c>
      <c r="O64" s="13">
        <v>0</v>
      </c>
      <c r="P64" s="13">
        <v>0</v>
      </c>
    </row>
    <row r="65" spans="3:23" s="4" customFormat="1" x14ac:dyDescent="0.3">
      <c r="C65" s="3" t="s">
        <v>276</v>
      </c>
      <c r="D65" s="13">
        <v>0</v>
      </c>
      <c r="E65" s="13">
        <v>0</v>
      </c>
      <c r="F65" s="13">
        <v>0</v>
      </c>
      <c r="G65" s="13">
        <v>0</v>
      </c>
      <c r="H65" s="13">
        <v>0</v>
      </c>
      <c r="I65" s="13">
        <v>0</v>
      </c>
      <c r="J65" s="13">
        <v>0</v>
      </c>
      <c r="K65" s="13">
        <v>0</v>
      </c>
      <c r="L65" s="13">
        <v>0</v>
      </c>
      <c r="M65" s="13">
        <v>0</v>
      </c>
      <c r="N65" s="13">
        <v>0</v>
      </c>
      <c r="O65" s="13">
        <v>0</v>
      </c>
      <c r="P65" s="13">
        <v>0</v>
      </c>
    </row>
    <row r="66" spans="3:23" s="4" customFormat="1" x14ac:dyDescent="0.3">
      <c r="C66" s="3" t="s">
        <v>273</v>
      </c>
      <c r="D66" s="13">
        <v>0</v>
      </c>
      <c r="E66" s="13">
        <v>0</v>
      </c>
      <c r="F66" s="13">
        <v>0</v>
      </c>
      <c r="G66" s="13">
        <v>0</v>
      </c>
      <c r="H66" s="13">
        <v>0</v>
      </c>
      <c r="I66" s="13">
        <v>0</v>
      </c>
      <c r="J66" s="13">
        <v>0</v>
      </c>
      <c r="K66" s="13">
        <v>0</v>
      </c>
      <c r="L66" s="13">
        <v>0</v>
      </c>
      <c r="M66" s="13">
        <v>0</v>
      </c>
      <c r="N66" s="13">
        <v>0</v>
      </c>
      <c r="O66" s="13">
        <v>0</v>
      </c>
      <c r="P66" s="13">
        <v>0</v>
      </c>
    </row>
    <row r="67" spans="3:23" s="4" customFormat="1" x14ac:dyDescent="0.3">
      <c r="C67" s="3" t="s">
        <v>274</v>
      </c>
      <c r="D67" s="13">
        <v>0</v>
      </c>
      <c r="E67" s="13">
        <v>0</v>
      </c>
      <c r="F67" s="13">
        <v>0</v>
      </c>
      <c r="G67" s="13">
        <v>0</v>
      </c>
      <c r="H67" s="13">
        <v>0</v>
      </c>
      <c r="I67" s="13">
        <v>0</v>
      </c>
      <c r="J67" s="13">
        <v>0</v>
      </c>
      <c r="K67" s="13">
        <v>0</v>
      </c>
      <c r="L67" s="13">
        <v>0</v>
      </c>
      <c r="M67" s="13">
        <v>0</v>
      </c>
      <c r="N67" s="13">
        <v>0</v>
      </c>
      <c r="O67" s="13">
        <v>0</v>
      </c>
      <c r="P67" s="13">
        <v>0</v>
      </c>
    </row>
    <row r="68" spans="3:23" s="4" customFormat="1" x14ac:dyDescent="0.3">
      <c r="C68" s="3" t="s">
        <v>279</v>
      </c>
      <c r="D68" s="13">
        <v>4.655497671</v>
      </c>
      <c r="E68" s="13">
        <v>5.8821394390000004</v>
      </c>
      <c r="F68" s="13">
        <v>5.8821394390000004</v>
      </c>
      <c r="G68" s="13">
        <v>6.548837561</v>
      </c>
      <c r="H68" s="13">
        <v>11.629337274999999</v>
      </c>
      <c r="I68" s="13">
        <v>12.099337275</v>
      </c>
      <c r="J68" s="13">
        <v>44.08</v>
      </c>
      <c r="K68" s="13">
        <v>56.427377200000002</v>
      </c>
      <c r="L68" s="13">
        <v>57.084211699999997</v>
      </c>
      <c r="M68" s="13">
        <v>57.384211700000002</v>
      </c>
      <c r="N68" s="13">
        <v>63.90196795</v>
      </c>
      <c r="O68" s="13">
        <v>71.308272950000003</v>
      </c>
      <c r="P68" s="13">
        <v>72.260262949999998</v>
      </c>
    </row>
    <row r="69" spans="3:23" s="4" customFormat="1" x14ac:dyDescent="0.3">
      <c r="C69" s="3" t="s">
        <v>272</v>
      </c>
      <c r="D69" s="13">
        <v>4.5586405279999997</v>
      </c>
      <c r="E69" s="13">
        <v>5.8821394390000004</v>
      </c>
      <c r="F69" s="13">
        <v>5.8821394390000004</v>
      </c>
      <c r="G69" s="13">
        <v>5.8821394390000004</v>
      </c>
      <c r="H69" s="13">
        <v>6.548837561</v>
      </c>
      <c r="I69" s="13">
        <v>11.629337274999999</v>
      </c>
      <c r="J69" s="13">
        <v>40.479999999999997</v>
      </c>
      <c r="K69" s="13">
        <v>44.077530899999999</v>
      </c>
      <c r="L69" s="13">
        <v>56.427377200000002</v>
      </c>
      <c r="M69" s="13">
        <v>57.084211699999997</v>
      </c>
      <c r="N69" s="13">
        <v>57.384211700000002</v>
      </c>
      <c r="O69" s="13">
        <v>63.90196795</v>
      </c>
      <c r="P69" s="13">
        <v>71.308272950000003</v>
      </c>
    </row>
    <row r="70" spans="3:23" s="4" customFormat="1" x14ac:dyDescent="0.3">
      <c r="C70" s="3" t="s">
        <v>273</v>
      </c>
      <c r="D70" s="13">
        <v>9.6857143000000007E-2</v>
      </c>
      <c r="E70" s="13">
        <v>0</v>
      </c>
      <c r="F70" s="13">
        <v>0</v>
      </c>
      <c r="G70" s="13">
        <v>0.666698122</v>
      </c>
      <c r="H70" s="13">
        <v>5.0804997140000001</v>
      </c>
      <c r="I70" s="13">
        <v>0.47</v>
      </c>
      <c r="J70" s="13">
        <v>3.6</v>
      </c>
      <c r="K70" s="13">
        <v>12.349846299999999</v>
      </c>
      <c r="L70" s="13">
        <v>0.65683449999999999</v>
      </c>
      <c r="M70" s="13">
        <v>0.3</v>
      </c>
      <c r="N70" s="13">
        <v>7.2271595</v>
      </c>
      <c r="O70" s="13">
        <v>7.4063049999999997</v>
      </c>
      <c r="P70" s="13">
        <v>0.95199</v>
      </c>
    </row>
    <row r="71" spans="3:23" s="4" customFormat="1" x14ac:dyDescent="0.3">
      <c r="C71" s="3" t="s">
        <v>274</v>
      </c>
      <c r="D71" s="13">
        <v>0</v>
      </c>
      <c r="E71" s="13">
        <v>0</v>
      </c>
      <c r="F71" s="13">
        <v>0</v>
      </c>
      <c r="G71" s="13">
        <v>0</v>
      </c>
      <c r="H71" s="13">
        <v>0</v>
      </c>
      <c r="I71" s="13">
        <v>0</v>
      </c>
      <c r="J71" s="13">
        <v>0</v>
      </c>
      <c r="K71" s="13">
        <v>0</v>
      </c>
      <c r="L71" s="13">
        <v>0</v>
      </c>
      <c r="M71" s="13">
        <v>0</v>
      </c>
      <c r="N71" s="13">
        <v>-0.70940325000000004</v>
      </c>
      <c r="O71" s="13">
        <v>0</v>
      </c>
      <c r="P71" s="13">
        <v>0</v>
      </c>
    </row>
    <row r="72" spans="3:23" s="4" customFormat="1" x14ac:dyDescent="0.3">
      <c r="C72" s="3" t="s">
        <v>280</v>
      </c>
      <c r="D72" s="13">
        <v>0.34275234199999999</v>
      </c>
      <c r="E72" s="13">
        <v>0.66050938599999998</v>
      </c>
      <c r="F72" s="13">
        <v>1.0379102870000001</v>
      </c>
      <c r="G72" s="13">
        <v>1.4486460940000001</v>
      </c>
      <c r="H72" s="13">
        <v>2.2088576720000002</v>
      </c>
      <c r="I72" s="13">
        <v>3.2397552529999998</v>
      </c>
      <c r="J72" s="13">
        <v>1.4</v>
      </c>
      <c r="K72" s="13">
        <v>3.144971097</v>
      </c>
      <c r="L72" s="13">
        <v>4.7320579880000002</v>
      </c>
      <c r="M72" s="13">
        <v>6.4194795869999997</v>
      </c>
      <c r="N72" s="13">
        <v>7.4882508310000002</v>
      </c>
      <c r="O72" s="13">
        <v>9.5767891079999998</v>
      </c>
      <c r="P72" s="13">
        <v>11.848890501</v>
      </c>
    </row>
    <row r="73" spans="3:23" s="4" customFormat="1" x14ac:dyDescent="0.3">
      <c r="C73" s="3" t="s">
        <v>276</v>
      </c>
      <c r="D73" s="13">
        <v>0.11323707500000001</v>
      </c>
      <c r="E73" s="13">
        <v>0.66050938599999998</v>
      </c>
      <c r="F73" s="13">
        <v>0.66050938599999998</v>
      </c>
      <c r="G73" s="13">
        <v>1.0379102870000001</v>
      </c>
      <c r="H73" s="13">
        <v>1.4486460940000001</v>
      </c>
      <c r="I73" s="13">
        <v>2.2088576720000002</v>
      </c>
      <c r="J73" s="13">
        <v>0.68</v>
      </c>
      <c r="K73" s="13">
        <v>1.4042136169999999</v>
      </c>
      <c r="L73" s="13">
        <v>3.1449710870000001</v>
      </c>
      <c r="M73" s="13">
        <v>4.7320579880000002</v>
      </c>
      <c r="N73" s="13">
        <v>6.4194795869999997</v>
      </c>
      <c r="O73" s="13">
        <v>7.4882508310000002</v>
      </c>
      <c r="P73" s="13">
        <v>9.5767891079999998</v>
      </c>
      <c r="Q73" s="9"/>
      <c r="R73" s="9"/>
      <c r="S73" s="9"/>
      <c r="T73" s="9"/>
      <c r="U73" s="9"/>
      <c r="V73" s="9"/>
      <c r="W73" s="9"/>
    </row>
    <row r="74" spans="3:23" s="4" customFormat="1" x14ac:dyDescent="0.3">
      <c r="C74" s="3" t="s">
        <v>273</v>
      </c>
      <c r="D74" s="13">
        <v>0.229515267</v>
      </c>
      <c r="E74" s="13">
        <v>0</v>
      </c>
      <c r="F74" s="13">
        <v>0.37740090100000001</v>
      </c>
      <c r="G74" s="13">
        <v>0.41073580700000001</v>
      </c>
      <c r="H74" s="13">
        <v>0.76021157800000005</v>
      </c>
      <c r="I74" s="13">
        <v>1.0308975810000001</v>
      </c>
      <c r="J74" s="13">
        <v>0.73</v>
      </c>
      <c r="K74" s="13">
        <v>1.7407574800000001</v>
      </c>
      <c r="L74" s="13">
        <v>1.5870869009999999</v>
      </c>
      <c r="M74" s="13">
        <v>1.6874215990000001</v>
      </c>
      <c r="N74" s="13">
        <v>1.7781744939999999</v>
      </c>
      <c r="O74" s="13">
        <v>2.0885382770000001</v>
      </c>
      <c r="P74" s="13">
        <v>2.2721013929999998</v>
      </c>
    </row>
    <row r="75" spans="3:23" s="4" customFormat="1" x14ac:dyDescent="0.3">
      <c r="C75" s="3" t="s">
        <v>274</v>
      </c>
      <c r="D75" s="13">
        <v>0</v>
      </c>
      <c r="E75" s="13">
        <v>0</v>
      </c>
      <c r="F75" s="13">
        <v>0</v>
      </c>
      <c r="G75" s="13">
        <v>0</v>
      </c>
      <c r="H75" s="13">
        <v>0</v>
      </c>
      <c r="I75" s="13">
        <v>0</v>
      </c>
      <c r="J75" s="13">
        <v>0</v>
      </c>
      <c r="K75" s="13">
        <v>0</v>
      </c>
      <c r="L75" s="13">
        <v>0</v>
      </c>
      <c r="M75" s="13">
        <v>0</v>
      </c>
      <c r="N75" s="13">
        <v>-0.70940325000000004</v>
      </c>
      <c r="O75" s="13">
        <v>0</v>
      </c>
      <c r="P75" s="13">
        <v>0</v>
      </c>
    </row>
    <row r="76" spans="3:23" s="4" customFormat="1" x14ac:dyDescent="0.3">
      <c r="C76" s="3" t="s">
        <v>281</v>
      </c>
      <c r="D76" s="13">
        <v>15.156700000000001</v>
      </c>
      <c r="E76" s="13">
        <v>15.15</v>
      </c>
      <c r="F76" s="13">
        <v>24.8172</v>
      </c>
      <c r="G76" s="13">
        <v>0</v>
      </c>
      <c r="H76" s="13">
        <v>0</v>
      </c>
      <c r="I76" s="13">
        <v>0</v>
      </c>
      <c r="J76" s="13">
        <v>16.510000000000002</v>
      </c>
      <c r="K76" s="13">
        <v>16.508551907000001</v>
      </c>
      <c r="L76" s="13">
        <v>16.508551907000001</v>
      </c>
      <c r="M76" s="13">
        <v>16.508551907000001</v>
      </c>
      <c r="N76" s="13">
        <v>16.508551907000001</v>
      </c>
      <c r="O76" s="13">
        <v>3.5135349709999999</v>
      </c>
      <c r="P76" s="13">
        <v>0</v>
      </c>
    </row>
    <row r="77" spans="3:23" s="4" customFormat="1" x14ac:dyDescent="0.3">
      <c r="C77" s="3" t="s">
        <v>282</v>
      </c>
      <c r="D77" s="13">
        <v>15.15</v>
      </c>
      <c r="E77" s="13">
        <v>0</v>
      </c>
      <c r="F77" s="13">
        <v>0</v>
      </c>
      <c r="G77" s="13">
        <v>0</v>
      </c>
      <c r="H77" s="13">
        <v>0</v>
      </c>
      <c r="I77" s="13">
        <v>0</v>
      </c>
      <c r="J77" s="13">
        <v>0</v>
      </c>
      <c r="K77" s="13">
        <v>0</v>
      </c>
      <c r="L77" s="13">
        <v>0</v>
      </c>
      <c r="M77" s="13">
        <v>0</v>
      </c>
      <c r="N77" s="13">
        <v>0</v>
      </c>
      <c r="O77" s="13">
        <v>0</v>
      </c>
      <c r="P77" s="13">
        <v>0</v>
      </c>
    </row>
    <row r="78" spans="3:23" s="4" customFormat="1" x14ac:dyDescent="0.3">
      <c r="C78" s="3" t="s">
        <v>283</v>
      </c>
      <c r="D78" s="13">
        <v>6.7000000000000002E-3</v>
      </c>
      <c r="E78" s="13">
        <v>0</v>
      </c>
      <c r="F78" s="13">
        <v>0</v>
      </c>
      <c r="G78" s="13">
        <v>0</v>
      </c>
      <c r="H78" s="13">
        <v>0</v>
      </c>
      <c r="I78" s="13">
        <v>0</v>
      </c>
      <c r="J78" s="13">
        <v>0</v>
      </c>
      <c r="K78" s="13">
        <v>0</v>
      </c>
      <c r="L78" s="13">
        <v>0</v>
      </c>
      <c r="M78" s="13">
        <v>0</v>
      </c>
      <c r="N78" s="13">
        <v>0</v>
      </c>
      <c r="O78" s="13">
        <v>0</v>
      </c>
      <c r="P78" s="13">
        <v>0</v>
      </c>
    </row>
    <row r="79" spans="3:23" s="4" customFormat="1" x14ac:dyDescent="0.3">
      <c r="C79" s="3" t="s">
        <v>284</v>
      </c>
      <c r="D79" s="13">
        <v>0</v>
      </c>
      <c r="E79" s="13">
        <v>0</v>
      </c>
      <c r="F79" s="13">
        <v>0</v>
      </c>
      <c r="G79" s="13">
        <v>0</v>
      </c>
      <c r="H79" s="13">
        <v>0</v>
      </c>
      <c r="I79" s="13">
        <v>0</v>
      </c>
      <c r="J79" s="13">
        <v>0</v>
      </c>
      <c r="K79" s="13">
        <v>0</v>
      </c>
      <c r="L79" s="13">
        <v>0</v>
      </c>
      <c r="M79" s="13">
        <v>0</v>
      </c>
      <c r="N79" s="13">
        <v>0</v>
      </c>
      <c r="O79" s="13">
        <v>0</v>
      </c>
      <c r="P79" s="13">
        <v>0</v>
      </c>
    </row>
    <row r="80" spans="3:23" s="4" customFormat="1" x14ac:dyDescent="0.3">
      <c r="C80" s="3" t="s">
        <v>285</v>
      </c>
      <c r="D80" s="13">
        <v>0</v>
      </c>
      <c r="E80" s="13">
        <v>0</v>
      </c>
      <c r="F80" s="13">
        <v>0</v>
      </c>
      <c r="G80" s="13">
        <v>0</v>
      </c>
      <c r="H80" s="13">
        <v>0</v>
      </c>
      <c r="I80" s="13">
        <v>0</v>
      </c>
      <c r="J80" s="13">
        <v>0</v>
      </c>
      <c r="K80" s="13">
        <v>0</v>
      </c>
      <c r="L80" s="13">
        <v>0</v>
      </c>
      <c r="M80" s="13">
        <v>0</v>
      </c>
      <c r="N80" s="13">
        <v>0</v>
      </c>
      <c r="O80" s="13">
        <v>0</v>
      </c>
      <c r="P80" s="13">
        <v>0</v>
      </c>
    </row>
    <row r="81" spans="3:16" s="4" customFormat="1" x14ac:dyDescent="0.3">
      <c r="C81" s="3" t="s">
        <v>126</v>
      </c>
      <c r="D81" s="13">
        <v>0</v>
      </c>
      <c r="E81" s="13">
        <v>15.15</v>
      </c>
      <c r="F81" s="13">
        <v>24.8172</v>
      </c>
      <c r="G81" s="13">
        <v>0</v>
      </c>
      <c r="H81" s="13">
        <v>0</v>
      </c>
      <c r="I81" s="13">
        <v>0</v>
      </c>
      <c r="J81" s="13">
        <v>16.510000000000002</v>
      </c>
      <c r="K81" s="13">
        <v>16.508551907000001</v>
      </c>
      <c r="L81" s="13">
        <v>16.508551907000001</v>
      </c>
      <c r="M81" s="13">
        <v>16.508551907000001</v>
      </c>
      <c r="N81" s="13">
        <v>16.508551907000001</v>
      </c>
      <c r="O81" s="13">
        <v>3.5135349709999999</v>
      </c>
      <c r="P81" s="13">
        <v>0</v>
      </c>
    </row>
    <row r="82" spans="3:16" s="4" customFormat="1" x14ac:dyDescent="0.3">
      <c r="C82" s="3" t="s">
        <v>286</v>
      </c>
      <c r="D82" s="13">
        <v>252.57853276099999</v>
      </c>
      <c r="E82" s="13">
        <v>323.43722896200001</v>
      </c>
      <c r="F82" s="13">
        <v>282.07815143599998</v>
      </c>
      <c r="G82" s="13">
        <v>360.50739340799998</v>
      </c>
      <c r="H82" s="13">
        <v>431.35031354400002</v>
      </c>
      <c r="I82" s="13">
        <v>506.573060301</v>
      </c>
      <c r="J82" s="13">
        <v>86.69</v>
      </c>
      <c r="K82" s="13">
        <v>74.721502117</v>
      </c>
      <c r="L82" s="13">
        <v>195.69973205599999</v>
      </c>
      <c r="M82" s="13">
        <v>95.986460433999994</v>
      </c>
      <c r="N82" s="13">
        <v>176.39123693100001</v>
      </c>
      <c r="O82" s="13">
        <v>20.094668665</v>
      </c>
      <c r="P82" s="13">
        <v>0</v>
      </c>
    </row>
    <row r="83" spans="3:16" s="4" customFormat="1" x14ac:dyDescent="0.3">
      <c r="C83" s="3" t="s">
        <v>147</v>
      </c>
      <c r="D83" s="13">
        <v>235.65457525299999</v>
      </c>
      <c r="E83" s="13">
        <v>323.43722896200001</v>
      </c>
      <c r="F83" s="13">
        <v>282.07815143599998</v>
      </c>
      <c r="G83" s="13">
        <v>360.50739340799998</v>
      </c>
      <c r="H83" s="13">
        <v>413.66328142399999</v>
      </c>
      <c r="I83" s="13">
        <v>500.32466030099999</v>
      </c>
      <c r="J83" s="13">
        <v>86.69</v>
      </c>
      <c r="K83" s="13">
        <v>74.721502117</v>
      </c>
      <c r="L83" s="13">
        <v>195.69973205599999</v>
      </c>
      <c r="M83" s="13">
        <v>67.337105463</v>
      </c>
      <c r="N83" s="13">
        <v>164.512036722</v>
      </c>
      <c r="O83" s="13">
        <v>20.094668665</v>
      </c>
      <c r="P83" s="13">
        <v>0</v>
      </c>
    </row>
    <row r="84" spans="3:16" s="4" customFormat="1" x14ac:dyDescent="0.3">
      <c r="C84" s="3" t="s">
        <v>287</v>
      </c>
      <c r="D84" s="13">
        <v>16.923957508000001</v>
      </c>
      <c r="E84" s="13">
        <v>0</v>
      </c>
      <c r="F84" s="13">
        <v>0</v>
      </c>
      <c r="G84" s="13">
        <v>0</v>
      </c>
      <c r="H84" s="13">
        <v>17.687032120000001</v>
      </c>
      <c r="I84" s="13">
        <v>6.2484000000000002</v>
      </c>
      <c r="J84" s="13">
        <v>0</v>
      </c>
      <c r="K84" s="13">
        <v>0</v>
      </c>
      <c r="L84" s="13">
        <v>0</v>
      </c>
      <c r="M84" s="13">
        <v>28.649354971000001</v>
      </c>
      <c r="N84" s="13">
        <v>11.879200209</v>
      </c>
      <c r="O84" s="13">
        <v>0</v>
      </c>
      <c r="P84" s="13">
        <v>0</v>
      </c>
    </row>
    <row r="85" spans="3:16" s="4" customFormat="1" x14ac:dyDescent="0.3">
      <c r="C85" s="3" t="s">
        <v>288</v>
      </c>
      <c r="D85" s="13">
        <v>0</v>
      </c>
      <c r="E85" s="13">
        <v>0</v>
      </c>
      <c r="F85" s="13">
        <v>0</v>
      </c>
      <c r="G85" s="13">
        <v>0</v>
      </c>
      <c r="H85" s="13">
        <v>0</v>
      </c>
      <c r="I85" s="13">
        <v>0</v>
      </c>
      <c r="J85" s="13">
        <v>0</v>
      </c>
      <c r="K85" s="13">
        <v>0</v>
      </c>
      <c r="L85" s="13">
        <v>0</v>
      </c>
      <c r="M85" s="13">
        <v>0</v>
      </c>
      <c r="N85" s="13">
        <v>0</v>
      </c>
      <c r="O85" s="13">
        <v>0</v>
      </c>
      <c r="P85" s="13">
        <v>0</v>
      </c>
    </row>
    <row r="86" spans="3:16" s="4" customFormat="1" x14ac:dyDescent="0.3">
      <c r="C86" s="3" t="s">
        <v>289</v>
      </c>
      <c r="D86" s="13">
        <v>0</v>
      </c>
      <c r="E86" s="13">
        <v>0</v>
      </c>
      <c r="F86" s="13">
        <v>0</v>
      </c>
      <c r="G86" s="13">
        <v>0</v>
      </c>
      <c r="H86" s="13">
        <v>0</v>
      </c>
      <c r="I86" s="13">
        <v>0</v>
      </c>
      <c r="J86" s="13">
        <v>0</v>
      </c>
      <c r="K86" s="13">
        <v>0</v>
      </c>
      <c r="L86" s="13">
        <v>0</v>
      </c>
      <c r="M86" s="13">
        <v>0</v>
      </c>
      <c r="N86" s="13">
        <v>0</v>
      </c>
      <c r="O86" s="13">
        <v>0</v>
      </c>
      <c r="P86" s="13">
        <v>0</v>
      </c>
    </row>
    <row r="87" spans="3:16" s="4" customFormat="1" x14ac:dyDescent="0.3">
      <c r="C87" s="3" t="s">
        <v>273</v>
      </c>
      <c r="D87" s="13">
        <v>0</v>
      </c>
      <c r="E87" s="13">
        <v>0</v>
      </c>
      <c r="F87" s="13">
        <v>0</v>
      </c>
      <c r="G87" s="13">
        <v>0</v>
      </c>
      <c r="H87" s="13">
        <v>0</v>
      </c>
      <c r="I87" s="13">
        <v>0</v>
      </c>
      <c r="J87" s="13">
        <v>0</v>
      </c>
      <c r="K87" s="13">
        <v>0</v>
      </c>
      <c r="L87" s="13">
        <v>0</v>
      </c>
      <c r="M87" s="13">
        <v>0</v>
      </c>
      <c r="N87" s="13">
        <v>0</v>
      </c>
      <c r="O87" s="13">
        <v>0</v>
      </c>
      <c r="P87" s="13">
        <v>0</v>
      </c>
    </row>
    <row r="88" spans="3:16" s="4" customFormat="1" x14ac:dyDescent="0.3">
      <c r="C88" s="3" t="s">
        <v>274</v>
      </c>
      <c r="D88" s="13">
        <v>0</v>
      </c>
      <c r="E88" s="13">
        <v>0</v>
      </c>
      <c r="F88" s="13">
        <v>0</v>
      </c>
      <c r="G88" s="13">
        <v>0</v>
      </c>
      <c r="H88" s="13">
        <v>0</v>
      </c>
      <c r="I88" s="13">
        <v>0</v>
      </c>
      <c r="J88" s="13">
        <v>0</v>
      </c>
      <c r="K88" s="13">
        <v>0</v>
      </c>
      <c r="L88" s="13">
        <v>0</v>
      </c>
      <c r="M88" s="13">
        <v>0</v>
      </c>
      <c r="N88" s="13">
        <v>0</v>
      </c>
      <c r="O88" s="13">
        <v>0</v>
      </c>
      <c r="P88" s="13">
        <v>0</v>
      </c>
    </row>
    <row r="89" spans="3:16" s="4" customFormat="1" x14ac:dyDescent="0.3">
      <c r="C89" s="3" t="s">
        <v>290</v>
      </c>
      <c r="D89" s="13">
        <v>0</v>
      </c>
      <c r="E89" s="13">
        <v>0</v>
      </c>
      <c r="F89" s="13">
        <v>0</v>
      </c>
      <c r="G89" s="13">
        <v>0</v>
      </c>
      <c r="H89" s="13">
        <v>0</v>
      </c>
      <c r="I89" s="13">
        <v>0</v>
      </c>
      <c r="J89" s="13">
        <v>0</v>
      </c>
      <c r="K89" s="13">
        <v>0</v>
      </c>
      <c r="L89" s="13">
        <v>0</v>
      </c>
      <c r="M89" s="13">
        <v>0</v>
      </c>
      <c r="N89" s="13">
        <v>0</v>
      </c>
      <c r="O89" s="13">
        <v>0</v>
      </c>
      <c r="P89" s="13">
        <v>0</v>
      </c>
    </row>
    <row r="90" spans="3:16" s="4" customFormat="1" x14ac:dyDescent="0.3">
      <c r="C90" s="3" t="s">
        <v>291</v>
      </c>
      <c r="D90" s="13">
        <v>0</v>
      </c>
      <c r="E90" s="13">
        <v>0</v>
      </c>
      <c r="F90" s="13">
        <v>0</v>
      </c>
      <c r="G90" s="13">
        <v>0</v>
      </c>
      <c r="H90" s="13">
        <v>0</v>
      </c>
      <c r="I90" s="13">
        <v>0</v>
      </c>
      <c r="J90" s="13">
        <v>0</v>
      </c>
      <c r="K90" s="13">
        <v>0</v>
      </c>
      <c r="L90" s="13">
        <v>0</v>
      </c>
      <c r="M90" s="13">
        <v>0</v>
      </c>
      <c r="N90" s="13">
        <v>0</v>
      </c>
      <c r="O90" s="13">
        <v>0</v>
      </c>
      <c r="P90" s="13">
        <v>0</v>
      </c>
    </row>
    <row r="91" spans="3:16" s="4" customFormat="1" x14ac:dyDescent="0.3">
      <c r="C91" s="3" t="s">
        <v>273</v>
      </c>
      <c r="D91" s="13">
        <v>0</v>
      </c>
      <c r="E91" s="13">
        <v>0</v>
      </c>
      <c r="F91" s="13">
        <v>0</v>
      </c>
      <c r="G91" s="13">
        <v>0</v>
      </c>
      <c r="H91" s="13">
        <v>0</v>
      </c>
      <c r="I91" s="13">
        <v>0</v>
      </c>
      <c r="J91" s="13">
        <v>0</v>
      </c>
      <c r="K91" s="13">
        <v>0</v>
      </c>
      <c r="L91" s="13">
        <v>0</v>
      </c>
      <c r="M91" s="13">
        <v>0</v>
      </c>
      <c r="N91" s="13">
        <v>0</v>
      </c>
      <c r="O91" s="13">
        <v>0</v>
      </c>
      <c r="P91" s="13">
        <v>0</v>
      </c>
    </row>
    <row r="92" spans="3:16" s="4" customFormat="1" x14ac:dyDescent="0.3">
      <c r="C92" s="3" t="s">
        <v>274</v>
      </c>
      <c r="D92" s="13">
        <v>0</v>
      </c>
      <c r="E92" s="13">
        <v>0</v>
      </c>
      <c r="F92" s="13">
        <v>0</v>
      </c>
      <c r="G92" s="13">
        <v>0</v>
      </c>
      <c r="H92" s="13">
        <v>0</v>
      </c>
      <c r="I92" s="13">
        <v>0</v>
      </c>
      <c r="J92" s="13">
        <v>0</v>
      </c>
      <c r="K92" s="13">
        <v>0</v>
      </c>
      <c r="L92" s="13">
        <v>0</v>
      </c>
      <c r="M92" s="13">
        <v>0</v>
      </c>
      <c r="N92" s="13">
        <v>0</v>
      </c>
      <c r="O92" s="13">
        <v>0</v>
      </c>
      <c r="P92" s="13">
        <v>0</v>
      </c>
    </row>
    <row r="93" spans="3:16" s="4" customFormat="1" x14ac:dyDescent="0.3">
      <c r="C93" s="3" t="s">
        <v>292</v>
      </c>
      <c r="D93" s="13">
        <v>4.3599082090000003</v>
      </c>
      <c r="E93" s="13">
        <v>5.7650381929999996</v>
      </c>
      <c r="F93" s="13">
        <v>8.4025578260000007</v>
      </c>
      <c r="G93" s="13">
        <v>13.042855212999999</v>
      </c>
      <c r="H93" s="13">
        <v>16.245141160999999</v>
      </c>
      <c r="I93" s="13">
        <v>12.714345631</v>
      </c>
      <c r="J93" s="13">
        <v>28.25</v>
      </c>
      <c r="K93" s="13">
        <v>23.567266012000001</v>
      </c>
      <c r="L93" s="13">
        <v>30.183981935999999</v>
      </c>
      <c r="M93" s="13">
        <v>9.7208100040000005</v>
      </c>
      <c r="N93" s="13">
        <v>27.984539991999998</v>
      </c>
      <c r="O93" s="13">
        <v>1.7131313159999999</v>
      </c>
      <c r="P93" s="13">
        <v>0</v>
      </c>
    </row>
    <row r="94" spans="3:16" s="4" customFormat="1" x14ac:dyDescent="0.3">
      <c r="C94" s="3" t="s">
        <v>293</v>
      </c>
      <c r="D94" s="13">
        <v>2.096500695</v>
      </c>
      <c r="E94" s="13">
        <v>2.6346987909999999</v>
      </c>
      <c r="F94" s="13">
        <v>1.960240293</v>
      </c>
      <c r="G94" s="13">
        <v>2.6954475979999999</v>
      </c>
      <c r="H94" s="13">
        <v>0.51924650999999999</v>
      </c>
      <c r="I94" s="13">
        <v>1.717915495</v>
      </c>
      <c r="J94" s="13">
        <v>0.98816394900000004</v>
      </c>
      <c r="K94" s="13">
        <v>1.19</v>
      </c>
      <c r="L94" s="13">
        <v>0.32397101099999998</v>
      </c>
      <c r="M94" s="13">
        <v>0.17162371500000001</v>
      </c>
      <c r="N94" s="13">
        <v>0.37907997399999999</v>
      </c>
      <c r="O94" s="13">
        <v>1.336641457</v>
      </c>
      <c r="P94" s="13">
        <v>0</v>
      </c>
    </row>
    <row r="95" spans="3:16" s="4" customFormat="1" x14ac:dyDescent="0.3">
      <c r="C95" s="3" t="s">
        <v>294</v>
      </c>
      <c r="D95" s="13">
        <v>0</v>
      </c>
      <c r="E95" s="13">
        <v>0</v>
      </c>
      <c r="F95" s="13">
        <v>0</v>
      </c>
      <c r="G95" s="13">
        <v>0</v>
      </c>
      <c r="H95" s="13">
        <v>0</v>
      </c>
      <c r="I95" s="13">
        <v>0</v>
      </c>
      <c r="J95" s="13">
        <v>0</v>
      </c>
      <c r="K95" s="13">
        <v>0</v>
      </c>
      <c r="L95" s="13">
        <v>0</v>
      </c>
      <c r="M95" s="13">
        <v>0</v>
      </c>
      <c r="N95" s="13">
        <v>0</v>
      </c>
      <c r="O95" s="13">
        <v>0</v>
      </c>
      <c r="P95" s="13">
        <v>0</v>
      </c>
    </row>
    <row r="96" spans="3:16" s="4" customFormat="1" x14ac:dyDescent="0.3">
      <c r="C96" s="3" t="s">
        <v>295</v>
      </c>
      <c r="D96" s="13">
        <v>0.76704894000000001</v>
      </c>
      <c r="E96" s="13">
        <v>0.10177546699999999</v>
      </c>
      <c r="F96" s="13">
        <v>0.96427860799999998</v>
      </c>
      <c r="G96" s="13">
        <v>1.8180761E-2</v>
      </c>
      <c r="H96" s="13">
        <v>0</v>
      </c>
      <c r="I96" s="13">
        <v>0</v>
      </c>
      <c r="J96" s="13">
        <v>-0.1</v>
      </c>
      <c r="K96" s="13">
        <v>0</v>
      </c>
      <c r="L96" s="13">
        <v>0</v>
      </c>
      <c r="M96" s="13">
        <v>0</v>
      </c>
      <c r="N96" s="13">
        <v>0</v>
      </c>
      <c r="O96" s="13">
        <v>3.4693239000000001E-2</v>
      </c>
      <c r="P96" s="13">
        <v>0</v>
      </c>
    </row>
    <row r="97" spans="3:16" s="4" customFormat="1" x14ac:dyDescent="0.3">
      <c r="C97" s="3" t="s">
        <v>296</v>
      </c>
      <c r="D97" s="13">
        <v>1.0563474930000001</v>
      </c>
      <c r="E97" s="13">
        <v>2.472940103</v>
      </c>
      <c r="F97" s="13">
        <v>4.5391506740000001</v>
      </c>
      <c r="G97" s="13">
        <v>8.6775938729999993</v>
      </c>
      <c r="H97" s="13">
        <v>13.794018712</v>
      </c>
      <c r="I97" s="13">
        <v>8.5081177720000003</v>
      </c>
      <c r="J97" s="13">
        <v>26.25</v>
      </c>
      <c r="K97" s="13">
        <v>18.389506357999998</v>
      </c>
      <c r="L97" s="13">
        <v>27.205654512999999</v>
      </c>
      <c r="M97" s="13">
        <v>8.0215458060000007</v>
      </c>
      <c r="N97" s="13">
        <v>26.894302204999999</v>
      </c>
      <c r="O97" s="13">
        <v>0.338500142</v>
      </c>
      <c r="P97" s="13">
        <v>0</v>
      </c>
    </row>
    <row r="98" spans="3:16" s="4" customFormat="1" x14ac:dyDescent="0.3">
      <c r="C98" s="3" t="s">
        <v>297</v>
      </c>
      <c r="D98" s="13">
        <v>0.15198996000000001</v>
      </c>
      <c r="E98" s="13">
        <v>0.15777930000000001</v>
      </c>
      <c r="F98" s="13">
        <v>0.14402936099999999</v>
      </c>
      <c r="G98" s="13">
        <v>0.17746184200000001</v>
      </c>
      <c r="H98" s="13">
        <v>0.150121539</v>
      </c>
      <c r="I98" s="13">
        <v>0.283587276</v>
      </c>
      <c r="J98" s="13">
        <v>0.9</v>
      </c>
      <c r="K98" s="13">
        <v>4.9396091230000003</v>
      </c>
      <c r="L98" s="13">
        <v>2.5925042999999999</v>
      </c>
      <c r="M98" s="13">
        <v>1.520168108</v>
      </c>
      <c r="N98" s="13">
        <v>0.61135133500000005</v>
      </c>
      <c r="O98" s="13">
        <v>3.2964779999999998E-3</v>
      </c>
      <c r="P98" s="13">
        <v>0</v>
      </c>
    </row>
    <row r="99" spans="3:16" s="4" customFormat="1" x14ac:dyDescent="0.3">
      <c r="C99" s="3" t="s">
        <v>298</v>
      </c>
      <c r="D99" s="13">
        <v>0.174702623</v>
      </c>
      <c r="E99" s="13">
        <v>0.20022674800000001</v>
      </c>
      <c r="F99" s="13">
        <v>0.13294146000000001</v>
      </c>
      <c r="G99" s="13">
        <v>0.26851343999999999</v>
      </c>
      <c r="H99" s="13">
        <v>0.53268795999999996</v>
      </c>
      <c r="I99" s="13">
        <v>0.92946083999999995</v>
      </c>
      <c r="J99" s="13">
        <v>0</v>
      </c>
      <c r="K99" s="13">
        <v>0</v>
      </c>
      <c r="L99" s="13">
        <v>0</v>
      </c>
      <c r="M99" s="13">
        <v>0</v>
      </c>
      <c r="N99" s="13">
        <v>0</v>
      </c>
      <c r="O99" s="13">
        <v>0</v>
      </c>
      <c r="P99" s="13">
        <v>0</v>
      </c>
    </row>
    <row r="100" spans="3:16" s="4" customFormat="1" x14ac:dyDescent="0.3">
      <c r="C100" s="3" t="s">
        <v>299</v>
      </c>
      <c r="D100" s="13">
        <v>0.03</v>
      </c>
      <c r="E100" s="13">
        <v>0.03</v>
      </c>
      <c r="F100" s="13">
        <v>0.03</v>
      </c>
      <c r="G100" s="13">
        <v>5.237E-2</v>
      </c>
      <c r="H100" s="13">
        <v>9.1249999999999998E-2</v>
      </c>
      <c r="I100" s="13">
        <v>0.11618000000000001</v>
      </c>
      <c r="J100" s="13">
        <v>0</v>
      </c>
      <c r="K100" s="13">
        <v>0</v>
      </c>
      <c r="L100" s="13">
        <v>0</v>
      </c>
      <c r="M100" s="13">
        <v>0</v>
      </c>
      <c r="N100" s="13">
        <v>0</v>
      </c>
      <c r="O100" s="13">
        <v>0</v>
      </c>
      <c r="P100" s="13">
        <v>0</v>
      </c>
    </row>
    <row r="101" spans="3:16" s="4" customFormat="1" x14ac:dyDescent="0.3">
      <c r="C101" s="3" t="s">
        <v>300</v>
      </c>
      <c r="D101" s="13">
        <v>2.4123096E-2</v>
      </c>
      <c r="E101" s="13">
        <v>5.5632036000000003E-2</v>
      </c>
      <c r="F101" s="13">
        <v>0.58266263399999996</v>
      </c>
      <c r="G101" s="13">
        <v>0.76963658000000001</v>
      </c>
      <c r="H101" s="13">
        <v>0.90222776000000005</v>
      </c>
      <c r="I101" s="13">
        <v>0.49679754999999998</v>
      </c>
      <c r="J101" s="13">
        <v>0</v>
      </c>
      <c r="K101" s="13">
        <v>0</v>
      </c>
      <c r="L101" s="13">
        <v>6.1852112000000001E-2</v>
      </c>
      <c r="M101" s="13">
        <v>7.4723749999999999E-3</v>
      </c>
      <c r="N101" s="13">
        <v>9.9806478000000004E-2</v>
      </c>
      <c r="O101" s="13">
        <v>0</v>
      </c>
      <c r="P101" s="13">
        <v>0</v>
      </c>
    </row>
    <row r="102" spans="3:16" s="4" customFormat="1" x14ac:dyDescent="0.3">
      <c r="C102" s="3" t="s">
        <v>301</v>
      </c>
      <c r="D102" s="13">
        <v>5.9195402000000001E-2</v>
      </c>
      <c r="E102" s="13">
        <v>0.111985748</v>
      </c>
      <c r="F102" s="13">
        <v>4.9254796000000003E-2</v>
      </c>
      <c r="G102" s="13">
        <v>0.38365111899999998</v>
      </c>
      <c r="H102" s="13">
        <v>0.25558868000000001</v>
      </c>
      <c r="I102" s="13">
        <v>0.66228669799999995</v>
      </c>
      <c r="J102" s="13">
        <v>0</v>
      </c>
      <c r="K102" s="13">
        <v>0</v>
      </c>
      <c r="L102" s="13">
        <v>0</v>
      </c>
      <c r="M102" s="13">
        <v>0</v>
      </c>
      <c r="N102" s="13">
        <v>0</v>
      </c>
      <c r="O102" s="13">
        <v>0</v>
      </c>
      <c r="P102" s="13">
        <v>0</v>
      </c>
    </row>
    <row r="103" spans="3:16" s="4" customFormat="1" x14ac:dyDescent="0.3">
      <c r="C103" s="3" t="s">
        <v>302</v>
      </c>
      <c r="D103" s="13">
        <v>3.2697875199999999</v>
      </c>
      <c r="E103" s="13">
        <v>7.0402542190000004</v>
      </c>
      <c r="F103" s="13">
        <v>6.9641277940000004</v>
      </c>
      <c r="G103" s="13">
        <v>0</v>
      </c>
      <c r="H103" s="13">
        <v>3.4043197369999998</v>
      </c>
      <c r="I103" s="13">
        <v>6.3371527089999997</v>
      </c>
      <c r="J103" s="13">
        <v>0</v>
      </c>
      <c r="K103" s="13">
        <v>0</v>
      </c>
      <c r="L103" s="13">
        <v>0</v>
      </c>
      <c r="M103" s="13">
        <v>0</v>
      </c>
      <c r="N103" s="13">
        <v>7.0395034240000003</v>
      </c>
      <c r="O103" s="13">
        <v>14.263543542000001</v>
      </c>
      <c r="P103" s="13">
        <v>0</v>
      </c>
    </row>
    <row r="104" spans="3:16" s="4" customFormat="1" x14ac:dyDescent="0.3">
      <c r="C104" s="3" t="s">
        <v>303</v>
      </c>
      <c r="D104" s="13">
        <v>0</v>
      </c>
      <c r="E104" s="13">
        <v>0</v>
      </c>
      <c r="F104" s="13">
        <v>0</v>
      </c>
      <c r="G104" s="13">
        <v>0</v>
      </c>
      <c r="H104" s="13">
        <v>0</v>
      </c>
      <c r="I104" s="13">
        <v>0</v>
      </c>
      <c r="J104" s="13">
        <v>0</v>
      </c>
      <c r="K104" s="13">
        <v>0</v>
      </c>
      <c r="L104" s="13">
        <v>0</v>
      </c>
      <c r="M104" s="13">
        <v>0</v>
      </c>
      <c r="N104" s="13">
        <v>0</v>
      </c>
      <c r="O104" s="13">
        <v>0</v>
      </c>
      <c r="P104" s="13">
        <v>0</v>
      </c>
    </row>
    <row r="105" spans="3:16" s="4" customFormat="1" x14ac:dyDescent="0.3">
      <c r="C105" s="3" t="s">
        <v>304</v>
      </c>
      <c r="D105" s="13">
        <v>0</v>
      </c>
      <c r="E105" s="13">
        <v>0</v>
      </c>
      <c r="F105" s="13">
        <v>0</v>
      </c>
      <c r="G105" s="13">
        <v>0</v>
      </c>
      <c r="H105" s="13">
        <v>0</v>
      </c>
      <c r="I105" s="13">
        <v>0</v>
      </c>
      <c r="J105" s="13">
        <v>0</v>
      </c>
      <c r="K105" s="13">
        <v>0</v>
      </c>
      <c r="L105" s="13">
        <v>0</v>
      </c>
      <c r="M105" s="13">
        <v>0</v>
      </c>
      <c r="N105" s="13">
        <v>0</v>
      </c>
      <c r="O105" s="13">
        <v>0</v>
      </c>
      <c r="P105" s="13">
        <v>0</v>
      </c>
    </row>
    <row r="106" spans="3:16" s="4" customFormat="1" x14ac:dyDescent="0.3">
      <c r="C106" s="3" t="s">
        <v>305</v>
      </c>
      <c r="D106" s="13">
        <v>0</v>
      </c>
      <c r="E106" s="13">
        <v>0</v>
      </c>
      <c r="F106" s="13">
        <v>0</v>
      </c>
      <c r="G106" s="13">
        <v>0</v>
      </c>
      <c r="H106" s="13">
        <v>0</v>
      </c>
      <c r="I106" s="13">
        <v>0</v>
      </c>
      <c r="J106" s="13">
        <v>0</v>
      </c>
      <c r="K106" s="13">
        <v>0</v>
      </c>
      <c r="L106" s="13">
        <v>0</v>
      </c>
      <c r="M106" s="13">
        <v>0</v>
      </c>
      <c r="N106" s="13">
        <v>0</v>
      </c>
      <c r="O106" s="13">
        <v>0</v>
      </c>
      <c r="P106" s="13">
        <v>0</v>
      </c>
    </row>
    <row r="107" spans="3:16" s="4" customFormat="1" x14ac:dyDescent="0.3">
      <c r="C107" s="3" t="s">
        <v>266</v>
      </c>
      <c r="D107" s="13">
        <v>3.2697875199999999</v>
      </c>
      <c r="E107" s="13">
        <v>7.0402542190000004</v>
      </c>
      <c r="F107" s="13">
        <v>6.9641277940000004</v>
      </c>
      <c r="G107" s="13">
        <v>0</v>
      </c>
      <c r="H107" s="13">
        <v>3.4043197369999998</v>
      </c>
      <c r="I107" s="13">
        <v>6.3371527089999997</v>
      </c>
      <c r="J107" s="13">
        <v>0</v>
      </c>
      <c r="K107" s="13">
        <v>0</v>
      </c>
      <c r="L107" s="13">
        <v>0</v>
      </c>
      <c r="M107" s="13">
        <v>0</v>
      </c>
      <c r="N107" s="13">
        <v>7.0395034240000003</v>
      </c>
      <c r="O107" s="13">
        <v>14.263543542000001</v>
      </c>
      <c r="P107" s="13">
        <v>0</v>
      </c>
    </row>
    <row r="108" spans="3:16" s="4" customFormat="1" x14ac:dyDescent="0.3">
      <c r="C108" s="3" t="s">
        <v>306</v>
      </c>
      <c r="D108" s="13">
        <v>2.2199429190000002</v>
      </c>
      <c r="E108" s="13">
        <v>3.821274973</v>
      </c>
      <c r="F108" s="13">
        <v>3.0526128460000002</v>
      </c>
      <c r="G108" s="13">
        <v>1.350952215</v>
      </c>
      <c r="H108" s="13">
        <v>4.916818202</v>
      </c>
      <c r="I108" s="13">
        <v>3.488373749</v>
      </c>
      <c r="J108" s="13">
        <v>80.959999999999994</v>
      </c>
      <c r="K108" s="13">
        <v>114.865053043</v>
      </c>
      <c r="L108" s="13">
        <v>91.297260308000006</v>
      </c>
      <c r="M108" s="13">
        <v>89.869602916999995</v>
      </c>
      <c r="N108" s="13">
        <v>85.378453860999997</v>
      </c>
      <c r="O108" s="13">
        <v>80.971909203999999</v>
      </c>
      <c r="P108" s="13">
        <v>0</v>
      </c>
    </row>
    <row r="109" spans="3:16" s="4" customFormat="1" x14ac:dyDescent="0.3">
      <c r="C109" s="3" t="s">
        <v>307</v>
      </c>
      <c r="D109" s="13">
        <v>0</v>
      </c>
      <c r="E109" s="13">
        <v>0</v>
      </c>
      <c r="F109" s="13">
        <v>0</v>
      </c>
      <c r="G109" s="13">
        <v>0</v>
      </c>
      <c r="H109" s="13">
        <v>0</v>
      </c>
      <c r="I109" s="13">
        <v>0</v>
      </c>
      <c r="J109" s="13">
        <v>0</v>
      </c>
      <c r="K109" s="13">
        <v>0</v>
      </c>
      <c r="L109" s="13">
        <v>0</v>
      </c>
      <c r="M109" s="13">
        <v>0</v>
      </c>
      <c r="N109" s="13">
        <v>0</v>
      </c>
      <c r="O109" s="13">
        <v>0</v>
      </c>
      <c r="P109" s="13">
        <v>0</v>
      </c>
    </row>
    <row r="110" spans="3:16" s="4" customFormat="1" x14ac:dyDescent="0.3">
      <c r="C110" s="3" t="s">
        <v>308</v>
      </c>
      <c r="D110" s="13">
        <v>0.53855691299999997</v>
      </c>
      <c r="E110" s="13">
        <v>0.61347651800000003</v>
      </c>
      <c r="F110" s="13">
        <v>0.319585956</v>
      </c>
      <c r="G110" s="13">
        <v>0.17648620800000001</v>
      </c>
      <c r="H110" s="13">
        <v>0.24476715700000001</v>
      </c>
      <c r="I110" s="13">
        <v>0.31599473300000003</v>
      </c>
      <c r="J110" s="13">
        <v>3.06</v>
      </c>
      <c r="K110" s="13">
        <v>1.7542284429999999</v>
      </c>
      <c r="L110" s="13">
        <v>1.2766801919999999</v>
      </c>
      <c r="M110" s="13">
        <v>1.4233953779999999</v>
      </c>
      <c r="N110" s="13">
        <v>1.2950017140000001</v>
      </c>
      <c r="O110" s="13">
        <v>0.28104036999999998</v>
      </c>
      <c r="P110" s="13">
        <v>0</v>
      </c>
    </row>
    <row r="111" spans="3:16" s="4" customFormat="1" x14ac:dyDescent="0.3">
      <c r="C111" s="3" t="s">
        <v>309</v>
      </c>
      <c r="D111" s="13">
        <v>0.24703934</v>
      </c>
      <c r="E111" s="13">
        <v>0.22972358200000001</v>
      </c>
      <c r="F111" s="13">
        <v>1.331276E-2</v>
      </c>
      <c r="G111" s="13">
        <v>0</v>
      </c>
      <c r="H111" s="13">
        <v>0.55504896599999998</v>
      </c>
      <c r="I111" s="13">
        <v>0</v>
      </c>
      <c r="J111" s="13">
        <v>0.5</v>
      </c>
      <c r="K111" s="13">
        <v>1.8965254519999999</v>
      </c>
      <c r="L111" s="13">
        <v>0</v>
      </c>
      <c r="M111" s="13">
        <v>0</v>
      </c>
      <c r="N111" s="13">
        <v>0</v>
      </c>
      <c r="O111" s="13">
        <v>0</v>
      </c>
      <c r="P111" s="13">
        <v>0</v>
      </c>
    </row>
    <row r="112" spans="3:16" s="4" customFormat="1" x14ac:dyDescent="0.3">
      <c r="C112" s="3" t="s">
        <v>310</v>
      </c>
      <c r="D112" s="13">
        <v>3.3481570000000002E-2</v>
      </c>
      <c r="E112" s="13">
        <v>5.6993437000000001E-2</v>
      </c>
      <c r="F112" s="13">
        <v>0</v>
      </c>
      <c r="G112" s="13">
        <v>0</v>
      </c>
      <c r="H112" s="13">
        <v>0</v>
      </c>
      <c r="I112" s="13">
        <v>0</v>
      </c>
      <c r="J112" s="13">
        <v>0</v>
      </c>
      <c r="K112" s="13">
        <v>0</v>
      </c>
      <c r="L112" s="13">
        <v>0</v>
      </c>
      <c r="M112" s="13">
        <v>0</v>
      </c>
      <c r="N112" s="13">
        <v>0</v>
      </c>
      <c r="O112" s="13">
        <v>0</v>
      </c>
      <c r="P112" s="13">
        <v>0</v>
      </c>
    </row>
    <row r="113" spans="3:16" s="4" customFormat="1" x14ac:dyDescent="0.3">
      <c r="C113" s="3" t="s">
        <v>311</v>
      </c>
      <c r="D113" s="13">
        <v>0</v>
      </c>
      <c r="E113" s="13">
        <v>0</v>
      </c>
      <c r="F113" s="13">
        <v>0</v>
      </c>
      <c r="G113" s="13">
        <v>0</v>
      </c>
      <c r="H113" s="13">
        <v>0</v>
      </c>
      <c r="I113" s="13">
        <v>0</v>
      </c>
      <c r="J113" s="13">
        <v>0</v>
      </c>
      <c r="K113" s="13">
        <v>0</v>
      </c>
      <c r="L113" s="13">
        <v>0</v>
      </c>
      <c r="M113" s="13">
        <v>0</v>
      </c>
      <c r="N113" s="13">
        <v>0</v>
      </c>
      <c r="O113" s="13">
        <v>0</v>
      </c>
      <c r="P113" s="13">
        <v>0</v>
      </c>
    </row>
    <row r="114" spans="3:16" s="4" customFormat="1" x14ac:dyDescent="0.3">
      <c r="C114" s="3" t="s">
        <v>312</v>
      </c>
      <c r="D114" s="13">
        <v>2.2114430000000001E-2</v>
      </c>
      <c r="E114" s="13">
        <v>0.01</v>
      </c>
      <c r="F114" s="13">
        <v>2.6830659999999999E-2</v>
      </c>
      <c r="G114" s="13">
        <v>0</v>
      </c>
      <c r="H114" s="13">
        <v>0</v>
      </c>
      <c r="I114" s="13">
        <v>0</v>
      </c>
      <c r="J114" s="13">
        <v>0</v>
      </c>
      <c r="K114" s="13">
        <v>0</v>
      </c>
      <c r="L114" s="13">
        <v>0</v>
      </c>
      <c r="M114" s="13">
        <v>0</v>
      </c>
      <c r="N114" s="13">
        <v>0</v>
      </c>
      <c r="O114" s="13">
        <v>0</v>
      </c>
      <c r="P114" s="13">
        <v>0</v>
      </c>
    </row>
    <row r="115" spans="3:16" s="4" customFormat="1" x14ac:dyDescent="0.3">
      <c r="C115" s="3" t="s">
        <v>313</v>
      </c>
      <c r="D115" s="13">
        <v>0</v>
      </c>
      <c r="E115" s="13">
        <v>0</v>
      </c>
      <c r="F115" s="13">
        <v>0</v>
      </c>
      <c r="G115" s="13">
        <v>0</v>
      </c>
      <c r="H115" s="13">
        <v>0</v>
      </c>
      <c r="I115" s="13">
        <v>0</v>
      </c>
      <c r="J115" s="13">
        <v>0</v>
      </c>
      <c r="K115" s="13">
        <v>0</v>
      </c>
      <c r="L115" s="13">
        <v>0</v>
      </c>
      <c r="M115" s="13">
        <v>8.8999999999999996E-2</v>
      </c>
      <c r="N115" s="13">
        <v>6.9000000000000006E-2</v>
      </c>
      <c r="O115" s="13">
        <v>0</v>
      </c>
      <c r="P115" s="13">
        <v>0</v>
      </c>
    </row>
    <row r="116" spans="3:16" s="4" customFormat="1" x14ac:dyDescent="0.3">
      <c r="C116" s="3" t="s">
        <v>314</v>
      </c>
      <c r="D116" s="13">
        <v>0</v>
      </c>
      <c r="E116" s="13">
        <v>0</v>
      </c>
      <c r="F116" s="13">
        <v>0</v>
      </c>
      <c r="G116" s="13">
        <v>0</v>
      </c>
      <c r="H116" s="13">
        <v>0</v>
      </c>
      <c r="I116" s="13">
        <v>0</v>
      </c>
      <c r="J116" s="13">
        <v>0</v>
      </c>
      <c r="K116" s="13">
        <v>0</v>
      </c>
      <c r="L116" s="13">
        <v>0</v>
      </c>
      <c r="M116" s="13">
        <v>0</v>
      </c>
      <c r="N116" s="13">
        <v>0</v>
      </c>
      <c r="O116" s="13">
        <v>0</v>
      </c>
      <c r="P116" s="13">
        <v>0</v>
      </c>
    </row>
    <row r="117" spans="3:16" s="4" customFormat="1" x14ac:dyDescent="0.3">
      <c r="C117" s="3" t="s">
        <v>266</v>
      </c>
      <c r="D117" s="13">
        <v>1.378750666</v>
      </c>
      <c r="E117" s="13">
        <v>2.9110814359999999</v>
      </c>
      <c r="F117" s="13">
        <v>2.6928834699999999</v>
      </c>
      <c r="G117" s="13">
        <v>1.1744660069999999</v>
      </c>
      <c r="H117" s="13">
        <v>4.1170020789999997</v>
      </c>
      <c r="I117" s="13">
        <v>3.1723790159999998</v>
      </c>
      <c r="J117" s="13">
        <v>68.069999999999993</v>
      </c>
      <c r="K117" s="13">
        <v>111.21429914799999</v>
      </c>
      <c r="L117" s="13">
        <v>90.020580116000005</v>
      </c>
      <c r="M117" s="13">
        <v>88.357207539000001</v>
      </c>
      <c r="N117" s="13">
        <v>84.014452147</v>
      </c>
      <c r="O117" s="13">
        <v>80.690868834</v>
      </c>
      <c r="P117" s="13">
        <v>0</v>
      </c>
    </row>
    <row r="118" spans="3:16" s="4" customFormat="1" x14ac:dyDescent="0.3">
      <c r="C118" s="3" t="s">
        <v>315</v>
      </c>
      <c r="D118" s="13">
        <v>39.771336955999999</v>
      </c>
      <c r="E118" s="13">
        <v>23.998282774</v>
      </c>
      <c r="F118" s="13">
        <v>25.022849962999999</v>
      </c>
      <c r="G118" s="13">
        <v>0</v>
      </c>
      <c r="H118" s="13">
        <v>37.201502187000003</v>
      </c>
      <c r="I118" s="13">
        <v>35.595277428999999</v>
      </c>
      <c r="J118" s="13">
        <v>0</v>
      </c>
      <c r="K118" s="13">
        <v>0</v>
      </c>
      <c r="L118" s="13">
        <v>0</v>
      </c>
      <c r="M118" s="13">
        <v>0</v>
      </c>
      <c r="N118" s="13">
        <v>65.452849999999998</v>
      </c>
      <c r="O118" s="13">
        <v>65.452849999999998</v>
      </c>
      <c r="P118" s="13">
        <v>0</v>
      </c>
    </row>
    <row r="119" spans="3:16" s="4" customFormat="1" x14ac:dyDescent="0.3">
      <c r="C119" s="3" t="s">
        <v>316</v>
      </c>
      <c r="D119" s="13">
        <v>35.310410306999998</v>
      </c>
      <c r="E119" s="13">
        <v>23.998282774</v>
      </c>
      <c r="F119" s="13">
        <v>21.300923313999998</v>
      </c>
      <c r="G119" s="13">
        <v>0</v>
      </c>
      <c r="H119" s="13">
        <v>33.594575538000001</v>
      </c>
      <c r="I119" s="13">
        <v>31.948350779999998</v>
      </c>
      <c r="J119" s="13">
        <v>0</v>
      </c>
      <c r="K119" s="13">
        <v>0</v>
      </c>
      <c r="L119" s="13">
        <v>0</v>
      </c>
      <c r="M119" s="13">
        <v>0</v>
      </c>
      <c r="N119" s="13">
        <v>65.452849999999998</v>
      </c>
      <c r="O119" s="13">
        <v>65.452849999999998</v>
      </c>
      <c r="P119" s="13">
        <v>0</v>
      </c>
    </row>
    <row r="120" spans="3:16" s="4" customFormat="1" x14ac:dyDescent="0.3">
      <c r="C120" s="3" t="s">
        <v>317</v>
      </c>
      <c r="D120" s="13">
        <v>4.4609266490000001</v>
      </c>
      <c r="E120" s="13">
        <v>0</v>
      </c>
      <c r="F120" s="13">
        <v>3.7219266489999998</v>
      </c>
      <c r="G120" s="13">
        <v>0</v>
      </c>
      <c r="H120" s="13">
        <v>3.606926649</v>
      </c>
      <c r="I120" s="13">
        <v>3.6469266490000001</v>
      </c>
      <c r="J120" s="13">
        <v>0</v>
      </c>
      <c r="K120" s="13">
        <v>0</v>
      </c>
      <c r="L120" s="13">
        <v>0</v>
      </c>
      <c r="M120" s="13">
        <v>0</v>
      </c>
      <c r="N120" s="13">
        <v>0</v>
      </c>
      <c r="O120" s="13">
        <v>0</v>
      </c>
      <c r="P120" s="13">
        <v>0</v>
      </c>
    </row>
    <row r="121" spans="3:16" s="4" customFormat="1" x14ac:dyDescent="0.3">
      <c r="C121" s="3" t="s">
        <v>318</v>
      </c>
      <c r="D121" s="13">
        <v>0</v>
      </c>
      <c r="E121" s="13">
        <v>0</v>
      </c>
      <c r="F121" s="13">
        <v>0</v>
      </c>
      <c r="G121" s="13">
        <v>0</v>
      </c>
      <c r="H121" s="13">
        <v>0</v>
      </c>
      <c r="I121" s="13">
        <v>0</v>
      </c>
      <c r="J121" s="13">
        <v>0</v>
      </c>
      <c r="K121" s="13">
        <v>0</v>
      </c>
      <c r="L121" s="13">
        <v>0</v>
      </c>
      <c r="M121" s="13">
        <v>0</v>
      </c>
      <c r="N121" s="13">
        <v>0</v>
      </c>
      <c r="O121" s="13">
        <v>0</v>
      </c>
      <c r="P121" s="13">
        <v>0</v>
      </c>
    </row>
    <row r="122" spans="3:16" s="4" customFormat="1" x14ac:dyDescent="0.3">
      <c r="C122" s="3" t="s">
        <v>319</v>
      </c>
      <c r="D122" s="13">
        <v>0</v>
      </c>
      <c r="E122" s="13">
        <v>0</v>
      </c>
      <c r="F122" s="13">
        <v>0</v>
      </c>
      <c r="G122" s="13">
        <v>0</v>
      </c>
      <c r="H122" s="13">
        <v>0</v>
      </c>
      <c r="I122" s="13">
        <v>0</v>
      </c>
      <c r="J122" s="13">
        <v>0</v>
      </c>
      <c r="K122" s="13">
        <v>0</v>
      </c>
      <c r="L122" s="13">
        <v>0</v>
      </c>
      <c r="M122" s="13">
        <v>0</v>
      </c>
      <c r="N122" s="13">
        <v>0</v>
      </c>
      <c r="O122" s="13">
        <v>0</v>
      </c>
      <c r="P122" s="13">
        <v>0</v>
      </c>
    </row>
    <row r="123" spans="3:16" s="4" customFormat="1" x14ac:dyDescent="0.3">
      <c r="C123" s="3" t="s">
        <v>320</v>
      </c>
      <c r="D123" s="13">
        <v>0</v>
      </c>
      <c r="E123" s="13">
        <v>0</v>
      </c>
      <c r="F123" s="13">
        <v>0</v>
      </c>
      <c r="G123" s="13">
        <v>0</v>
      </c>
      <c r="H123" s="13">
        <v>0</v>
      </c>
      <c r="I123" s="13">
        <v>0</v>
      </c>
      <c r="J123" s="13">
        <v>0</v>
      </c>
      <c r="K123" s="13">
        <v>0</v>
      </c>
      <c r="L123" s="13">
        <v>0</v>
      </c>
      <c r="M123" s="13">
        <v>0</v>
      </c>
      <c r="N123" s="13">
        <v>0</v>
      </c>
      <c r="O123" s="13">
        <v>0</v>
      </c>
      <c r="P123" s="13">
        <v>0</v>
      </c>
    </row>
    <row r="124" spans="3:16" s="4" customFormat="1" x14ac:dyDescent="0.3">
      <c r="C124" s="3" t="s">
        <v>321</v>
      </c>
      <c r="D124" s="13">
        <v>59.999400000000001</v>
      </c>
      <c r="E124" s="13">
        <v>85.997600000000006</v>
      </c>
      <c r="F124" s="13">
        <v>120.00646</v>
      </c>
      <c r="G124" s="13">
        <v>0</v>
      </c>
      <c r="H124" s="13">
        <v>120.00646</v>
      </c>
      <c r="I124" s="13">
        <v>0</v>
      </c>
      <c r="J124" s="13">
        <v>0</v>
      </c>
      <c r="K124" s="13">
        <v>0</v>
      </c>
      <c r="L124" s="13">
        <v>0</v>
      </c>
      <c r="M124" s="13">
        <v>523.79</v>
      </c>
      <c r="N124" s="13">
        <v>0</v>
      </c>
      <c r="O124" s="13">
        <v>523.79</v>
      </c>
      <c r="P124" s="13">
        <v>0</v>
      </c>
    </row>
    <row r="125" spans="3:16" s="4" customFormat="1" x14ac:dyDescent="0.3">
      <c r="C125" s="3" t="s">
        <v>322</v>
      </c>
      <c r="D125" s="13">
        <v>8.3490000000000002</v>
      </c>
      <c r="E125" s="13">
        <v>11.966900000000001</v>
      </c>
      <c r="F125" s="13">
        <v>16.101459999999999</v>
      </c>
      <c r="G125" s="13">
        <v>0</v>
      </c>
      <c r="H125" s="13">
        <v>16.101459999999999</v>
      </c>
      <c r="I125" s="13">
        <v>0</v>
      </c>
      <c r="J125" s="13">
        <v>0</v>
      </c>
      <c r="K125" s="13">
        <v>0</v>
      </c>
      <c r="L125" s="13">
        <v>0</v>
      </c>
      <c r="M125" s="13">
        <v>69.849549999999994</v>
      </c>
      <c r="N125" s="13">
        <v>0</v>
      </c>
      <c r="O125" s="13">
        <v>0</v>
      </c>
      <c r="P125" s="13">
        <v>0</v>
      </c>
    </row>
    <row r="126" spans="3:16" s="4" customFormat="1" x14ac:dyDescent="0.3">
      <c r="C126" s="3" t="s">
        <v>323</v>
      </c>
      <c r="D126" s="13">
        <v>51.650399999999998</v>
      </c>
      <c r="E126" s="13">
        <v>74.030699999999996</v>
      </c>
      <c r="F126" s="13">
        <v>103.905</v>
      </c>
      <c r="G126" s="13">
        <v>0</v>
      </c>
      <c r="H126" s="13">
        <v>103.905</v>
      </c>
      <c r="I126" s="13">
        <v>0</v>
      </c>
      <c r="J126" s="13">
        <v>0</v>
      </c>
      <c r="K126" s="13">
        <v>0</v>
      </c>
      <c r="L126" s="13">
        <v>0</v>
      </c>
      <c r="M126" s="13">
        <v>453.94045</v>
      </c>
      <c r="N126" s="13">
        <v>0</v>
      </c>
      <c r="O126" s="13">
        <v>523.79</v>
      </c>
      <c r="P126" s="13">
        <v>0</v>
      </c>
    </row>
    <row r="127" spans="3:16" s="4" customFormat="1" x14ac:dyDescent="0.3">
      <c r="C127" s="3" t="s">
        <v>324</v>
      </c>
      <c r="D127" s="13">
        <v>1365.039478852</v>
      </c>
      <c r="E127" s="13">
        <v>1649.638422597</v>
      </c>
      <c r="F127" s="13">
        <v>1786.893586205</v>
      </c>
      <c r="G127" s="13">
        <v>1739.0176968650001</v>
      </c>
      <c r="H127" s="13">
        <v>2145.0328742679999</v>
      </c>
      <c r="I127" s="13">
        <v>2452.8286199270001</v>
      </c>
      <c r="J127" s="13">
        <v>1266.1500000000001</v>
      </c>
      <c r="K127" s="14">
        <v>1442.509289677</v>
      </c>
      <c r="L127" s="13">
        <v>1459.521443028</v>
      </c>
      <c r="M127" s="13">
        <v>0</v>
      </c>
      <c r="N127" s="13">
        <v>1321.0062295600001</v>
      </c>
      <c r="O127" s="13">
        <v>1329.775162011</v>
      </c>
      <c r="P127" s="13">
        <v>0</v>
      </c>
    </row>
    <row r="128" spans="3:16" s="4" customFormat="1" x14ac:dyDescent="0.3">
      <c r="C128" s="3" t="s">
        <v>325</v>
      </c>
      <c r="D128" s="13">
        <v>1321.8008046580001</v>
      </c>
      <c r="E128" s="13">
        <v>1598.2869289939999</v>
      </c>
      <c r="F128" s="13">
        <v>1719.156527328</v>
      </c>
      <c r="G128" s="13">
        <v>1668.8385393420001</v>
      </c>
      <c r="H128" s="13">
        <v>2064.8599402149998</v>
      </c>
      <c r="I128" s="13">
        <v>2365.1048867919999</v>
      </c>
      <c r="J128" s="13">
        <v>1266.1500000000001</v>
      </c>
      <c r="K128" s="13">
        <v>1442.509289677</v>
      </c>
      <c r="L128" s="13">
        <v>1459.521443028</v>
      </c>
      <c r="M128" s="13">
        <v>0</v>
      </c>
      <c r="N128" s="13">
        <v>1321.0062295600001</v>
      </c>
      <c r="O128" s="13">
        <v>1329.775162011</v>
      </c>
      <c r="P128" s="13">
        <v>0</v>
      </c>
    </row>
    <row r="129" spans="3:16" s="4" customFormat="1" x14ac:dyDescent="0.3">
      <c r="C129" s="3" t="s">
        <v>326</v>
      </c>
      <c r="D129" s="13">
        <v>43.238674193999998</v>
      </c>
      <c r="E129" s="13">
        <v>51.351493603000002</v>
      </c>
      <c r="F129" s="13">
        <v>67.737058876999996</v>
      </c>
      <c r="G129" s="13">
        <v>70.179157523000001</v>
      </c>
      <c r="H129" s="13">
        <v>80.172934053000006</v>
      </c>
      <c r="I129" s="13">
        <v>87.723733135000003</v>
      </c>
      <c r="J129" s="13">
        <v>0</v>
      </c>
      <c r="K129" s="13">
        <v>0</v>
      </c>
      <c r="L129" s="13">
        <v>0</v>
      </c>
      <c r="M129" s="13">
        <v>0</v>
      </c>
      <c r="N129" s="13">
        <v>0</v>
      </c>
      <c r="O129" s="13">
        <v>0</v>
      </c>
      <c r="P129" s="13">
        <v>0</v>
      </c>
    </row>
    <row r="130" spans="3:16" s="4" customFormat="1" x14ac:dyDescent="0.3">
      <c r="C130" s="3" t="s">
        <v>327</v>
      </c>
      <c r="D130" s="13">
        <v>0</v>
      </c>
      <c r="E130" s="13">
        <v>0</v>
      </c>
      <c r="F130" s="13">
        <v>0</v>
      </c>
      <c r="G130" s="13">
        <v>0</v>
      </c>
      <c r="H130" s="13">
        <v>0</v>
      </c>
      <c r="I130" s="13">
        <v>0</v>
      </c>
      <c r="J130" s="13">
        <v>0</v>
      </c>
      <c r="K130" s="13">
        <v>0</v>
      </c>
      <c r="L130" s="13">
        <v>0</v>
      </c>
      <c r="M130" s="13">
        <v>0</v>
      </c>
      <c r="N130" s="13">
        <v>0</v>
      </c>
      <c r="O130" s="13">
        <v>0</v>
      </c>
      <c r="P130" s="13">
        <v>0</v>
      </c>
    </row>
    <row r="131" spans="3:16" s="4" customFormat="1" x14ac:dyDescent="0.3">
      <c r="C131" s="3" t="s">
        <v>328</v>
      </c>
      <c r="D131" s="13">
        <v>2.2321603720000001</v>
      </c>
      <c r="E131" s="13">
        <v>3.641640073</v>
      </c>
      <c r="F131" s="13">
        <v>2.540298264</v>
      </c>
      <c r="G131" s="13">
        <v>0.49021098800000001</v>
      </c>
      <c r="H131" s="13">
        <v>0.868165615</v>
      </c>
      <c r="I131" s="13">
        <v>0.94931483400000005</v>
      </c>
      <c r="J131" s="13">
        <v>41.08</v>
      </c>
      <c r="K131" s="13">
        <v>57.607455139000002</v>
      </c>
      <c r="L131" s="13">
        <v>71.294044620999998</v>
      </c>
      <c r="M131" s="13">
        <v>0</v>
      </c>
      <c r="N131" s="13">
        <v>59.277208076000001</v>
      </c>
      <c r="O131" s="13">
        <v>72.822790467999994</v>
      </c>
      <c r="P131" s="13">
        <v>0</v>
      </c>
    </row>
    <row r="132" spans="3:16" s="4" customFormat="1" x14ac:dyDescent="0.3">
      <c r="C132" s="3" t="s">
        <v>329</v>
      </c>
      <c r="D132" s="13">
        <v>0</v>
      </c>
      <c r="E132" s="13">
        <v>0</v>
      </c>
      <c r="F132" s="13">
        <v>0</v>
      </c>
      <c r="G132" s="13">
        <v>0</v>
      </c>
      <c r="H132" s="13">
        <v>0</v>
      </c>
      <c r="I132" s="13">
        <v>0</v>
      </c>
      <c r="J132" s="13">
        <v>21.39</v>
      </c>
      <c r="K132" s="13">
        <v>50.880535932000001</v>
      </c>
      <c r="L132" s="13">
        <v>61.569442928999997</v>
      </c>
      <c r="M132" s="13">
        <v>0</v>
      </c>
      <c r="N132" s="13">
        <v>47.045530786</v>
      </c>
      <c r="O132" s="13">
        <v>69.216474652000002</v>
      </c>
      <c r="P132" s="13">
        <v>0</v>
      </c>
    </row>
    <row r="133" spans="3:16" s="4" customFormat="1" x14ac:dyDescent="0.3">
      <c r="C133" s="3" t="s">
        <v>330</v>
      </c>
      <c r="D133" s="13">
        <v>0</v>
      </c>
      <c r="E133" s="13">
        <v>3.641640073</v>
      </c>
      <c r="F133" s="13">
        <v>1.344704E-2</v>
      </c>
      <c r="G133" s="13">
        <v>0.112268853</v>
      </c>
      <c r="H133" s="13">
        <v>0.78539625800000001</v>
      </c>
      <c r="I133" s="13">
        <v>0</v>
      </c>
      <c r="J133" s="13">
        <v>2</v>
      </c>
      <c r="K133" s="13">
        <v>0.24099897000000001</v>
      </c>
      <c r="L133" s="13">
        <v>0.32208291500000003</v>
      </c>
      <c r="M133" s="13">
        <v>0</v>
      </c>
      <c r="N133" s="13">
        <v>8.0121710739999994</v>
      </c>
      <c r="O133" s="13">
        <v>0</v>
      </c>
      <c r="P133" s="13">
        <v>0</v>
      </c>
    </row>
    <row r="134" spans="3:16" s="4" customFormat="1" x14ac:dyDescent="0.3">
      <c r="C134" s="3" t="s">
        <v>331</v>
      </c>
      <c r="D134" s="13">
        <v>2.2321603720000001</v>
      </c>
      <c r="E134" s="13">
        <v>0</v>
      </c>
      <c r="F134" s="13">
        <v>2.5268512240000001</v>
      </c>
      <c r="G134" s="13">
        <v>0.37794213500000001</v>
      </c>
      <c r="H134" s="13">
        <v>8.2769357000000002E-2</v>
      </c>
      <c r="I134" s="13">
        <v>0.94931483400000005</v>
      </c>
      <c r="J134" s="13">
        <v>17.7</v>
      </c>
      <c r="K134" s="13">
        <v>6.4859202370000002</v>
      </c>
      <c r="L134" s="13">
        <v>9.4025187769999992</v>
      </c>
      <c r="M134" s="13">
        <v>0</v>
      </c>
      <c r="N134" s="13">
        <v>4.2195062160000001</v>
      </c>
      <c r="O134" s="13">
        <v>3.606315816</v>
      </c>
      <c r="P134" s="13">
        <v>0</v>
      </c>
    </row>
    <row r="135" spans="3:16" s="4" customFormat="1" x14ac:dyDescent="0.3">
      <c r="C135" s="3" t="s">
        <v>332</v>
      </c>
      <c r="D135" s="13">
        <v>0</v>
      </c>
      <c r="E135" s="13">
        <v>0</v>
      </c>
      <c r="F135" s="13">
        <v>0</v>
      </c>
      <c r="G135" s="13">
        <v>0</v>
      </c>
      <c r="H135" s="13">
        <v>0</v>
      </c>
      <c r="I135" s="13">
        <v>0</v>
      </c>
      <c r="J135" s="13">
        <v>0</v>
      </c>
      <c r="K135" s="13">
        <v>0</v>
      </c>
      <c r="L135" s="13">
        <v>0</v>
      </c>
      <c r="M135" s="13">
        <v>0</v>
      </c>
      <c r="N135" s="13">
        <v>0</v>
      </c>
      <c r="O135" s="13">
        <v>0</v>
      </c>
      <c r="P135" s="13">
        <v>0</v>
      </c>
    </row>
    <row r="136" spans="3:16" s="4" customFormat="1" x14ac:dyDescent="0.3">
      <c r="C136" s="3" t="s">
        <v>333</v>
      </c>
      <c r="D136" s="13">
        <v>0</v>
      </c>
      <c r="E136" s="13">
        <v>0</v>
      </c>
      <c r="F136" s="13">
        <v>0</v>
      </c>
      <c r="G136" s="13">
        <v>0</v>
      </c>
      <c r="H136" s="13">
        <v>0</v>
      </c>
      <c r="I136" s="13">
        <v>0</v>
      </c>
      <c r="J136" s="13">
        <v>0</v>
      </c>
      <c r="K136" s="13">
        <v>0</v>
      </c>
      <c r="L136" s="13">
        <v>0</v>
      </c>
      <c r="M136" s="13">
        <v>0</v>
      </c>
      <c r="N136" s="13">
        <v>0</v>
      </c>
      <c r="O136" s="13">
        <v>0</v>
      </c>
      <c r="P136" s="13">
        <v>0</v>
      </c>
    </row>
    <row r="137" spans="3:16" s="4" customFormat="1" x14ac:dyDescent="0.3">
      <c r="C137" s="3" t="s">
        <v>334</v>
      </c>
      <c r="D137" s="13">
        <v>0</v>
      </c>
      <c r="E137" s="13">
        <v>0</v>
      </c>
      <c r="F137" s="13">
        <v>0</v>
      </c>
      <c r="G137" s="13">
        <v>0</v>
      </c>
      <c r="H137" s="13">
        <v>0</v>
      </c>
      <c r="I137" s="13">
        <v>0</v>
      </c>
      <c r="J137" s="13">
        <v>0</v>
      </c>
      <c r="K137" s="13">
        <v>0</v>
      </c>
      <c r="L137" s="13">
        <v>0</v>
      </c>
      <c r="M137" s="13">
        <v>0</v>
      </c>
      <c r="N137" s="13">
        <v>0</v>
      </c>
      <c r="O137" s="13">
        <v>0</v>
      </c>
      <c r="P137" s="13">
        <v>0</v>
      </c>
    </row>
    <row r="138" spans="3:16" s="4" customFormat="1" x14ac:dyDescent="0.3">
      <c r="C138" s="3" t="s">
        <v>335</v>
      </c>
      <c r="D138" s="13">
        <v>1238.455062987</v>
      </c>
      <c r="E138" s="13">
        <v>1469.5634016470001</v>
      </c>
      <c r="F138" s="13">
        <v>1554.1666793280001</v>
      </c>
      <c r="G138" s="13">
        <v>1520.0935597499999</v>
      </c>
      <c r="H138" s="13">
        <v>1869.071904056</v>
      </c>
      <c r="I138" s="13">
        <v>2128.8437159710002</v>
      </c>
      <c r="J138" s="13">
        <v>773.08</v>
      </c>
      <c r="K138" s="13">
        <v>875.70243685100002</v>
      </c>
      <c r="L138" s="13">
        <v>897.55493153600003</v>
      </c>
      <c r="M138" s="13">
        <v>972.89627893099998</v>
      </c>
      <c r="N138" s="13">
        <v>846.93308036400003</v>
      </c>
      <c r="O138" s="13">
        <v>765.81309361800004</v>
      </c>
      <c r="P138" s="13">
        <v>0</v>
      </c>
    </row>
    <row r="139" spans="3:16" s="4" customFormat="1" x14ac:dyDescent="0.3">
      <c r="C139" s="3" t="s">
        <v>336</v>
      </c>
      <c r="D139" s="13">
        <v>1201.1146249789999</v>
      </c>
      <c r="E139" s="13">
        <v>1444.2393998330001</v>
      </c>
      <c r="F139" s="13">
        <v>1500.9158565289999</v>
      </c>
      <c r="G139" s="13">
        <v>1464.1038496169999</v>
      </c>
      <c r="H139" s="13">
        <v>983.83432957900004</v>
      </c>
      <c r="I139" s="13">
        <v>2057.3809853920002</v>
      </c>
      <c r="J139" s="13">
        <v>773.08</v>
      </c>
      <c r="K139" s="13">
        <v>875.70243685100002</v>
      </c>
      <c r="L139" s="13">
        <v>897.55493153600003</v>
      </c>
      <c r="M139" s="13">
        <v>972.89627893099998</v>
      </c>
      <c r="N139" s="13">
        <v>846.93308036400003</v>
      </c>
      <c r="O139" s="13">
        <v>765.81309361800004</v>
      </c>
      <c r="P139" s="13">
        <v>0</v>
      </c>
    </row>
    <row r="140" spans="3:16" s="4" customFormat="1" x14ac:dyDescent="0.3">
      <c r="C140" s="3" t="s">
        <v>337</v>
      </c>
      <c r="D140" s="13">
        <v>0</v>
      </c>
      <c r="E140" s="13">
        <v>0</v>
      </c>
      <c r="F140" s="13">
        <v>0</v>
      </c>
      <c r="G140" s="13">
        <v>0</v>
      </c>
      <c r="H140" s="13">
        <v>821.91985601199997</v>
      </c>
      <c r="I140" s="13">
        <v>0</v>
      </c>
      <c r="J140" s="13">
        <v>0</v>
      </c>
      <c r="K140" s="13">
        <v>0</v>
      </c>
      <c r="L140" s="13">
        <v>0</v>
      </c>
      <c r="M140" s="13">
        <v>0</v>
      </c>
      <c r="N140" s="13">
        <v>0</v>
      </c>
      <c r="O140" s="13">
        <v>0</v>
      </c>
      <c r="P140" s="13">
        <v>0</v>
      </c>
    </row>
    <row r="141" spans="3:16" s="4" customFormat="1" x14ac:dyDescent="0.3">
      <c r="C141" s="3" t="s">
        <v>338</v>
      </c>
      <c r="D141" s="13">
        <v>37.340438008</v>
      </c>
      <c r="E141" s="13">
        <v>39.701019809999998</v>
      </c>
      <c r="F141" s="13">
        <v>55.598727081</v>
      </c>
      <c r="G141" s="13">
        <v>56.330320057999998</v>
      </c>
      <c r="H141" s="13">
        <v>63.317718464999999</v>
      </c>
      <c r="I141" s="13">
        <v>71.227577378999996</v>
      </c>
      <c r="J141" s="13">
        <v>0</v>
      </c>
      <c r="K141" s="13">
        <v>0</v>
      </c>
      <c r="L141" s="13">
        <v>0</v>
      </c>
      <c r="M141" s="13">
        <v>0</v>
      </c>
      <c r="N141" s="13">
        <v>0</v>
      </c>
      <c r="O141" s="13">
        <v>0</v>
      </c>
      <c r="P141" s="13">
        <v>0</v>
      </c>
    </row>
    <row r="142" spans="3:16" s="4" customFormat="1" x14ac:dyDescent="0.3">
      <c r="C142" s="3" t="s">
        <v>339</v>
      </c>
      <c r="D142" s="13">
        <v>0</v>
      </c>
      <c r="E142" s="13">
        <v>0</v>
      </c>
      <c r="F142" s="13">
        <v>0</v>
      </c>
      <c r="G142" s="13">
        <v>0</v>
      </c>
      <c r="H142" s="13">
        <v>0</v>
      </c>
      <c r="I142" s="13">
        <v>0</v>
      </c>
      <c r="J142" s="13">
        <v>0</v>
      </c>
      <c r="K142" s="13">
        <v>0</v>
      </c>
      <c r="L142" s="13">
        <v>0</v>
      </c>
      <c r="M142" s="13">
        <v>0</v>
      </c>
      <c r="N142" s="13">
        <v>0</v>
      </c>
      <c r="O142" s="13">
        <v>0</v>
      </c>
      <c r="P142" s="13">
        <v>0</v>
      </c>
    </row>
    <row r="143" spans="3:16" s="4" customFormat="1" x14ac:dyDescent="0.3">
      <c r="C143" s="3" t="s">
        <v>340</v>
      </c>
      <c r="D143" s="13">
        <v>0</v>
      </c>
      <c r="E143" s="13">
        <v>0</v>
      </c>
      <c r="F143" s="13">
        <v>0</v>
      </c>
      <c r="G143" s="13">
        <v>0</v>
      </c>
      <c r="H143" s="13">
        <v>0</v>
      </c>
      <c r="I143" s="13">
        <v>0</v>
      </c>
      <c r="J143" s="13">
        <v>0</v>
      </c>
      <c r="K143" s="13">
        <v>0</v>
      </c>
      <c r="L143" s="13">
        <v>0</v>
      </c>
      <c r="M143" s="13">
        <v>0</v>
      </c>
      <c r="N143" s="13">
        <v>0</v>
      </c>
      <c r="O143" s="13">
        <v>0</v>
      </c>
      <c r="P143" s="13">
        <v>0</v>
      </c>
    </row>
    <row r="144" spans="3:16" s="4" customFormat="1" x14ac:dyDescent="0.3">
      <c r="C144" s="3" t="s">
        <v>341</v>
      </c>
      <c r="D144" s="13">
        <v>0</v>
      </c>
      <c r="E144" s="13">
        <v>0</v>
      </c>
      <c r="F144" s="13">
        <v>0</v>
      </c>
      <c r="G144" s="13">
        <v>0</v>
      </c>
      <c r="H144" s="13">
        <v>0</v>
      </c>
      <c r="I144" s="13">
        <v>0</v>
      </c>
      <c r="J144" s="13">
        <v>0</v>
      </c>
      <c r="K144" s="13">
        <v>0</v>
      </c>
      <c r="L144" s="13">
        <v>0</v>
      </c>
      <c r="M144" s="13">
        <v>0</v>
      </c>
      <c r="N144" s="13">
        <v>0</v>
      </c>
      <c r="O144" s="13">
        <v>0</v>
      </c>
      <c r="P144" s="13">
        <v>0</v>
      </c>
    </row>
    <row r="145" spans="3:16" s="4" customFormat="1" x14ac:dyDescent="0.3">
      <c r="C145" s="3" t="s">
        <v>342</v>
      </c>
      <c r="D145" s="13">
        <v>0</v>
      </c>
      <c r="E145" s="13">
        <v>0</v>
      </c>
      <c r="F145" s="13">
        <v>0</v>
      </c>
      <c r="G145" s="13">
        <v>0</v>
      </c>
      <c r="H145" s="13">
        <v>0</v>
      </c>
      <c r="I145" s="13">
        <v>0</v>
      </c>
      <c r="J145" s="13">
        <v>0</v>
      </c>
      <c r="K145" s="13">
        <v>0</v>
      </c>
      <c r="L145" s="13">
        <v>0</v>
      </c>
      <c r="M145" s="13">
        <v>0</v>
      </c>
      <c r="N145" s="13">
        <v>0</v>
      </c>
      <c r="O145" s="13">
        <v>0</v>
      </c>
      <c r="P145" s="13">
        <v>0</v>
      </c>
    </row>
    <row r="146" spans="3:16" s="4" customFormat="1" x14ac:dyDescent="0.3">
      <c r="C146" s="3" t="s">
        <v>343</v>
      </c>
      <c r="D146" s="13">
        <v>0</v>
      </c>
      <c r="E146" s="13">
        <v>-14.377017995999999</v>
      </c>
      <c r="F146" s="13">
        <v>-2.347904282</v>
      </c>
      <c r="G146" s="13">
        <v>-0.34060992499999998</v>
      </c>
      <c r="H146" s="13">
        <v>0</v>
      </c>
      <c r="I146" s="13">
        <v>0.23515320000000001</v>
      </c>
      <c r="J146" s="13">
        <v>0</v>
      </c>
      <c r="K146" s="13">
        <v>0</v>
      </c>
      <c r="L146" s="13">
        <v>0</v>
      </c>
      <c r="M146" s="13">
        <v>0</v>
      </c>
      <c r="N146" s="13">
        <v>0</v>
      </c>
      <c r="O146" s="13">
        <v>0</v>
      </c>
      <c r="P146" s="13">
        <v>0</v>
      </c>
    </row>
    <row r="147" spans="3:16" s="4" customFormat="1" x14ac:dyDescent="0.3">
      <c r="C147" s="3" t="s">
        <v>344</v>
      </c>
      <c r="D147" s="13">
        <v>11.540749590000001</v>
      </c>
      <c r="E147" s="13">
        <v>6.2530332929999997</v>
      </c>
      <c r="F147" s="13">
        <v>7.5311206840000002</v>
      </c>
      <c r="G147" s="13">
        <v>5.8551250350000004</v>
      </c>
      <c r="H147" s="13">
        <v>3.6704648030000002</v>
      </c>
      <c r="I147" s="13">
        <v>4.2809301020000001</v>
      </c>
      <c r="J147" s="13">
        <v>17.714871417000001</v>
      </c>
      <c r="K147" s="13">
        <v>16.21</v>
      </c>
      <c r="L147" s="13">
        <v>18.773405464</v>
      </c>
      <c r="M147" s="13">
        <v>16.074493083</v>
      </c>
      <c r="N147" s="13">
        <v>13.251129167</v>
      </c>
      <c r="O147" s="13">
        <v>7.751782188</v>
      </c>
      <c r="P147" s="13">
        <v>6.3201838529999996</v>
      </c>
    </row>
    <row r="148" spans="3:16" s="4" customFormat="1" x14ac:dyDescent="0.3">
      <c r="C148" s="3" t="s">
        <v>345</v>
      </c>
      <c r="D148" s="13">
        <v>0.71592859799999997</v>
      </c>
      <c r="E148" s="13">
        <v>0.34265612600000001</v>
      </c>
      <c r="F148" s="13">
        <v>0.52234515500000001</v>
      </c>
      <c r="G148" s="13">
        <v>1.8393689019999999</v>
      </c>
      <c r="H148" s="13">
        <v>1.0667335579999999</v>
      </c>
      <c r="I148" s="13">
        <v>1.3775034230000001</v>
      </c>
      <c r="J148" s="13">
        <v>10.617685454</v>
      </c>
      <c r="K148" s="13">
        <v>14.798432089</v>
      </c>
      <c r="L148" s="13">
        <v>16.871726163000002</v>
      </c>
      <c r="M148" s="13">
        <v>15.03360996</v>
      </c>
      <c r="N148" s="13">
        <v>11.915986669</v>
      </c>
      <c r="O148" s="13">
        <v>6.1646358330000002</v>
      </c>
      <c r="P148" s="13">
        <v>5.1374799729999996</v>
      </c>
    </row>
    <row r="149" spans="3:16" s="4" customFormat="1" x14ac:dyDescent="0.3">
      <c r="C149" s="3" t="s">
        <v>346</v>
      </c>
      <c r="D149" s="13">
        <v>0.231229975</v>
      </c>
      <c r="E149" s="13">
        <v>5.8740639999999997E-2</v>
      </c>
      <c r="F149" s="13">
        <v>4.7910000000000001E-3</v>
      </c>
      <c r="G149" s="13">
        <v>0</v>
      </c>
      <c r="H149" s="13">
        <v>0</v>
      </c>
      <c r="I149" s="13">
        <v>0</v>
      </c>
      <c r="J149" s="13">
        <v>0</v>
      </c>
      <c r="K149" s="13">
        <v>0</v>
      </c>
      <c r="L149" s="13">
        <v>0</v>
      </c>
      <c r="M149" s="13">
        <v>0</v>
      </c>
      <c r="N149" s="13">
        <v>0</v>
      </c>
      <c r="O149" s="13">
        <v>0</v>
      </c>
      <c r="P149" s="13">
        <v>0</v>
      </c>
    </row>
    <row r="150" spans="3:16" s="4" customFormat="1" x14ac:dyDescent="0.3">
      <c r="C150" s="3" t="s">
        <v>347</v>
      </c>
      <c r="D150" s="13">
        <v>0.10116459999999999</v>
      </c>
      <c r="E150" s="13">
        <v>0.14390649999999999</v>
      </c>
      <c r="F150" s="13">
        <v>0.145326699</v>
      </c>
      <c r="G150" s="13">
        <v>0.15727252</v>
      </c>
      <c r="H150" s="13">
        <v>0.1159922</v>
      </c>
      <c r="I150" s="13">
        <v>0.1159848</v>
      </c>
      <c r="J150" s="13">
        <v>5.2645679999999997</v>
      </c>
      <c r="K150" s="13">
        <v>0.185059802</v>
      </c>
      <c r="L150" s="13">
        <v>0.83371767200000002</v>
      </c>
      <c r="M150" s="13">
        <v>0.71035389999999998</v>
      </c>
      <c r="N150" s="13">
        <v>1.0157099999999999</v>
      </c>
      <c r="O150" s="13">
        <v>0.89100000000000001</v>
      </c>
      <c r="P150" s="13">
        <v>0</v>
      </c>
    </row>
    <row r="151" spans="3:16" s="4" customFormat="1" x14ac:dyDescent="0.3">
      <c r="C151" s="3" t="s">
        <v>348</v>
      </c>
      <c r="D151" s="13">
        <v>0</v>
      </c>
      <c r="E151" s="13">
        <v>0</v>
      </c>
      <c r="F151" s="13">
        <v>0</v>
      </c>
      <c r="G151" s="13">
        <v>0</v>
      </c>
      <c r="H151" s="13">
        <v>0</v>
      </c>
      <c r="I151" s="13">
        <v>0</v>
      </c>
      <c r="J151" s="13">
        <v>0</v>
      </c>
      <c r="K151" s="13">
        <v>0</v>
      </c>
      <c r="L151" s="13">
        <v>0</v>
      </c>
      <c r="M151" s="13">
        <v>0</v>
      </c>
      <c r="N151" s="13">
        <v>0</v>
      </c>
      <c r="O151" s="13">
        <v>0</v>
      </c>
      <c r="P151" s="13">
        <v>0</v>
      </c>
    </row>
    <row r="152" spans="3:16" s="4" customFormat="1" x14ac:dyDescent="0.3">
      <c r="C152" s="3" t="s">
        <v>349</v>
      </c>
      <c r="D152" s="13">
        <v>0</v>
      </c>
      <c r="E152" s="13">
        <v>0</v>
      </c>
      <c r="F152" s="13">
        <v>0</v>
      </c>
      <c r="G152" s="13">
        <v>0</v>
      </c>
      <c r="H152" s="13">
        <v>0</v>
      </c>
      <c r="I152" s="13">
        <v>0</v>
      </c>
      <c r="J152" s="13">
        <v>0</v>
      </c>
      <c r="K152" s="13">
        <v>0</v>
      </c>
      <c r="L152" s="13">
        <v>0</v>
      </c>
      <c r="M152" s="13">
        <v>0</v>
      </c>
      <c r="N152" s="13">
        <v>0</v>
      </c>
      <c r="O152" s="13">
        <v>0</v>
      </c>
      <c r="P152" s="13">
        <v>0</v>
      </c>
    </row>
    <row r="153" spans="3:16" s="4" customFormat="1" x14ac:dyDescent="0.3">
      <c r="C153" s="3" t="s">
        <v>350</v>
      </c>
      <c r="D153" s="13">
        <v>7.222083145</v>
      </c>
      <c r="E153" s="13">
        <v>4.8808461999999997</v>
      </c>
      <c r="F153" s="13">
        <v>6.3922870999999999</v>
      </c>
      <c r="G153" s="13">
        <v>1.4839457949999999</v>
      </c>
      <c r="H153" s="13">
        <v>1.6389350899999999</v>
      </c>
      <c r="I153" s="13">
        <v>1.9899810060000001</v>
      </c>
      <c r="J153" s="13">
        <v>1.075469901</v>
      </c>
      <c r="K153" s="13">
        <v>0.97473891700000004</v>
      </c>
      <c r="L153" s="13">
        <v>0.94220343299999998</v>
      </c>
      <c r="M153" s="13">
        <v>0.21011975099999999</v>
      </c>
      <c r="N153" s="13">
        <v>0.31943249800000001</v>
      </c>
      <c r="O153" s="13">
        <v>0.69614635499999999</v>
      </c>
      <c r="P153" s="13">
        <v>1.18270388</v>
      </c>
    </row>
    <row r="154" spans="3:16" s="4" customFormat="1" x14ac:dyDescent="0.3">
      <c r="C154" s="3" t="s">
        <v>351</v>
      </c>
      <c r="D154" s="13">
        <v>0</v>
      </c>
      <c r="E154" s="13">
        <v>0</v>
      </c>
      <c r="F154" s="13">
        <v>0</v>
      </c>
      <c r="G154" s="13">
        <v>0</v>
      </c>
      <c r="H154" s="13">
        <v>3.3789319999999999E-3</v>
      </c>
      <c r="I154" s="13">
        <v>0.59503310700000001</v>
      </c>
      <c r="J154" s="13">
        <v>0.42642999999999998</v>
      </c>
      <c r="K154" s="13">
        <v>0</v>
      </c>
      <c r="L154" s="13">
        <v>3.7498219999999999E-3</v>
      </c>
      <c r="M154" s="13">
        <v>8.9566700999999999E-2</v>
      </c>
      <c r="N154" s="13">
        <v>0</v>
      </c>
      <c r="O154" s="13">
        <v>0</v>
      </c>
      <c r="P154" s="13">
        <v>0</v>
      </c>
    </row>
    <row r="155" spans="3:16" s="4" customFormat="1" x14ac:dyDescent="0.3">
      <c r="C155" s="3" t="s">
        <v>352</v>
      </c>
      <c r="D155" s="13">
        <v>3.1859902720000002</v>
      </c>
      <c r="E155" s="13">
        <v>0.65424907799999998</v>
      </c>
      <c r="F155" s="13">
        <v>0.46637073000000001</v>
      </c>
      <c r="G155" s="13">
        <v>1.4856978240000001</v>
      </c>
      <c r="H155" s="13">
        <v>0.845425023</v>
      </c>
      <c r="I155" s="13">
        <v>0.20242776600000001</v>
      </c>
      <c r="J155" s="13">
        <v>0</v>
      </c>
      <c r="K155" s="13">
        <v>0</v>
      </c>
      <c r="L155" s="13">
        <v>0</v>
      </c>
      <c r="M155" s="13">
        <v>0</v>
      </c>
      <c r="N155" s="13">
        <v>0</v>
      </c>
      <c r="O155" s="13">
        <v>0</v>
      </c>
      <c r="P155" s="13">
        <v>0</v>
      </c>
    </row>
    <row r="156" spans="3:16" s="4" customFormat="1" x14ac:dyDescent="0.3">
      <c r="C156" s="3" t="s">
        <v>353</v>
      </c>
      <c r="D156" s="13">
        <v>8.4352999999999997E-2</v>
      </c>
      <c r="E156" s="13">
        <v>0.172634749</v>
      </c>
      <c r="F156" s="13">
        <v>0</v>
      </c>
      <c r="G156" s="13">
        <v>0.88883999400000002</v>
      </c>
      <c r="H156" s="13">
        <v>0</v>
      </c>
      <c r="I156" s="13">
        <v>0</v>
      </c>
      <c r="J156" s="13">
        <v>0.33071805599999998</v>
      </c>
      <c r="K156" s="13">
        <v>0.25536365700000002</v>
      </c>
      <c r="L156" s="13">
        <v>0.122008374</v>
      </c>
      <c r="M156" s="13">
        <v>3.0842771000000001E-2</v>
      </c>
      <c r="N156" s="13">
        <v>1.8091999999999999E-5</v>
      </c>
      <c r="O156" s="13">
        <v>0</v>
      </c>
      <c r="P156" s="13">
        <v>0</v>
      </c>
    </row>
    <row r="157" spans="3:16" s="4" customFormat="1" x14ac:dyDescent="0.3">
      <c r="C157" s="3" t="s">
        <v>38</v>
      </c>
      <c r="D157" s="13">
        <v>36.268105159999998</v>
      </c>
      <c r="E157" s="13">
        <v>39.1659802</v>
      </c>
      <c r="F157" s="13">
        <v>55.878307466000003</v>
      </c>
      <c r="G157" s="13">
        <v>31.547992931</v>
      </c>
      <c r="H157" s="13">
        <v>23.772301317</v>
      </c>
      <c r="I157" s="13">
        <v>30.303225344000001</v>
      </c>
      <c r="J157" s="13">
        <v>15.82</v>
      </c>
      <c r="K157" s="13">
        <v>9.1025276989999995</v>
      </c>
      <c r="L157" s="13">
        <v>10.81134303</v>
      </c>
      <c r="M157" s="13">
        <v>12.200034045000001</v>
      </c>
      <c r="N157" s="13">
        <v>14.622931346</v>
      </c>
      <c r="O157" s="13">
        <v>14.325530898</v>
      </c>
      <c r="P157" s="13">
        <v>8.6470170460000002</v>
      </c>
    </row>
    <row r="158" spans="3:16" s="4" customFormat="1" x14ac:dyDescent="0.3">
      <c r="C158" s="3" t="s">
        <v>354</v>
      </c>
      <c r="D158" s="13">
        <v>28.024669814999999</v>
      </c>
      <c r="E158" s="13">
        <v>36.630792712999998</v>
      </c>
      <c r="F158" s="13">
        <v>45.318450511000002</v>
      </c>
      <c r="G158" s="13">
        <v>30.491840007</v>
      </c>
      <c r="H158" s="13">
        <v>19.654884816999999</v>
      </c>
      <c r="I158" s="13">
        <v>25.505476234</v>
      </c>
      <c r="J158" s="13">
        <v>5.45</v>
      </c>
      <c r="K158" s="13">
        <v>4.4980130369999998</v>
      </c>
      <c r="L158" s="13">
        <v>6.8281941420000001</v>
      </c>
      <c r="M158" s="13">
        <v>8.3658396649999993</v>
      </c>
      <c r="N158" s="13">
        <v>10.314154786</v>
      </c>
      <c r="O158" s="13">
        <v>6.5888547370000001</v>
      </c>
      <c r="P158" s="13">
        <v>1.3245273529999999</v>
      </c>
    </row>
    <row r="159" spans="3:16" s="4" customFormat="1" x14ac:dyDescent="0.3">
      <c r="C159" s="3" t="s">
        <v>355</v>
      </c>
      <c r="D159" s="13">
        <v>0</v>
      </c>
      <c r="E159" s="13">
        <v>0</v>
      </c>
      <c r="F159" s="13">
        <v>0</v>
      </c>
      <c r="G159" s="13">
        <v>0</v>
      </c>
      <c r="H159" s="13">
        <v>0</v>
      </c>
      <c r="I159" s="13">
        <v>0</v>
      </c>
      <c r="J159" s="13">
        <v>2.0499999999999998</v>
      </c>
      <c r="K159" s="13">
        <v>2.5274011270000001</v>
      </c>
      <c r="L159" s="13">
        <v>3.4805167479999999</v>
      </c>
      <c r="M159" s="13">
        <v>3.32709345</v>
      </c>
      <c r="N159" s="13">
        <v>3.7257523880000001</v>
      </c>
      <c r="O159" s="13">
        <v>5.7644488000000003</v>
      </c>
      <c r="P159" s="20">
        <v>6.8728973550000001</v>
      </c>
    </row>
    <row r="160" spans="3:16" s="4" customFormat="1" x14ac:dyDescent="0.3">
      <c r="C160" s="3" t="s">
        <v>356</v>
      </c>
      <c r="D160" s="13">
        <v>2.2479255E-2</v>
      </c>
      <c r="E160" s="13">
        <v>7.2351000000000002E-4</v>
      </c>
      <c r="F160" s="13">
        <v>0.25440000000000002</v>
      </c>
      <c r="G160" s="13">
        <v>6.9337321960000002</v>
      </c>
      <c r="H160" s="13">
        <v>0</v>
      </c>
      <c r="I160" s="13">
        <v>3.0812059999999999</v>
      </c>
      <c r="J160" s="13">
        <v>0</v>
      </c>
      <c r="K160" s="13">
        <v>0</v>
      </c>
      <c r="L160" s="13">
        <v>0</v>
      </c>
      <c r="M160" s="13">
        <v>0</v>
      </c>
      <c r="N160" s="13">
        <v>0</v>
      </c>
      <c r="O160" s="13">
        <v>0</v>
      </c>
      <c r="P160" s="20">
        <v>0</v>
      </c>
    </row>
    <row r="161" spans="3:16" s="4" customFormat="1" x14ac:dyDescent="0.3">
      <c r="C161" s="3" t="s">
        <v>357</v>
      </c>
      <c r="D161" s="13">
        <v>0</v>
      </c>
      <c r="E161" s="13">
        <v>0</v>
      </c>
      <c r="F161" s="13">
        <v>0</v>
      </c>
      <c r="G161" s="13">
        <v>0</v>
      </c>
      <c r="H161" s="13">
        <v>0</v>
      </c>
      <c r="I161" s="13">
        <v>0</v>
      </c>
      <c r="J161" s="13">
        <v>0</v>
      </c>
      <c r="K161" s="13">
        <v>0</v>
      </c>
      <c r="L161" s="13">
        <v>0</v>
      </c>
      <c r="M161" s="13">
        <v>0</v>
      </c>
      <c r="N161" s="13">
        <v>0</v>
      </c>
      <c r="O161" s="13">
        <v>0</v>
      </c>
      <c r="P161" s="20">
        <v>0</v>
      </c>
    </row>
    <row r="162" spans="3:16" s="4" customFormat="1" x14ac:dyDescent="0.3">
      <c r="C162" s="3" t="s">
        <v>358</v>
      </c>
      <c r="D162" s="13">
        <v>3.7240346139999998</v>
      </c>
      <c r="E162" s="13">
        <v>3.9497108679999999</v>
      </c>
      <c r="F162" s="13">
        <v>7.7344802770000003</v>
      </c>
      <c r="G162" s="13">
        <v>1.541449624</v>
      </c>
      <c r="H162" s="13">
        <v>3.9823267200000001</v>
      </c>
      <c r="I162" s="13">
        <v>5.5358399900000004</v>
      </c>
      <c r="J162" s="13">
        <v>1.2274842379999999</v>
      </c>
      <c r="K162" s="13">
        <v>2.0771135350000001</v>
      </c>
      <c r="L162" s="13">
        <v>0.50263214000000001</v>
      </c>
      <c r="M162" s="13">
        <v>0.50710093000000001</v>
      </c>
      <c r="N162" s="13">
        <v>0.58302417200000001</v>
      </c>
      <c r="O162" s="13">
        <v>1.9722273610000001</v>
      </c>
      <c r="P162" s="20">
        <v>0.44959233599999998</v>
      </c>
    </row>
    <row r="163" spans="3:16" s="4" customFormat="1" x14ac:dyDescent="0.3">
      <c r="C163" s="3" t="s">
        <v>359</v>
      </c>
      <c r="D163" s="13">
        <v>0</v>
      </c>
      <c r="E163" s="13">
        <v>0</v>
      </c>
      <c r="F163" s="13">
        <v>0</v>
      </c>
      <c r="G163" s="13">
        <v>0</v>
      </c>
      <c r="H163" s="13">
        <v>0.12139641599999999</v>
      </c>
      <c r="I163" s="13">
        <v>0</v>
      </c>
      <c r="J163" s="13">
        <v>0</v>
      </c>
      <c r="K163" s="13">
        <v>0</v>
      </c>
      <c r="L163" s="13">
        <v>0</v>
      </c>
      <c r="M163" s="13">
        <v>0</v>
      </c>
      <c r="N163" s="13">
        <v>0</v>
      </c>
      <c r="O163" s="13">
        <v>0</v>
      </c>
      <c r="P163" s="20">
        <v>0</v>
      </c>
    </row>
    <row r="164" spans="3:16" s="4" customFormat="1" x14ac:dyDescent="0.3">
      <c r="C164" s="3" t="s">
        <v>360</v>
      </c>
      <c r="D164" s="13">
        <v>4.4969214759999998</v>
      </c>
      <c r="E164" s="13">
        <v>-1.4243378</v>
      </c>
      <c r="F164" s="13">
        <v>2.570453579</v>
      </c>
      <c r="G164" s="13">
        <v>-7.4259213409999996</v>
      </c>
      <c r="H164" s="13">
        <v>1.36919E-2</v>
      </c>
      <c r="I164" s="13">
        <v>-3.8259172000000001</v>
      </c>
      <c r="J164" s="13">
        <v>7.1</v>
      </c>
      <c r="K164" s="13">
        <v>0</v>
      </c>
      <c r="L164" s="13">
        <v>0</v>
      </c>
      <c r="M164" s="13">
        <v>0</v>
      </c>
      <c r="N164" s="13">
        <v>0</v>
      </c>
      <c r="O164" s="13">
        <v>0</v>
      </c>
      <c r="P164" s="20">
        <v>0</v>
      </c>
    </row>
    <row r="165" spans="3:16" s="4" customFormat="1" x14ac:dyDescent="0.3">
      <c r="C165" s="3" t="s">
        <v>361</v>
      </c>
      <c r="D165" s="13">
        <v>0</v>
      </c>
      <c r="E165" s="13">
        <v>9.0909089999999994E-3</v>
      </c>
      <c r="F165" s="13">
        <v>5.2309899999999996E-4</v>
      </c>
      <c r="G165" s="13">
        <v>6.8924449999999996E-3</v>
      </c>
      <c r="H165" s="13">
        <v>1.4640000000000001E-6</v>
      </c>
      <c r="I165" s="13">
        <v>6.6203199999999999E-3</v>
      </c>
      <c r="J165" s="13">
        <v>1.0646010000000001E-3</v>
      </c>
      <c r="K165" s="13">
        <v>0</v>
      </c>
      <c r="L165" s="13">
        <v>0</v>
      </c>
      <c r="M165" s="13">
        <v>0</v>
      </c>
      <c r="N165" s="13">
        <v>0</v>
      </c>
      <c r="O165" s="13">
        <v>0</v>
      </c>
      <c r="P165" s="20">
        <v>0</v>
      </c>
    </row>
    <row r="166" spans="3:16" s="4" customFormat="1" x14ac:dyDescent="0.3">
      <c r="C166" s="3" t="s">
        <v>362</v>
      </c>
      <c r="D166" s="13">
        <v>0</v>
      </c>
      <c r="E166" s="13">
        <v>0</v>
      </c>
      <c r="F166" s="13">
        <v>693.04856360999997</v>
      </c>
      <c r="G166" s="13">
        <v>784.65115133799998</v>
      </c>
      <c r="H166" s="13">
        <v>813.531649958</v>
      </c>
      <c r="I166" s="13">
        <v>1067.4203546189999</v>
      </c>
      <c r="J166" s="13">
        <v>729.26034858599996</v>
      </c>
      <c r="K166" s="13">
        <v>827.36</v>
      </c>
      <c r="L166" s="13">
        <v>801.76</v>
      </c>
      <c r="M166" s="13">
        <v>685.83928616799994</v>
      </c>
      <c r="N166" s="13">
        <v>775.78665738100005</v>
      </c>
      <c r="O166" s="13">
        <v>891.26303157899997</v>
      </c>
      <c r="P166" s="13">
        <v>991.16997962999994</v>
      </c>
    </row>
    <row r="167" spans="3:16" s="4" customFormat="1" x14ac:dyDescent="0.3">
      <c r="C167" s="3" t="s">
        <v>363</v>
      </c>
      <c r="D167" s="13">
        <v>0</v>
      </c>
      <c r="E167" s="13">
        <v>0</v>
      </c>
      <c r="F167" s="13">
        <v>464.92255702800003</v>
      </c>
      <c r="G167" s="13">
        <v>528.01504919900003</v>
      </c>
      <c r="H167" s="13">
        <v>526.58135423399995</v>
      </c>
      <c r="I167" s="13">
        <v>652.59530607299996</v>
      </c>
      <c r="J167" s="13">
        <v>303.23109411399997</v>
      </c>
      <c r="K167" s="13">
        <v>380.35389265999999</v>
      </c>
      <c r="L167" s="13">
        <v>394.12482461399998</v>
      </c>
      <c r="M167" s="13">
        <v>353.37877407799999</v>
      </c>
      <c r="N167" s="13">
        <v>432.11670657399998</v>
      </c>
      <c r="O167" s="13">
        <v>491.227528898</v>
      </c>
      <c r="P167" s="13">
        <v>487.43203985700001</v>
      </c>
    </row>
    <row r="168" spans="3:16" s="4" customFormat="1" x14ac:dyDescent="0.3">
      <c r="C168" s="3" t="s">
        <v>364</v>
      </c>
      <c r="D168" s="13">
        <v>0</v>
      </c>
      <c r="E168" s="13">
        <v>0</v>
      </c>
      <c r="F168" s="13">
        <v>125.701090221</v>
      </c>
      <c r="G168" s="13">
        <v>133.081852113</v>
      </c>
      <c r="H168" s="13">
        <v>145.91071001</v>
      </c>
      <c r="I168" s="13">
        <v>192.62457369500001</v>
      </c>
      <c r="J168" s="13">
        <v>150.352712626</v>
      </c>
      <c r="K168" s="13">
        <v>206.37608523399999</v>
      </c>
      <c r="L168" s="13">
        <v>159.59329476799999</v>
      </c>
      <c r="M168" s="13">
        <v>135.73710127499999</v>
      </c>
      <c r="N168" s="13">
        <v>144.425357144</v>
      </c>
      <c r="O168" s="13">
        <v>188.37635693499999</v>
      </c>
      <c r="P168" s="13">
        <v>245.33019011900001</v>
      </c>
    </row>
    <row r="169" spans="3:16" s="4" customFormat="1" x14ac:dyDescent="0.3">
      <c r="C169" s="3" t="s">
        <v>365</v>
      </c>
      <c r="D169" s="13">
        <v>0</v>
      </c>
      <c r="E169" s="13">
        <v>0</v>
      </c>
      <c r="F169" s="13">
        <v>31.478679330999999</v>
      </c>
      <c r="G169" s="13">
        <v>36.860873499</v>
      </c>
      <c r="H169" s="13">
        <v>48.007340325000001</v>
      </c>
      <c r="I169" s="13">
        <v>67.966756578000002</v>
      </c>
      <c r="J169" s="13">
        <v>39.217133822999998</v>
      </c>
      <c r="K169" s="13">
        <v>33.793831392000001</v>
      </c>
      <c r="L169" s="13">
        <v>36.81384233</v>
      </c>
      <c r="M169" s="13">
        <v>36.516915462</v>
      </c>
      <c r="N169" s="13">
        <v>27.947538222999999</v>
      </c>
      <c r="O169" s="13">
        <v>31.808990529999999</v>
      </c>
      <c r="P169" s="13">
        <v>40.674128404000001</v>
      </c>
    </row>
    <row r="170" spans="3:16" s="4" customFormat="1" x14ac:dyDescent="0.3">
      <c r="C170" s="3" t="s">
        <v>366</v>
      </c>
      <c r="D170" s="13">
        <v>0</v>
      </c>
      <c r="E170" s="13">
        <v>0</v>
      </c>
      <c r="F170" s="13">
        <v>52.302776831999999</v>
      </c>
      <c r="G170" s="13">
        <v>59.370317591999999</v>
      </c>
      <c r="H170" s="13">
        <v>68.337991337000005</v>
      </c>
      <c r="I170" s="13">
        <v>112.438145788</v>
      </c>
      <c r="J170" s="13">
        <v>91.214850902999999</v>
      </c>
      <c r="K170" s="13">
        <v>120.130644781</v>
      </c>
      <c r="L170" s="13">
        <v>127.669310315</v>
      </c>
      <c r="M170" s="13">
        <v>94.204274049000006</v>
      </c>
      <c r="N170" s="13">
        <v>89.619845018999996</v>
      </c>
      <c r="O170" s="13">
        <v>98.994711971000001</v>
      </c>
      <c r="P170" s="13">
        <v>121.471070426</v>
      </c>
    </row>
    <row r="171" spans="3:16" s="4" customFormat="1" x14ac:dyDescent="0.3">
      <c r="C171" s="3" t="s">
        <v>367</v>
      </c>
      <c r="D171" s="13">
        <v>0</v>
      </c>
      <c r="E171" s="13">
        <v>0</v>
      </c>
      <c r="F171" s="13">
        <v>18.643460198</v>
      </c>
      <c r="G171" s="13">
        <v>27.323058934999999</v>
      </c>
      <c r="H171" s="13">
        <v>24.694254052000002</v>
      </c>
      <c r="I171" s="13">
        <v>41.795572485000001</v>
      </c>
      <c r="J171" s="13">
        <v>126.549040725</v>
      </c>
      <c r="K171" s="13">
        <v>91.579131407999995</v>
      </c>
      <c r="L171" s="13">
        <v>86.204505736000002</v>
      </c>
      <c r="M171" s="13">
        <v>64.881516069</v>
      </c>
      <c r="N171" s="13">
        <v>59.755824187999998</v>
      </c>
      <c r="O171" s="13">
        <v>66.566996351</v>
      </c>
      <c r="P171" s="13">
        <v>74.032368949000002</v>
      </c>
    </row>
    <row r="172" spans="3:16" x14ac:dyDescent="0.3">
      <c r="C172" s="3" t="s">
        <v>368</v>
      </c>
      <c r="H172" s="13"/>
      <c r="I172" s="13"/>
      <c r="J172" s="13">
        <v>18.695516394999999</v>
      </c>
      <c r="K172" s="13">
        <v>-4.8780666779999997</v>
      </c>
      <c r="L172" s="13">
        <v>-2.6443794220000001</v>
      </c>
      <c r="M172" s="13">
        <v>1.120705235</v>
      </c>
      <c r="N172" s="13">
        <v>21.921386233</v>
      </c>
      <c r="O172" s="13">
        <v>14.288446894</v>
      </c>
      <c r="P172" s="13">
        <v>22.229181873999998</v>
      </c>
    </row>
    <row r="173" spans="3:16" x14ac:dyDescent="0.3">
      <c r="J173" s="23"/>
      <c r="K173" s="23"/>
      <c r="L173" s="23"/>
      <c r="M173" s="23"/>
      <c r="N173" s="23"/>
      <c r="O173" s="23"/>
    </row>
    <row r="174" spans="3:16" x14ac:dyDescent="0.3">
      <c r="J174" s="23"/>
      <c r="K174" s="23"/>
      <c r="L174" s="23"/>
      <c r="M174" s="23"/>
      <c r="N174" s="23"/>
      <c r="O174" s="23"/>
    </row>
    <row r="177" spans="3:13" x14ac:dyDescent="0.3">
      <c r="C177" s="24"/>
      <c r="D177" s="24"/>
      <c r="E177" s="24"/>
      <c r="F177" s="24"/>
      <c r="G177" s="24"/>
      <c r="H177" s="24"/>
      <c r="I177" s="24"/>
      <c r="J177" s="25"/>
      <c r="K177" s="25"/>
      <c r="L177" s="25"/>
      <c r="M177" s="25"/>
    </row>
    <row r="178" spans="3:13" x14ac:dyDescent="0.3">
      <c r="C178" s="24"/>
      <c r="D178" s="24"/>
      <c r="E178" s="24"/>
      <c r="F178" s="24"/>
      <c r="G178" s="24"/>
      <c r="H178" s="24"/>
      <c r="I178" s="24"/>
      <c r="J178" s="25"/>
      <c r="K178" s="25"/>
      <c r="L178" s="25"/>
      <c r="M178" s="25"/>
    </row>
    <row r="179" spans="3:13" x14ac:dyDescent="0.3">
      <c r="C179" s="24"/>
      <c r="D179" s="24"/>
      <c r="E179" s="24"/>
      <c r="F179" s="24"/>
      <c r="G179" s="24"/>
      <c r="H179" s="24"/>
      <c r="I179" s="24"/>
      <c r="J179" s="25"/>
      <c r="K179" s="25"/>
      <c r="L179" s="25"/>
      <c r="M179" s="25"/>
    </row>
    <row r="180" spans="3:13" x14ac:dyDescent="0.3">
      <c r="C180" s="24"/>
      <c r="D180" s="24"/>
      <c r="E180" s="24"/>
      <c r="F180" s="24"/>
      <c r="G180" s="24"/>
      <c r="H180" s="24"/>
      <c r="I180" s="24"/>
      <c r="J180" s="25"/>
      <c r="K180" s="25"/>
      <c r="L180" s="25"/>
      <c r="M180" s="25"/>
    </row>
    <row r="181" spans="3:13" x14ac:dyDescent="0.3">
      <c r="C181" s="24"/>
      <c r="D181" s="24"/>
      <c r="E181" s="24"/>
      <c r="F181" s="24"/>
      <c r="G181" s="24"/>
      <c r="H181" s="24"/>
      <c r="I181" s="24"/>
      <c r="J181" s="25"/>
      <c r="K181" s="25"/>
      <c r="L181" s="25"/>
      <c r="M181" s="25"/>
    </row>
    <row r="182" spans="3:13" x14ac:dyDescent="0.3">
      <c r="C182" s="24"/>
      <c r="D182" s="24"/>
      <c r="E182" s="24"/>
      <c r="F182" s="24"/>
      <c r="G182" s="24"/>
      <c r="H182" s="24"/>
      <c r="I182" s="24"/>
      <c r="J182" s="25"/>
      <c r="K182" s="25"/>
      <c r="L182" s="25"/>
      <c r="M182" s="25"/>
    </row>
    <row r="183" spans="3:13" x14ac:dyDescent="0.3">
      <c r="C183" s="24"/>
      <c r="D183" s="24"/>
      <c r="E183" s="24"/>
      <c r="F183" s="24"/>
      <c r="G183" s="24"/>
      <c r="H183" s="24"/>
      <c r="I183" s="24"/>
      <c r="J183" s="25"/>
      <c r="K183" s="25"/>
      <c r="L183" s="25"/>
      <c r="M183" s="25"/>
    </row>
    <row r="184" spans="3:13" x14ac:dyDescent="0.3">
      <c r="C184" s="24"/>
      <c r="D184" s="24"/>
      <c r="E184" s="24"/>
      <c r="F184" s="24"/>
      <c r="G184" s="24"/>
      <c r="H184" s="24"/>
      <c r="I184" s="24"/>
      <c r="J184" s="25"/>
      <c r="K184" s="25"/>
      <c r="L184" s="25"/>
      <c r="M184" s="25"/>
    </row>
    <row r="185" spans="3:13" x14ac:dyDescent="0.3">
      <c r="C185" s="24"/>
      <c r="D185" s="24"/>
      <c r="E185" s="24"/>
      <c r="F185" s="24"/>
      <c r="G185" s="24"/>
      <c r="H185" s="24"/>
      <c r="I185" s="24"/>
      <c r="J185" s="25"/>
      <c r="K185" s="25"/>
      <c r="L185" s="25"/>
      <c r="M185" s="25"/>
    </row>
    <row r="186" spans="3:13" x14ac:dyDescent="0.3">
      <c r="C186" s="24"/>
      <c r="D186" s="24"/>
      <c r="E186" s="24"/>
      <c r="F186" s="24"/>
      <c r="G186" s="24"/>
      <c r="H186" s="24"/>
      <c r="I186" s="24"/>
      <c r="J186" s="25"/>
      <c r="K186" s="25"/>
      <c r="L186" s="25"/>
      <c r="M186" s="25"/>
    </row>
    <row r="187" spans="3:13" x14ac:dyDescent="0.3">
      <c r="C187" s="24"/>
      <c r="D187" s="24"/>
      <c r="E187" s="24"/>
      <c r="F187" s="24"/>
      <c r="G187" s="24"/>
      <c r="H187" s="24"/>
      <c r="I187" s="24"/>
      <c r="J187" s="25"/>
      <c r="K187" s="25"/>
      <c r="L187" s="25"/>
      <c r="M187" s="25"/>
    </row>
    <row r="193" s="19" customFormat="1" x14ac:dyDescent="0.3"/>
    <row r="194" s="19" customFormat="1" x14ac:dyDescent="0.3"/>
    <row r="195" s="19" customFormat="1" x14ac:dyDescent="0.3"/>
    <row r="196" s="19" customFormat="1" x14ac:dyDescent="0.3"/>
    <row r="197" s="19" customFormat="1" x14ac:dyDescent="0.3"/>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75C7B-55C6-4BCD-8D72-B20B447416E3}">
  <dimension ref="A1:Z79"/>
  <sheetViews>
    <sheetView showGridLines="0" zoomScale="85" zoomScaleNormal="85" workbookViewId="0">
      <selection activeCell="P29" sqref="P29"/>
    </sheetView>
  </sheetViews>
  <sheetFormatPr defaultColWidth="9.109375" defaultRowHeight="13.2" x14ac:dyDescent="0.25"/>
  <cols>
    <col min="1" max="1" width="5.44140625" style="26" customWidth="1"/>
    <col min="2" max="2" width="36.5546875" style="31" bestFit="1" customWidth="1"/>
    <col min="3" max="3" width="9.109375" style="28"/>
    <col min="4" max="4" width="5.5546875" style="31" customWidth="1"/>
    <col min="5" max="8" width="9.109375" style="31" hidden="1" customWidth="1"/>
    <col min="9" max="9" width="11.88671875" style="31" customWidth="1"/>
    <col min="10" max="10" width="12.6640625" style="31" customWidth="1"/>
    <col min="11" max="11" width="14.44140625" style="31" bestFit="1" customWidth="1"/>
    <col min="12" max="12" width="9.109375" style="31"/>
    <col min="13" max="13" width="12.44140625" style="28" customWidth="1"/>
    <col min="14" max="14" width="11.88671875" style="31" customWidth="1"/>
    <col min="15" max="15" width="9.88671875" style="31" bestFit="1" customWidth="1"/>
    <col min="16" max="16" width="14.44140625" style="31" bestFit="1" customWidth="1"/>
    <col min="17" max="16384" width="9.109375" style="31"/>
  </cols>
  <sheetData>
    <row r="1" spans="1:26" x14ac:dyDescent="0.25">
      <c r="B1" s="27">
        <f>1</f>
        <v>1</v>
      </c>
      <c r="D1" s="29"/>
      <c r="E1" s="29"/>
      <c r="F1" s="29"/>
      <c r="G1" s="29"/>
      <c r="H1" s="29"/>
      <c r="I1" s="29"/>
      <c r="J1" s="29"/>
      <c r="K1" s="2343" t="s">
        <v>369</v>
      </c>
      <c r="L1" s="2343"/>
      <c r="M1" s="2343"/>
      <c r="N1" s="2343"/>
      <c r="O1" s="2343"/>
      <c r="P1" s="2344"/>
      <c r="Q1" s="30">
        <v>1</v>
      </c>
      <c r="R1" s="30">
        <v>2</v>
      </c>
      <c r="S1" s="30">
        <v>3</v>
      </c>
      <c r="T1" s="30">
        <v>4</v>
      </c>
      <c r="U1" s="30">
        <v>5</v>
      </c>
      <c r="V1" s="30">
        <v>6</v>
      </c>
      <c r="W1" s="30">
        <v>7</v>
      </c>
      <c r="X1" s="30">
        <v>8</v>
      </c>
      <c r="Y1" s="30">
        <v>9</v>
      </c>
      <c r="Z1" s="30">
        <v>10</v>
      </c>
    </row>
    <row r="2" spans="1:26" x14ac:dyDescent="0.25">
      <c r="D2" s="29"/>
      <c r="E2" s="29"/>
      <c r="F2" s="29"/>
      <c r="G2" s="29"/>
      <c r="H2" s="29"/>
      <c r="I2" s="29"/>
      <c r="J2" s="29"/>
      <c r="K2" s="29"/>
      <c r="L2" s="29"/>
      <c r="M2" s="29"/>
      <c r="N2" s="29" t="str">
        <f t="shared" ref="N2:Z2" ca="1" si="0">IF(TODAY()&lt;N3,"Proj","")</f>
        <v/>
      </c>
      <c r="O2" s="29" t="str">
        <f t="shared" ca="1" si="0"/>
        <v/>
      </c>
      <c r="P2" s="32" t="str">
        <f t="shared" ca="1" si="0"/>
        <v/>
      </c>
      <c r="Q2" s="33" t="str">
        <f t="shared" ca="1" si="0"/>
        <v/>
      </c>
      <c r="R2" s="33" t="str">
        <f t="shared" ca="1" si="0"/>
        <v/>
      </c>
      <c r="S2" s="33" t="str">
        <f t="shared" ca="1" si="0"/>
        <v/>
      </c>
      <c r="T2" s="33" t="str">
        <f t="shared" ca="1" si="0"/>
        <v>Proj</v>
      </c>
      <c r="U2" s="33" t="str">
        <f t="shared" ca="1" si="0"/>
        <v>Proj</v>
      </c>
      <c r="V2" s="33" t="str">
        <f t="shared" ca="1" si="0"/>
        <v>Proj</v>
      </c>
      <c r="W2" s="33" t="str">
        <f t="shared" ca="1" si="0"/>
        <v>Proj</v>
      </c>
      <c r="X2" s="33" t="str">
        <f t="shared" ca="1" si="0"/>
        <v>Proj</v>
      </c>
      <c r="Y2" s="33" t="str">
        <f t="shared" ca="1" si="0"/>
        <v>Proj</v>
      </c>
      <c r="Z2" s="33" t="str">
        <f t="shared" ca="1" si="0"/>
        <v>Proj</v>
      </c>
    </row>
    <row r="3" spans="1:26" ht="15.75" customHeight="1" thickBot="1" x14ac:dyDescent="0.3">
      <c r="A3" s="34"/>
      <c r="B3" s="35" t="s">
        <v>370</v>
      </c>
      <c r="C3" s="36"/>
      <c r="D3" s="37">
        <v>40178</v>
      </c>
      <c r="E3" s="38">
        <f t="shared" ref="E3:Z3" si="1">DATE(YEAR(D3),MONTH(D3)+13,0)</f>
        <v>40543</v>
      </c>
      <c r="F3" s="38">
        <f t="shared" si="1"/>
        <v>40908</v>
      </c>
      <c r="G3" s="38">
        <f t="shared" si="1"/>
        <v>41274</v>
      </c>
      <c r="H3" s="38">
        <f t="shared" si="1"/>
        <v>41639</v>
      </c>
      <c r="I3" s="38">
        <f t="shared" si="1"/>
        <v>42004</v>
      </c>
      <c r="J3" s="38">
        <f t="shared" si="1"/>
        <v>42369</v>
      </c>
      <c r="K3" s="38">
        <f t="shared" si="1"/>
        <v>42735</v>
      </c>
      <c r="L3" s="38">
        <f t="shared" si="1"/>
        <v>43100</v>
      </c>
      <c r="M3" s="38">
        <f t="shared" si="1"/>
        <v>43465</v>
      </c>
      <c r="N3" s="38">
        <f t="shared" si="1"/>
        <v>43830</v>
      </c>
      <c r="O3" s="38">
        <f t="shared" si="1"/>
        <v>44196</v>
      </c>
      <c r="P3" s="39">
        <f t="shared" si="1"/>
        <v>44561</v>
      </c>
      <c r="Q3" s="40">
        <f t="shared" si="1"/>
        <v>44926</v>
      </c>
      <c r="R3" s="40">
        <f t="shared" si="1"/>
        <v>45291</v>
      </c>
      <c r="S3" s="40">
        <f t="shared" si="1"/>
        <v>45657</v>
      </c>
      <c r="T3" s="40">
        <f t="shared" si="1"/>
        <v>46022</v>
      </c>
      <c r="U3" s="40">
        <f t="shared" si="1"/>
        <v>46387</v>
      </c>
      <c r="V3" s="40">
        <f t="shared" si="1"/>
        <v>46752</v>
      </c>
      <c r="W3" s="40">
        <f t="shared" si="1"/>
        <v>47118</v>
      </c>
      <c r="X3" s="40">
        <f t="shared" si="1"/>
        <v>47483</v>
      </c>
      <c r="Y3" s="40">
        <f t="shared" si="1"/>
        <v>47848</v>
      </c>
      <c r="Z3" s="40">
        <f t="shared" si="1"/>
        <v>48213</v>
      </c>
    </row>
    <row r="4" spans="1:26" s="42" customFormat="1" ht="13.8" thickTop="1" x14ac:dyDescent="0.25">
      <c r="A4" s="41">
        <v>1</v>
      </c>
      <c r="B4" s="42" t="s">
        <v>371</v>
      </c>
      <c r="C4" s="43"/>
      <c r="D4" s="44"/>
      <c r="E4" s="44"/>
      <c r="F4" s="44"/>
      <c r="G4" s="44"/>
      <c r="H4" s="44"/>
      <c r="I4" s="45"/>
      <c r="J4" s="45">
        <f>Input!J94</f>
        <v>214.76550387699996</v>
      </c>
      <c r="K4" s="45">
        <f>Input!K94</f>
        <v>141.49153793399995</v>
      </c>
      <c r="L4" s="45">
        <f>Input!L94</f>
        <v>164.39079412699996</v>
      </c>
      <c r="M4" s="45">
        <f>Input!M94</f>
        <v>163.00479829400007</v>
      </c>
      <c r="N4" s="45">
        <f>Input!N94</f>
        <v>142.227417237</v>
      </c>
      <c r="O4" s="45">
        <f>Input!O94</f>
        <v>157.85956481599999</v>
      </c>
      <c r="P4" s="45">
        <f>Input!P94</f>
        <v>184.39927551800002</v>
      </c>
      <c r="Q4" s="46"/>
      <c r="R4" s="46"/>
      <c r="S4" s="46"/>
      <c r="T4" s="46"/>
      <c r="U4" s="46"/>
      <c r="V4" s="46"/>
      <c r="W4" s="46"/>
      <c r="X4" s="46"/>
      <c r="Y4" s="46"/>
      <c r="Z4" s="46"/>
    </row>
    <row r="5" spans="1:26" s="42" customFormat="1" x14ac:dyDescent="0.25">
      <c r="A5" s="41">
        <v>2</v>
      </c>
      <c r="B5" s="42" t="s">
        <v>372</v>
      </c>
      <c r="C5" s="43"/>
      <c r="D5" s="44"/>
      <c r="E5" s="44"/>
      <c r="F5" s="44"/>
      <c r="G5" s="44"/>
      <c r="H5" s="44"/>
      <c r="I5" s="45"/>
      <c r="J5" s="45">
        <f>J6+J8</f>
        <v>51.4</v>
      </c>
      <c r="K5" s="45">
        <f t="shared" ref="K5:P5" si="2">K6+K8</f>
        <v>32.799999999999997</v>
      </c>
      <c r="L5" s="45">
        <f t="shared" si="2"/>
        <v>37.779411813999999</v>
      </c>
      <c r="M5" s="45">
        <f t="shared" si="2"/>
        <v>39.121155532000003</v>
      </c>
      <c r="N5" s="45">
        <f t="shared" si="2"/>
        <v>31.290031792000001</v>
      </c>
      <c r="O5" s="45">
        <f t="shared" si="2"/>
        <v>34.72910426</v>
      </c>
      <c r="P5" s="45">
        <f t="shared" si="2"/>
        <v>44.255826124320009</v>
      </c>
      <c r="Q5" s="46"/>
      <c r="R5" s="46"/>
      <c r="S5" s="46"/>
      <c r="T5" s="46"/>
      <c r="U5" s="46"/>
      <c r="V5" s="46"/>
      <c r="W5" s="46"/>
      <c r="X5" s="46"/>
      <c r="Y5" s="46"/>
      <c r="Z5" s="46"/>
    </row>
    <row r="6" spans="1:26" s="29" customFormat="1" x14ac:dyDescent="0.25">
      <c r="A6" s="47" t="s">
        <v>373</v>
      </c>
      <c r="B6" s="48" t="s">
        <v>374</v>
      </c>
      <c r="C6" s="49"/>
      <c r="D6" s="50"/>
      <c r="E6" s="50"/>
      <c r="F6" s="50"/>
      <c r="G6" s="50"/>
      <c r="H6" s="50"/>
      <c r="I6" s="51"/>
      <c r="J6" s="51">
        <f>J7</f>
        <v>21.4</v>
      </c>
      <c r="K6" s="51">
        <f t="shared" ref="K6:P6" si="3">K7</f>
        <v>13.7</v>
      </c>
      <c r="L6" s="51">
        <f t="shared" si="3"/>
        <v>15.741421589</v>
      </c>
      <c r="M6" s="51">
        <f t="shared" si="3"/>
        <v>16.300481470000001</v>
      </c>
      <c r="N6" s="51">
        <f t="shared" si="3"/>
        <v>14.222741724</v>
      </c>
      <c r="O6" s="51">
        <f t="shared" si="3"/>
        <v>15.785956482</v>
      </c>
      <c r="P6" s="51">
        <f t="shared" si="3"/>
        <v>18.439927551800004</v>
      </c>
      <c r="Q6" s="52"/>
      <c r="R6" s="52"/>
      <c r="S6" s="52"/>
      <c r="T6" s="52"/>
      <c r="U6" s="52"/>
      <c r="V6" s="52"/>
      <c r="W6" s="52"/>
      <c r="X6" s="53"/>
      <c r="Y6" s="53"/>
      <c r="Z6" s="53"/>
    </row>
    <row r="7" spans="1:26" s="62" customFormat="1" x14ac:dyDescent="0.25">
      <c r="A7" s="54"/>
      <c r="B7" s="55" t="s">
        <v>375</v>
      </c>
      <c r="C7" s="56"/>
      <c r="D7" s="57"/>
      <c r="E7" s="57"/>
      <c r="F7" s="57"/>
      <c r="G7" s="57"/>
      <c r="H7" s="57"/>
      <c r="I7" s="58"/>
      <c r="J7" s="58">
        <v>21.4</v>
      </c>
      <c r="K7" s="59">
        <v>13.7</v>
      </c>
      <c r="L7" s="59">
        <f>15741421589/10^9</f>
        <v>15.741421589</v>
      </c>
      <c r="M7" s="59">
        <f>16300481470/10^9</f>
        <v>16.300481470000001</v>
      </c>
      <c r="N7" s="59">
        <f>14222741724/10^9</f>
        <v>14.222741724</v>
      </c>
      <c r="O7" s="59">
        <f>15785956482/10^9</f>
        <v>15.785956482</v>
      </c>
      <c r="P7" s="60">
        <f>0.1*P4</f>
        <v>18.439927551800004</v>
      </c>
      <c r="Q7" s="61"/>
      <c r="R7" s="61"/>
      <c r="S7" s="61"/>
      <c r="T7" s="61"/>
      <c r="U7" s="61"/>
      <c r="V7" s="61"/>
      <c r="W7" s="61"/>
      <c r="X7" s="61"/>
      <c r="Y7" s="61"/>
      <c r="Z7" s="61"/>
    </row>
    <row r="8" spans="1:26" s="29" customFormat="1" x14ac:dyDescent="0.25">
      <c r="A8" s="47" t="s">
        <v>376</v>
      </c>
      <c r="B8" s="63" t="s">
        <v>377</v>
      </c>
      <c r="C8" s="49"/>
      <c r="D8" s="50"/>
      <c r="E8" s="50"/>
      <c r="F8" s="50"/>
      <c r="G8" s="50"/>
      <c r="H8" s="50"/>
      <c r="I8" s="51">
        <f>J8</f>
        <v>30</v>
      </c>
      <c r="J8" s="51">
        <f>SUM(J9,J10,J11)</f>
        <v>30</v>
      </c>
      <c r="K8" s="51">
        <f t="shared" ref="K8:P8" si="4">SUM(K9,K10,K11)</f>
        <v>19.100000000000001</v>
      </c>
      <c r="L8" s="51">
        <f t="shared" si="4"/>
        <v>22.037990225000001</v>
      </c>
      <c r="M8" s="51">
        <f t="shared" si="4"/>
        <v>22.820674062000002</v>
      </c>
      <c r="N8" s="51">
        <f t="shared" si="4"/>
        <v>17.067290068000002</v>
      </c>
      <c r="O8" s="51">
        <f t="shared" si="4"/>
        <v>18.943147778</v>
      </c>
      <c r="P8" s="51">
        <f t="shared" si="4"/>
        <v>25.815898572520005</v>
      </c>
      <c r="Q8" s="52"/>
      <c r="R8" s="52"/>
      <c r="S8" s="52"/>
      <c r="T8" s="52"/>
      <c r="U8" s="52"/>
      <c r="V8" s="52"/>
      <c r="W8" s="52"/>
      <c r="X8" s="53"/>
      <c r="Y8" s="53"/>
      <c r="Z8" s="53"/>
    </row>
    <row r="9" spans="1:26" s="62" customFormat="1" x14ac:dyDescent="0.25">
      <c r="A9" s="54"/>
      <c r="B9" s="55" t="s">
        <v>378</v>
      </c>
      <c r="C9" s="56"/>
      <c r="D9" s="57"/>
      <c r="E9" s="57"/>
      <c r="F9" s="57"/>
      <c r="G9" s="57"/>
      <c r="H9" s="57"/>
      <c r="I9" s="58"/>
      <c r="J9" s="58">
        <v>21.4</v>
      </c>
      <c r="K9" s="59">
        <v>13.7</v>
      </c>
      <c r="L9" s="59">
        <f>15741421589/10^9</f>
        <v>15.741421589</v>
      </c>
      <c r="M9" s="59">
        <f>16300481470/10^9</f>
        <v>16.300481470000001</v>
      </c>
      <c r="N9" s="59">
        <f>14222741724/10^9</f>
        <v>14.222741724</v>
      </c>
      <c r="O9" s="59">
        <f>15785956482/10^9</f>
        <v>15.785956482</v>
      </c>
      <c r="P9" s="60">
        <f>0.1*P4</f>
        <v>18.439927551800004</v>
      </c>
      <c r="Q9" s="61"/>
      <c r="R9" s="61"/>
      <c r="S9" s="61"/>
      <c r="T9" s="61"/>
      <c r="U9" s="61"/>
      <c r="V9" s="61"/>
      <c r="W9" s="61"/>
      <c r="X9" s="61"/>
      <c r="Y9" s="61"/>
      <c r="Z9" s="61"/>
    </row>
    <row r="10" spans="1:26" s="62" customFormat="1" x14ac:dyDescent="0.25">
      <c r="A10" s="54"/>
      <c r="B10" s="55" t="s">
        <v>379</v>
      </c>
      <c r="C10" s="56"/>
      <c r="D10" s="57"/>
      <c r="E10" s="57"/>
      <c r="F10" s="57"/>
      <c r="G10" s="57"/>
      <c r="H10" s="57"/>
      <c r="I10" s="58"/>
      <c r="J10" s="58">
        <f>4.3+4.3</f>
        <v>8.6</v>
      </c>
      <c r="K10" s="59">
        <f>2.7*2</f>
        <v>5.4</v>
      </c>
      <c r="L10" s="59">
        <f>3148284318*2/10^9</f>
        <v>6.2965686359999999</v>
      </c>
      <c r="M10" s="59">
        <f>3260096296*2/10^9</f>
        <v>6.5201925919999999</v>
      </c>
      <c r="N10" s="59">
        <f>1422274172/10^9*2</f>
        <v>2.8445483440000001</v>
      </c>
      <c r="O10" s="59">
        <f>1578595648*2/10^9</f>
        <v>3.1571912960000001</v>
      </c>
      <c r="P10" s="60">
        <f>0.02*2*P4</f>
        <v>7.3759710207200015</v>
      </c>
      <c r="Q10" s="61"/>
      <c r="R10" s="61"/>
      <c r="S10" s="61"/>
      <c r="T10" s="61"/>
      <c r="U10" s="61"/>
      <c r="V10" s="61"/>
      <c r="W10" s="61"/>
      <c r="X10" s="61"/>
      <c r="Y10" s="61"/>
      <c r="Z10" s="61"/>
    </row>
    <row r="11" spans="1:26" s="62" customFormat="1" x14ac:dyDescent="0.25">
      <c r="A11" s="54"/>
      <c r="B11" s="55" t="s">
        <v>380</v>
      </c>
      <c r="C11" s="56"/>
      <c r="D11" s="57"/>
      <c r="E11" s="57"/>
      <c r="F11" s="57"/>
      <c r="G11" s="57"/>
      <c r="H11" s="57"/>
      <c r="I11" s="58"/>
      <c r="J11" s="58">
        <v>0</v>
      </c>
      <c r="K11" s="59">
        <v>0</v>
      </c>
      <c r="L11" s="59">
        <v>0</v>
      </c>
      <c r="M11" s="59">
        <v>0</v>
      </c>
      <c r="N11" s="59">
        <v>0</v>
      </c>
      <c r="O11" s="59">
        <v>0</v>
      </c>
      <c r="P11" s="60">
        <v>0</v>
      </c>
      <c r="Q11" s="61"/>
      <c r="R11" s="61"/>
      <c r="S11" s="61"/>
      <c r="T11" s="61"/>
      <c r="U11" s="61"/>
      <c r="V11" s="61"/>
      <c r="W11" s="61"/>
      <c r="X11" s="61"/>
      <c r="Y11" s="61"/>
      <c r="Z11" s="61"/>
    </row>
    <row r="12" spans="1:26" s="42" customFormat="1" x14ac:dyDescent="0.25">
      <c r="A12" s="41">
        <v>3</v>
      </c>
      <c r="B12" s="42" t="s">
        <v>381</v>
      </c>
      <c r="C12" s="43"/>
      <c r="D12" s="44"/>
      <c r="E12" s="44"/>
      <c r="F12" s="44"/>
      <c r="G12" s="44"/>
      <c r="H12" s="44"/>
      <c r="I12" s="45">
        <f>J12</f>
        <v>62.8</v>
      </c>
      <c r="J12" s="45">
        <f>J13+J15</f>
        <v>62.8</v>
      </c>
      <c r="K12" s="45">
        <f t="shared" ref="K12:P12" si="5">K13+K15</f>
        <v>78.599999999999994</v>
      </c>
      <c r="L12" s="45">
        <f t="shared" si="5"/>
        <v>78.5685</v>
      </c>
      <c r="M12" s="45">
        <f t="shared" si="5"/>
        <v>78.568372499999995</v>
      </c>
      <c r="N12" s="45">
        <f t="shared" si="5"/>
        <v>78.5685</v>
      </c>
      <c r="O12" s="45">
        <f t="shared" si="5"/>
        <v>78.5685</v>
      </c>
      <c r="P12" s="45">
        <f t="shared" si="5"/>
        <v>0.46600000000000003</v>
      </c>
      <c r="Q12" s="46"/>
      <c r="R12" s="46"/>
      <c r="S12" s="46"/>
      <c r="T12" s="46"/>
      <c r="U12" s="46"/>
      <c r="V12" s="46"/>
      <c r="W12" s="46"/>
      <c r="X12" s="46"/>
      <c r="Y12" s="46"/>
      <c r="Z12" s="46"/>
    </row>
    <row r="13" spans="1:26" s="29" customFormat="1" x14ac:dyDescent="0.25">
      <c r="A13" s="64"/>
      <c r="B13" s="65" t="s">
        <v>382</v>
      </c>
      <c r="C13" s="32"/>
      <c r="D13" s="66"/>
      <c r="E13" s="66"/>
      <c r="F13" s="66"/>
      <c r="G13" s="66"/>
      <c r="H13" s="66"/>
      <c r="I13" s="67"/>
      <c r="J13" s="67">
        <v>62.8</v>
      </c>
      <c r="K13" s="68">
        <v>78.599999999999994</v>
      </c>
      <c r="L13" s="68">
        <f>78568500000/10^9</f>
        <v>78.5685</v>
      </c>
      <c r="M13" s="68">
        <f>78568372500/10^9</f>
        <v>78.568372499999995</v>
      </c>
      <c r="N13" s="59">
        <f>78568500000/10^9</f>
        <v>78.5685</v>
      </c>
      <c r="O13" s="59">
        <f>78568500000/10^9</f>
        <v>78.5685</v>
      </c>
      <c r="P13" s="59">
        <v>0.46600000000000003</v>
      </c>
      <c r="Q13" s="53"/>
      <c r="R13" s="53"/>
      <c r="S13" s="53"/>
      <c r="T13" s="53"/>
      <c r="U13" s="53"/>
      <c r="V13" s="53"/>
      <c r="W13" s="53"/>
      <c r="X13" s="53"/>
      <c r="Y13" s="53"/>
      <c r="Z13" s="53"/>
    </row>
    <row r="14" spans="1:26" s="76" customFormat="1" x14ac:dyDescent="0.25">
      <c r="A14" s="69"/>
      <c r="B14" s="70" t="s">
        <v>383</v>
      </c>
      <c r="C14" s="71"/>
      <c r="D14" s="72"/>
      <c r="E14" s="72"/>
      <c r="F14" s="72"/>
      <c r="G14" s="72"/>
      <c r="H14" s="72"/>
      <c r="I14" s="73"/>
      <c r="J14" s="73"/>
      <c r="K14" s="73"/>
      <c r="L14" s="73"/>
      <c r="M14" s="73"/>
      <c r="N14" s="59"/>
      <c r="O14" s="59"/>
      <c r="P14" s="60"/>
      <c r="Q14" s="74"/>
      <c r="R14" s="74"/>
      <c r="S14" s="74"/>
      <c r="T14" s="74"/>
      <c r="U14" s="74"/>
      <c r="V14" s="74"/>
      <c r="W14" s="74"/>
      <c r="X14" s="75"/>
      <c r="Y14" s="75"/>
      <c r="Z14" s="75"/>
    </row>
    <row r="15" spans="1:26" s="76" customFormat="1" x14ac:dyDescent="0.25">
      <c r="A15" s="69"/>
      <c r="B15" s="65" t="s">
        <v>384</v>
      </c>
      <c r="C15" s="71"/>
      <c r="I15" s="77"/>
      <c r="J15" s="77">
        <v>0</v>
      </c>
      <c r="K15" s="77">
        <v>0</v>
      </c>
      <c r="L15" s="77">
        <v>0</v>
      </c>
      <c r="M15" s="77">
        <v>0</v>
      </c>
      <c r="N15" s="75"/>
      <c r="O15" s="75"/>
      <c r="P15" s="78"/>
      <c r="Q15" s="75"/>
      <c r="R15" s="75"/>
      <c r="S15" s="75"/>
      <c r="T15" s="75"/>
      <c r="U15" s="75"/>
      <c r="V15" s="75"/>
      <c r="W15" s="75"/>
      <c r="X15" s="75"/>
      <c r="Y15" s="75"/>
      <c r="Z15" s="75"/>
    </row>
    <row r="16" spans="1:26" x14ac:dyDescent="0.25">
      <c r="B16" s="70" t="s">
        <v>383</v>
      </c>
      <c r="I16" s="73"/>
      <c r="J16" s="73"/>
      <c r="K16" s="73"/>
      <c r="L16" s="73"/>
      <c r="M16" s="73"/>
      <c r="N16" s="59"/>
      <c r="O16" s="59"/>
      <c r="P16" s="79"/>
      <c r="Q16" s="80"/>
      <c r="R16" s="80"/>
      <c r="S16" s="80"/>
      <c r="T16" s="80"/>
      <c r="U16" s="80"/>
      <c r="V16" s="80"/>
      <c r="W16" s="80"/>
      <c r="X16" s="80"/>
      <c r="Y16" s="80"/>
      <c r="Z16" s="80"/>
    </row>
    <row r="17" spans="1:26" s="82" customFormat="1" x14ac:dyDescent="0.25">
      <c r="A17" s="81"/>
      <c r="B17" s="82" t="s">
        <v>385</v>
      </c>
      <c r="C17" s="83"/>
      <c r="I17" s="84"/>
      <c r="J17" s="84">
        <f>J4-J5-J12</f>
        <v>100.56550387699995</v>
      </c>
      <c r="K17" s="84">
        <f t="shared" ref="K17:P17" si="6">K4-K5-K12</f>
        <v>30.091537933999959</v>
      </c>
      <c r="L17" s="84">
        <f t="shared" si="6"/>
        <v>48.042882312999964</v>
      </c>
      <c r="M17" s="84">
        <f t="shared" si="6"/>
        <v>45.31527026200007</v>
      </c>
      <c r="N17" s="84">
        <f t="shared" si="6"/>
        <v>32.368885444999989</v>
      </c>
      <c r="O17" s="84">
        <f t="shared" si="6"/>
        <v>44.561960555999988</v>
      </c>
      <c r="P17" s="84">
        <f t="shared" si="6"/>
        <v>139.67744939368001</v>
      </c>
      <c r="Q17" s="84"/>
      <c r="R17" s="84"/>
      <c r="S17" s="84"/>
      <c r="T17" s="84"/>
      <c r="U17" s="84"/>
      <c r="V17" s="84"/>
      <c r="W17" s="84"/>
      <c r="X17" s="84"/>
      <c r="Y17" s="84"/>
      <c r="Z17" s="84"/>
    </row>
    <row r="18" spans="1:26" x14ac:dyDescent="0.25">
      <c r="I18" s="80"/>
      <c r="J18" s="80"/>
      <c r="K18" s="80"/>
      <c r="L18" s="80"/>
      <c r="M18" s="80"/>
      <c r="N18" s="80"/>
      <c r="O18" s="80"/>
      <c r="P18" s="85"/>
      <c r="Q18" s="80"/>
      <c r="R18" s="80"/>
      <c r="S18" s="80"/>
      <c r="T18" s="80"/>
      <c r="U18" s="80"/>
      <c r="V18" s="80"/>
      <c r="W18" s="80"/>
      <c r="X18" s="80"/>
      <c r="Y18" s="80"/>
      <c r="Z18" s="80"/>
    </row>
    <row r="19" spans="1:26" ht="15" customHeight="1" x14ac:dyDescent="0.25">
      <c r="A19" s="34"/>
      <c r="B19" s="86" t="s">
        <v>386</v>
      </c>
      <c r="C19" s="87"/>
      <c r="I19" s="80"/>
      <c r="J19" s="80"/>
      <c r="K19" s="80"/>
      <c r="L19" s="80"/>
      <c r="M19" s="80"/>
      <c r="N19" s="80"/>
      <c r="O19" s="80"/>
      <c r="P19" s="85"/>
      <c r="Q19" s="80"/>
      <c r="R19" s="80"/>
      <c r="S19" s="80"/>
      <c r="T19" s="80"/>
      <c r="U19" s="80"/>
      <c r="V19" s="80"/>
      <c r="W19" s="80"/>
      <c r="X19" s="80"/>
      <c r="Y19" s="80"/>
      <c r="Z19" s="80"/>
    </row>
    <row r="20" spans="1:26" s="29" customFormat="1" x14ac:dyDescent="0.25">
      <c r="A20" s="64">
        <v>1</v>
      </c>
      <c r="B20" s="29" t="s">
        <v>387</v>
      </c>
      <c r="C20" s="32"/>
      <c r="I20" s="53"/>
      <c r="J20" s="53"/>
      <c r="K20" s="53"/>
      <c r="L20" s="53"/>
      <c r="M20" s="53"/>
      <c r="N20" s="53"/>
      <c r="O20" s="53"/>
      <c r="P20" s="88"/>
      <c r="Q20" s="53"/>
      <c r="R20" s="53"/>
      <c r="S20" s="53"/>
      <c r="T20" s="53"/>
      <c r="U20" s="53"/>
      <c r="V20" s="53"/>
      <c r="W20" s="53"/>
      <c r="X20" s="53"/>
      <c r="Y20" s="53"/>
      <c r="Z20" s="53"/>
    </row>
    <row r="21" spans="1:26" s="29" customFormat="1" x14ac:dyDescent="0.25">
      <c r="A21" s="64">
        <v>2</v>
      </c>
      <c r="B21" s="29" t="s">
        <v>388</v>
      </c>
      <c r="C21" s="32"/>
      <c r="I21" s="67"/>
      <c r="J21" s="67"/>
      <c r="K21" s="67"/>
      <c r="L21" s="67"/>
      <c r="M21" s="67"/>
      <c r="N21" s="59"/>
      <c r="O21" s="59"/>
      <c r="P21" s="60"/>
      <c r="Q21" s="2321"/>
      <c r="R21" s="2321"/>
      <c r="S21" s="2321"/>
      <c r="T21" s="2321"/>
      <c r="U21" s="2321"/>
      <c r="V21" s="2321"/>
      <c r="W21" s="2321"/>
      <c r="X21" s="53"/>
      <c r="Y21" s="53"/>
      <c r="Z21" s="53"/>
    </row>
    <row r="22" spans="1:26" s="29" customFormat="1" x14ac:dyDescent="0.25">
      <c r="A22" s="64">
        <v>3</v>
      </c>
      <c r="B22" s="29" t="s">
        <v>389</v>
      </c>
      <c r="C22" s="32"/>
      <c r="I22" s="67"/>
      <c r="J22" s="67"/>
      <c r="K22" s="67"/>
      <c r="L22" s="67"/>
      <c r="M22" s="67"/>
      <c r="N22" s="59"/>
      <c r="O22" s="59"/>
      <c r="P22" s="60"/>
      <c r="Q22" s="2321"/>
      <c r="R22" s="2321"/>
      <c r="S22" s="2321"/>
      <c r="T22" s="2321"/>
      <c r="U22" s="2321"/>
      <c r="V22" s="2321"/>
      <c r="W22" s="2321"/>
      <c r="X22" s="53"/>
      <c r="Y22" s="53"/>
      <c r="Z22" s="53"/>
    </row>
    <row r="23" spans="1:26" s="29" customFormat="1" x14ac:dyDescent="0.25">
      <c r="A23" s="64">
        <v>4</v>
      </c>
      <c r="B23" s="29" t="s">
        <v>390</v>
      </c>
      <c r="C23" s="32"/>
      <c r="I23" s="53"/>
      <c r="J23" s="53"/>
      <c r="K23" s="53"/>
      <c r="L23" s="53"/>
      <c r="M23" s="77"/>
      <c r="N23" s="53"/>
      <c r="O23" s="53"/>
      <c r="P23" s="88"/>
      <c r="Q23" s="2321"/>
      <c r="R23" s="2321"/>
      <c r="S23" s="2321"/>
      <c r="T23" s="2321"/>
      <c r="U23" s="2321"/>
      <c r="V23" s="2321"/>
      <c r="W23" s="2321"/>
      <c r="X23" s="53"/>
      <c r="Y23" s="53"/>
      <c r="Z23" s="53"/>
    </row>
    <row r="24" spans="1:26" s="76" customFormat="1" x14ac:dyDescent="0.25">
      <c r="A24" s="69"/>
      <c r="B24" s="89" t="s">
        <v>391</v>
      </c>
      <c r="C24" s="71"/>
      <c r="I24" s="90"/>
      <c r="J24" s="90"/>
      <c r="K24" s="90"/>
      <c r="L24" s="90"/>
      <c r="M24" s="91"/>
      <c r="N24" s="59"/>
      <c r="O24" s="59"/>
      <c r="P24" s="60"/>
      <c r="Q24" s="2322"/>
      <c r="R24" s="2322"/>
      <c r="S24" s="2322"/>
      <c r="T24" s="2322"/>
      <c r="U24" s="2322"/>
      <c r="V24" s="2322"/>
      <c r="W24" s="2322"/>
      <c r="X24" s="75"/>
      <c r="Y24" s="75"/>
      <c r="Z24" s="75"/>
    </row>
    <row r="25" spans="1:26" s="76" customFormat="1" x14ac:dyDescent="0.25">
      <c r="A25" s="69"/>
      <c r="B25" s="89" t="s">
        <v>392</v>
      </c>
      <c r="C25" s="71"/>
      <c r="I25" s="90"/>
      <c r="J25" s="90"/>
      <c r="K25" s="90"/>
      <c r="L25" s="90"/>
      <c r="M25" s="91"/>
      <c r="N25" s="59"/>
      <c r="O25" s="59"/>
      <c r="P25" s="60"/>
      <c r="Q25" s="2322"/>
      <c r="R25" s="2322"/>
      <c r="S25" s="2322"/>
      <c r="T25" s="2322"/>
      <c r="U25" s="2322"/>
      <c r="V25" s="2322"/>
      <c r="W25" s="2322"/>
      <c r="X25" s="75"/>
      <c r="Y25" s="75"/>
      <c r="Z25" s="75"/>
    </row>
    <row r="26" spans="1:26" s="29" customFormat="1" x14ac:dyDescent="0.25">
      <c r="A26" s="64">
        <v>5</v>
      </c>
      <c r="B26" s="29" t="s">
        <v>393</v>
      </c>
      <c r="C26" s="32"/>
      <c r="I26" s="67"/>
      <c r="J26" s="68"/>
      <c r="K26" s="67"/>
      <c r="L26" s="67"/>
      <c r="M26" s="67"/>
      <c r="N26" s="59"/>
      <c r="O26" s="59"/>
      <c r="P26" s="60"/>
      <c r="Q26" s="2321"/>
      <c r="R26" s="2321"/>
      <c r="S26" s="2321"/>
      <c r="T26" s="2321"/>
      <c r="U26" s="2321"/>
      <c r="V26" s="2321"/>
      <c r="W26" s="2321"/>
      <c r="X26" s="53"/>
      <c r="Y26" s="53"/>
      <c r="Z26" s="53"/>
    </row>
    <row r="27" spans="1:26" s="93" customFormat="1" x14ac:dyDescent="0.25">
      <c r="A27" s="92">
        <v>6</v>
      </c>
      <c r="B27" s="93" t="s">
        <v>394</v>
      </c>
      <c r="C27" s="94"/>
      <c r="I27" s="96">
        <f>41918279</f>
        <v>41918279</v>
      </c>
      <c r="J27" s="96">
        <f>41918279</f>
        <v>41918279</v>
      </c>
      <c r="K27" s="96">
        <f>52379000</f>
        <v>52379000</v>
      </c>
      <c r="L27" s="96">
        <f>52379000</f>
        <v>52379000</v>
      </c>
      <c r="M27" s="96">
        <f>52379000</f>
        <v>52379000</v>
      </c>
      <c r="N27" s="96">
        <f>52379000</f>
        <v>52379000</v>
      </c>
      <c r="O27" s="96">
        <f>52379000</f>
        <v>52379000</v>
      </c>
      <c r="P27" s="96">
        <f>57612444</f>
        <v>57612444</v>
      </c>
      <c r="Q27" s="2323"/>
      <c r="R27" s="2323"/>
      <c r="S27" s="2323"/>
      <c r="T27" s="2323"/>
      <c r="U27" s="2323"/>
      <c r="V27" s="2323"/>
      <c r="W27" s="2323"/>
      <c r="X27" s="95"/>
      <c r="Y27" s="95"/>
      <c r="Z27" s="95"/>
    </row>
    <row r="28" spans="1:26" s="29" customFormat="1" x14ac:dyDescent="0.25">
      <c r="A28" s="64">
        <v>7</v>
      </c>
      <c r="B28" s="29" t="s">
        <v>395</v>
      </c>
      <c r="C28" s="32"/>
      <c r="I28" s="97">
        <v>71</v>
      </c>
      <c r="J28" s="97">
        <v>71</v>
      </c>
      <c r="K28" s="97">
        <v>71</v>
      </c>
      <c r="L28" s="97">
        <v>85</v>
      </c>
      <c r="M28" s="97">
        <v>85</v>
      </c>
      <c r="N28" s="97">
        <v>85</v>
      </c>
      <c r="O28" s="97">
        <v>40085</v>
      </c>
      <c r="P28" s="97">
        <v>40085</v>
      </c>
      <c r="Q28" s="2321"/>
      <c r="R28" s="2321"/>
      <c r="S28" s="2321"/>
      <c r="T28" s="2321"/>
      <c r="U28" s="2321"/>
      <c r="V28" s="2321"/>
      <c r="W28" s="2321"/>
      <c r="X28" s="53"/>
      <c r="Y28" s="53"/>
      <c r="Z28" s="53"/>
    </row>
    <row r="29" spans="1:26" s="93" customFormat="1" x14ac:dyDescent="0.25">
      <c r="A29" s="92">
        <v>8</v>
      </c>
      <c r="B29" s="93" t="s">
        <v>396</v>
      </c>
      <c r="C29" s="94"/>
      <c r="I29" s="99">
        <f>I27-I28</f>
        <v>41918208</v>
      </c>
      <c r="J29" s="99">
        <f>J27-J28</f>
        <v>41918208</v>
      </c>
      <c r="K29" s="99">
        <f t="shared" ref="K29:P29" si="7">K27-K28</f>
        <v>52378929</v>
      </c>
      <c r="L29" s="99">
        <f t="shared" si="7"/>
        <v>52378915</v>
      </c>
      <c r="M29" s="99">
        <f t="shared" si="7"/>
        <v>52378915</v>
      </c>
      <c r="N29" s="99">
        <f t="shared" si="7"/>
        <v>52378915</v>
      </c>
      <c r="O29" s="99">
        <f t="shared" si="7"/>
        <v>52338915</v>
      </c>
      <c r="P29" s="99">
        <f t="shared" si="7"/>
        <v>57572359</v>
      </c>
      <c r="Q29" s="98"/>
      <c r="R29" s="98"/>
      <c r="S29" s="98"/>
      <c r="T29" s="98"/>
      <c r="U29" s="98"/>
      <c r="V29" s="98"/>
      <c r="W29" s="98"/>
      <c r="X29" s="98"/>
      <c r="Y29" s="98"/>
    </row>
    <row r="30" spans="1:26" x14ac:dyDescent="0.25">
      <c r="M30" s="31"/>
      <c r="P30" s="28"/>
    </row>
    <row r="31" spans="1:26" x14ac:dyDescent="0.25">
      <c r="M31" s="31"/>
      <c r="P31" s="28"/>
    </row>
    <row r="32" spans="1:26" x14ac:dyDescent="0.25">
      <c r="M32" s="31"/>
      <c r="P32" s="28"/>
    </row>
    <row r="33" spans="13:16" x14ac:dyDescent="0.25">
      <c r="M33" s="31"/>
      <c r="P33" s="28"/>
    </row>
    <row r="34" spans="13:16" x14ac:dyDescent="0.25">
      <c r="M34" s="31"/>
      <c r="P34" s="28"/>
    </row>
    <row r="35" spans="13:16" x14ac:dyDescent="0.25">
      <c r="M35" s="31"/>
      <c r="P35" s="28"/>
    </row>
    <row r="36" spans="13:16" x14ac:dyDescent="0.25">
      <c r="M36" s="31"/>
      <c r="P36" s="28"/>
    </row>
    <row r="37" spans="13:16" x14ac:dyDescent="0.25">
      <c r="M37" s="31"/>
      <c r="P37" s="28"/>
    </row>
    <row r="38" spans="13:16" x14ac:dyDescent="0.25">
      <c r="M38" s="31"/>
    </row>
    <row r="39" spans="13:16" x14ac:dyDescent="0.25">
      <c r="M39" s="31"/>
    </row>
    <row r="40" spans="13:16" x14ac:dyDescent="0.25">
      <c r="M40" s="31"/>
    </row>
    <row r="41" spans="13:16" x14ac:dyDescent="0.25">
      <c r="M41" s="31"/>
    </row>
    <row r="42" spans="13:16" x14ac:dyDescent="0.25">
      <c r="M42" s="31"/>
    </row>
    <row r="43" spans="13:16" x14ac:dyDescent="0.25">
      <c r="M43" s="31"/>
    </row>
    <row r="44" spans="13:16" x14ac:dyDescent="0.25">
      <c r="M44" s="31"/>
    </row>
    <row r="45" spans="13:16" x14ac:dyDescent="0.25">
      <c r="M45" s="31"/>
    </row>
    <row r="46" spans="13:16" x14ac:dyDescent="0.25">
      <c r="M46" s="31"/>
    </row>
    <row r="47" spans="13:16" x14ac:dyDescent="0.25">
      <c r="M47" s="31"/>
    </row>
    <row r="48" spans="13:16" x14ac:dyDescent="0.25">
      <c r="M48" s="31"/>
    </row>
    <row r="49" spans="13:13" x14ac:dyDescent="0.25">
      <c r="M49" s="31"/>
    </row>
    <row r="50" spans="13:13" x14ac:dyDescent="0.25">
      <c r="M50" s="31"/>
    </row>
    <row r="51" spans="13:13" x14ac:dyDescent="0.25">
      <c r="M51" s="31"/>
    </row>
    <row r="52" spans="13:13" x14ac:dyDescent="0.25">
      <c r="M52" s="31"/>
    </row>
    <row r="53" spans="13:13" x14ac:dyDescent="0.25">
      <c r="M53" s="31"/>
    </row>
    <row r="54" spans="13:13" x14ac:dyDescent="0.25">
      <c r="M54" s="31"/>
    </row>
    <row r="55" spans="13:13" x14ac:dyDescent="0.25">
      <c r="M55" s="31"/>
    </row>
    <row r="56" spans="13:13" x14ac:dyDescent="0.25">
      <c r="M56" s="31"/>
    </row>
    <row r="57" spans="13:13" x14ac:dyDescent="0.25">
      <c r="M57" s="31"/>
    </row>
    <row r="58" spans="13:13" x14ac:dyDescent="0.25">
      <c r="M58" s="31"/>
    </row>
    <row r="59" spans="13:13" x14ac:dyDescent="0.25">
      <c r="M59" s="31"/>
    </row>
    <row r="60" spans="13:13" x14ac:dyDescent="0.25">
      <c r="M60" s="31"/>
    </row>
    <row r="61" spans="13:13" x14ac:dyDescent="0.25">
      <c r="M61" s="31"/>
    </row>
    <row r="62" spans="13:13" x14ac:dyDescent="0.25">
      <c r="M62" s="31"/>
    </row>
    <row r="63" spans="13:13" x14ac:dyDescent="0.25">
      <c r="M63" s="31"/>
    </row>
    <row r="64" spans="13:13" x14ac:dyDescent="0.25">
      <c r="M64" s="31"/>
    </row>
    <row r="65" spans="13:13" x14ac:dyDescent="0.25">
      <c r="M65" s="31"/>
    </row>
    <row r="66" spans="13:13" x14ac:dyDescent="0.25">
      <c r="M66" s="31"/>
    </row>
    <row r="67" spans="13:13" x14ac:dyDescent="0.25">
      <c r="M67" s="31"/>
    </row>
    <row r="68" spans="13:13" x14ac:dyDescent="0.25">
      <c r="M68" s="31"/>
    </row>
    <row r="69" spans="13:13" x14ac:dyDescent="0.25">
      <c r="M69" s="31"/>
    </row>
    <row r="70" spans="13:13" x14ac:dyDescent="0.25">
      <c r="M70" s="31"/>
    </row>
    <row r="71" spans="13:13" x14ac:dyDescent="0.25">
      <c r="M71" s="31"/>
    </row>
    <row r="72" spans="13:13" x14ac:dyDescent="0.25">
      <c r="M72" s="31"/>
    </row>
    <row r="73" spans="13:13" x14ac:dyDescent="0.25">
      <c r="M73" s="31"/>
    </row>
    <row r="74" spans="13:13" x14ac:dyDescent="0.25">
      <c r="M74" s="31"/>
    </row>
    <row r="75" spans="13:13" x14ac:dyDescent="0.25">
      <c r="M75" s="31"/>
    </row>
    <row r="76" spans="13:13" x14ac:dyDescent="0.25">
      <c r="M76" s="31"/>
    </row>
    <row r="77" spans="13:13" x14ac:dyDescent="0.25">
      <c r="M77" s="31"/>
    </row>
    <row r="78" spans="13:13" x14ac:dyDescent="0.25">
      <c r="M78" s="31"/>
    </row>
    <row r="79" spans="13:13" x14ac:dyDescent="0.25">
      <c r="M79" s="31"/>
    </row>
  </sheetData>
  <mergeCells count="1">
    <mergeCell ref="K1:P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6E997-968E-46C0-9235-990397155E3D}">
  <dimension ref="A3:P371"/>
  <sheetViews>
    <sheetView zoomScale="49" zoomScaleNormal="49" workbookViewId="0">
      <selection activeCell="C363" sqref="C363"/>
    </sheetView>
  </sheetViews>
  <sheetFormatPr defaultRowHeight="14.4" x14ac:dyDescent="0.3"/>
  <cols>
    <col min="1" max="1" width="10.44140625" style="19" customWidth="1"/>
    <col min="2" max="2" width="67.44140625" style="19" customWidth="1"/>
    <col min="3" max="3" width="61.88671875" style="19" bestFit="1" customWidth="1"/>
    <col min="4" max="4" width="43.33203125" style="19" bestFit="1" customWidth="1"/>
    <col min="5" max="5" width="63.33203125" style="19" bestFit="1" customWidth="1"/>
    <col min="6" max="6" width="18.109375" style="19" customWidth="1"/>
    <col min="7" max="7" width="19.5546875" style="19" customWidth="1"/>
    <col min="8" max="8" width="8.88671875" style="614"/>
    <col min="9" max="9" width="14.109375" style="614" customWidth="1"/>
    <col min="10" max="10" width="20.5546875" style="614" customWidth="1"/>
    <col min="11" max="11" width="15.33203125" style="19" customWidth="1"/>
    <col min="12" max="12" width="15.88671875" style="19" customWidth="1"/>
    <col min="13" max="13" width="42.109375" style="19" bestFit="1" customWidth="1"/>
    <col min="14" max="14" width="42.109375" style="19" customWidth="1"/>
    <col min="15" max="15" width="15.88671875" style="19" customWidth="1"/>
    <col min="16" max="16" width="30.33203125" style="19" bestFit="1" customWidth="1"/>
    <col min="17" max="16384" width="8.88671875" style="19"/>
  </cols>
  <sheetData>
    <row r="3" spans="1:16" x14ac:dyDescent="0.3">
      <c r="A3" s="577" t="s">
        <v>667</v>
      </c>
      <c r="B3" s="578" t="s">
        <v>668</v>
      </c>
      <c r="C3" s="578" t="s">
        <v>669</v>
      </c>
      <c r="D3" s="578" t="s">
        <v>670</v>
      </c>
      <c r="E3" s="578" t="s">
        <v>671</v>
      </c>
      <c r="F3" s="578" t="s">
        <v>672</v>
      </c>
      <c r="G3" s="578" t="s">
        <v>673</v>
      </c>
      <c r="H3" s="579" t="s">
        <v>674</v>
      </c>
      <c r="I3" s="579" t="s">
        <v>675</v>
      </c>
      <c r="J3" s="579" t="s">
        <v>676</v>
      </c>
      <c r="K3" s="579" t="s">
        <v>677</v>
      </c>
      <c r="L3" s="579" t="s">
        <v>678</v>
      </c>
      <c r="M3" s="579" t="s">
        <v>679</v>
      </c>
      <c r="N3" s="579" t="s">
        <v>680</v>
      </c>
      <c r="O3" s="579" t="s">
        <v>681</v>
      </c>
      <c r="P3" s="580" t="s">
        <v>682</v>
      </c>
    </row>
    <row r="4" spans="1:16" s="585" customFormat="1" x14ac:dyDescent="0.3">
      <c r="A4" s="581" t="s">
        <v>683</v>
      </c>
      <c r="B4" s="582" t="s">
        <v>684</v>
      </c>
      <c r="C4" s="582" t="s">
        <v>685</v>
      </c>
      <c r="D4" s="582" t="s">
        <v>686</v>
      </c>
      <c r="E4" s="582" t="s">
        <v>687</v>
      </c>
      <c r="F4" s="582" t="s">
        <v>688</v>
      </c>
      <c r="G4" s="582" t="s">
        <v>689</v>
      </c>
      <c r="H4" s="583"/>
      <c r="I4" s="583"/>
      <c r="J4" s="583"/>
      <c r="K4" s="583"/>
      <c r="L4" s="583"/>
      <c r="M4" s="583"/>
      <c r="N4" s="583"/>
      <c r="O4" s="583"/>
      <c r="P4" s="584"/>
    </row>
    <row r="5" spans="1:16" x14ac:dyDescent="0.3">
      <c r="A5" s="586">
        <v>1</v>
      </c>
      <c r="B5" s="587" t="s">
        <v>690</v>
      </c>
      <c r="C5" s="588" t="s">
        <v>691</v>
      </c>
      <c r="D5" s="588" t="s">
        <v>692</v>
      </c>
      <c r="E5" s="589" t="s">
        <v>693</v>
      </c>
      <c r="F5" s="590" t="s">
        <v>694</v>
      </c>
      <c r="G5" s="589"/>
      <c r="H5" s="590" t="s">
        <v>695</v>
      </c>
      <c r="I5" s="590" t="s">
        <v>696</v>
      </c>
      <c r="J5" s="591">
        <v>44582</v>
      </c>
      <c r="K5" s="592">
        <v>103000</v>
      </c>
      <c r="L5" s="592">
        <v>51660</v>
      </c>
      <c r="M5" s="592">
        <f>K5-L5</f>
        <v>51340</v>
      </c>
      <c r="N5" s="593">
        <f>M5/K5</f>
        <v>0.49844660194174756</v>
      </c>
      <c r="O5" s="592">
        <f>AVERAGE(K5,L5)</f>
        <v>77330</v>
      </c>
      <c r="P5" s="594">
        <f>O5*1.2</f>
        <v>92796</v>
      </c>
    </row>
    <row r="6" spans="1:16" x14ac:dyDescent="0.3">
      <c r="A6" s="595">
        <v>2</v>
      </c>
      <c r="B6" s="596" t="s">
        <v>697</v>
      </c>
      <c r="C6" s="597" t="s">
        <v>698</v>
      </c>
      <c r="D6" s="597" t="s">
        <v>699</v>
      </c>
      <c r="E6" s="598" t="s">
        <v>700</v>
      </c>
      <c r="F6" s="599" t="s">
        <v>694</v>
      </c>
      <c r="G6" s="598"/>
      <c r="H6" s="599" t="s">
        <v>701</v>
      </c>
      <c r="I6" s="599" t="s">
        <v>702</v>
      </c>
      <c r="J6" s="600">
        <v>42926</v>
      </c>
      <c r="K6" s="601">
        <v>4200</v>
      </c>
      <c r="L6" s="601">
        <v>1069</v>
      </c>
      <c r="M6" s="601">
        <f t="shared" ref="M6:M68" si="0">K6-L6</f>
        <v>3131</v>
      </c>
      <c r="N6" s="602">
        <f t="shared" ref="N6:N68" si="1">M6/K6</f>
        <v>0.74547619047619051</v>
      </c>
      <c r="O6" s="601">
        <f t="shared" ref="O6:O68" si="2">AVERAGE(K6,L6)</f>
        <v>2634.5</v>
      </c>
      <c r="P6" s="603">
        <f t="shared" ref="P6:P68" si="3">O6*1.2</f>
        <v>3161.4</v>
      </c>
    </row>
    <row r="7" spans="1:16" x14ac:dyDescent="0.3">
      <c r="A7" s="586">
        <v>3</v>
      </c>
      <c r="B7" s="587" t="s">
        <v>703</v>
      </c>
      <c r="C7" s="588" t="s">
        <v>698</v>
      </c>
      <c r="D7" s="588" t="s">
        <v>699</v>
      </c>
      <c r="E7" s="589" t="s">
        <v>700</v>
      </c>
      <c r="F7" s="590" t="s">
        <v>694</v>
      </c>
      <c r="G7" s="589"/>
      <c r="H7" s="590" t="s">
        <v>701</v>
      </c>
      <c r="I7" s="590" t="s">
        <v>702</v>
      </c>
      <c r="J7" s="591">
        <v>42486</v>
      </c>
      <c r="K7" s="592">
        <v>2520</v>
      </c>
      <c r="L7" s="592">
        <v>750</v>
      </c>
      <c r="M7" s="592">
        <f t="shared" si="0"/>
        <v>1770</v>
      </c>
      <c r="N7" s="593">
        <f t="shared" si="1"/>
        <v>0.70238095238095233</v>
      </c>
      <c r="O7" s="592">
        <f t="shared" si="2"/>
        <v>1635</v>
      </c>
      <c r="P7" s="594">
        <f t="shared" si="3"/>
        <v>1962</v>
      </c>
    </row>
    <row r="8" spans="1:16" x14ac:dyDescent="0.3">
      <c r="A8" s="595">
        <v>4</v>
      </c>
      <c r="B8" s="596" t="s">
        <v>704</v>
      </c>
      <c r="C8" s="597" t="s">
        <v>705</v>
      </c>
      <c r="D8" s="597" t="s">
        <v>692</v>
      </c>
      <c r="E8" s="598" t="s">
        <v>706</v>
      </c>
      <c r="F8" s="599" t="s">
        <v>694</v>
      </c>
      <c r="G8" s="598"/>
      <c r="H8" s="599" t="s">
        <v>695</v>
      </c>
      <c r="I8" s="599" t="s">
        <v>696</v>
      </c>
      <c r="J8" s="600">
        <v>42604</v>
      </c>
      <c r="K8" s="601">
        <v>28400</v>
      </c>
      <c r="L8" s="601">
        <v>16989</v>
      </c>
      <c r="M8" s="601">
        <f t="shared" si="0"/>
        <v>11411</v>
      </c>
      <c r="N8" s="602">
        <f t="shared" si="1"/>
        <v>0.40179577464788735</v>
      </c>
      <c r="O8" s="601">
        <f t="shared" si="2"/>
        <v>22694.5</v>
      </c>
      <c r="P8" s="603">
        <f t="shared" si="3"/>
        <v>27233.399999999998</v>
      </c>
    </row>
    <row r="9" spans="1:16" x14ac:dyDescent="0.3">
      <c r="A9" s="586">
        <v>5</v>
      </c>
      <c r="B9" s="587" t="s">
        <v>707</v>
      </c>
      <c r="C9" s="588" t="s">
        <v>708</v>
      </c>
      <c r="D9" s="588" t="s">
        <v>692</v>
      </c>
      <c r="E9" s="604" t="s">
        <v>709</v>
      </c>
      <c r="F9" s="589"/>
      <c r="G9" s="590" t="s">
        <v>694</v>
      </c>
      <c r="H9" s="590" t="s">
        <v>695</v>
      </c>
      <c r="I9" s="590" t="s">
        <v>696</v>
      </c>
      <c r="J9" s="591">
        <v>42237</v>
      </c>
      <c r="K9" s="592">
        <v>375000</v>
      </c>
      <c r="L9" s="592">
        <v>359100</v>
      </c>
      <c r="M9" s="592">
        <f t="shared" si="0"/>
        <v>15900</v>
      </c>
      <c r="N9" s="593">
        <f t="shared" si="1"/>
        <v>4.24E-2</v>
      </c>
      <c r="O9" s="592">
        <f t="shared" si="2"/>
        <v>367050</v>
      </c>
      <c r="P9" s="594">
        <f t="shared" si="3"/>
        <v>440460</v>
      </c>
    </row>
    <row r="10" spans="1:16" x14ac:dyDescent="0.3">
      <c r="A10" s="595">
        <v>6</v>
      </c>
      <c r="B10" s="596" t="s">
        <v>710</v>
      </c>
      <c r="C10" s="597" t="s">
        <v>711</v>
      </c>
      <c r="D10" s="597" t="s">
        <v>712</v>
      </c>
      <c r="E10" s="598" t="s">
        <v>713</v>
      </c>
      <c r="F10" s="598"/>
      <c r="G10" s="599" t="s">
        <v>694</v>
      </c>
      <c r="H10" s="599" t="s">
        <v>714</v>
      </c>
      <c r="I10" s="599" t="s">
        <v>696</v>
      </c>
      <c r="J10" s="600">
        <v>43425</v>
      </c>
      <c r="K10" s="601">
        <v>52000</v>
      </c>
      <c r="L10" s="601">
        <v>19887</v>
      </c>
      <c r="M10" s="601">
        <f t="shared" si="0"/>
        <v>32113</v>
      </c>
      <c r="N10" s="602">
        <f t="shared" si="1"/>
        <v>0.61755769230769231</v>
      </c>
      <c r="O10" s="601">
        <f t="shared" si="2"/>
        <v>35943.5</v>
      </c>
      <c r="P10" s="603">
        <f t="shared" si="3"/>
        <v>43132.2</v>
      </c>
    </row>
    <row r="11" spans="1:16" x14ac:dyDescent="0.3">
      <c r="A11" s="586">
        <v>7</v>
      </c>
      <c r="B11" s="587" t="s">
        <v>715</v>
      </c>
      <c r="C11" s="588" t="s">
        <v>716</v>
      </c>
      <c r="D11" s="588" t="s">
        <v>692</v>
      </c>
      <c r="E11" s="589" t="s">
        <v>706</v>
      </c>
      <c r="F11" s="590" t="s">
        <v>694</v>
      </c>
      <c r="G11" s="589"/>
      <c r="H11" s="590" t="s">
        <v>695</v>
      </c>
      <c r="I11" s="590" t="s">
        <v>696</v>
      </c>
      <c r="J11" s="591">
        <v>43209</v>
      </c>
      <c r="K11" s="592">
        <v>47250</v>
      </c>
      <c r="L11" s="592">
        <v>16695</v>
      </c>
      <c r="M11" s="592">
        <f t="shared" si="0"/>
        <v>30555</v>
      </c>
      <c r="N11" s="593">
        <f t="shared" si="1"/>
        <v>0.64666666666666661</v>
      </c>
      <c r="O11" s="592">
        <f t="shared" si="2"/>
        <v>31972.5</v>
      </c>
      <c r="P11" s="594">
        <f t="shared" si="3"/>
        <v>38367</v>
      </c>
    </row>
    <row r="12" spans="1:16" x14ac:dyDescent="0.3">
      <c r="A12" s="595">
        <v>8</v>
      </c>
      <c r="B12" s="596" t="s">
        <v>717</v>
      </c>
      <c r="C12" s="597" t="s">
        <v>718</v>
      </c>
      <c r="D12" s="597" t="s">
        <v>692</v>
      </c>
      <c r="E12" s="598" t="s">
        <v>700</v>
      </c>
      <c r="F12" s="599" t="s">
        <v>694</v>
      </c>
      <c r="G12" s="598"/>
      <c r="H12" s="599" t="s">
        <v>695</v>
      </c>
      <c r="I12" s="599" t="s">
        <v>696</v>
      </c>
      <c r="J12" s="600">
        <v>43013</v>
      </c>
      <c r="K12" s="601">
        <v>39900</v>
      </c>
      <c r="L12" s="601">
        <v>9990</v>
      </c>
      <c r="M12" s="601">
        <f t="shared" si="0"/>
        <v>29910</v>
      </c>
      <c r="N12" s="602">
        <f t="shared" si="1"/>
        <v>0.74962406015037597</v>
      </c>
      <c r="O12" s="601">
        <f t="shared" si="2"/>
        <v>24945</v>
      </c>
      <c r="P12" s="603">
        <f t="shared" si="3"/>
        <v>29934</v>
      </c>
    </row>
    <row r="13" spans="1:16" x14ac:dyDescent="0.3">
      <c r="A13" s="586">
        <v>9</v>
      </c>
      <c r="B13" s="587" t="s">
        <v>719</v>
      </c>
      <c r="C13" s="588" t="s">
        <v>720</v>
      </c>
      <c r="D13" s="588" t="s">
        <v>721</v>
      </c>
      <c r="E13" s="589" t="s">
        <v>722</v>
      </c>
      <c r="F13" s="590" t="s">
        <v>694</v>
      </c>
      <c r="G13" s="589"/>
      <c r="H13" s="590" t="s">
        <v>723</v>
      </c>
      <c r="I13" s="590" t="s">
        <v>724</v>
      </c>
      <c r="J13" s="591">
        <v>42712</v>
      </c>
      <c r="K13" s="592">
        <v>8400</v>
      </c>
      <c r="L13" s="592">
        <v>1840</v>
      </c>
      <c r="M13" s="592">
        <f t="shared" si="0"/>
        <v>6560</v>
      </c>
      <c r="N13" s="593">
        <f t="shared" si="1"/>
        <v>0.78095238095238095</v>
      </c>
      <c r="O13" s="592">
        <f t="shared" si="2"/>
        <v>5120</v>
      </c>
      <c r="P13" s="594">
        <f t="shared" si="3"/>
        <v>6144</v>
      </c>
    </row>
    <row r="14" spans="1:16" x14ac:dyDescent="0.3">
      <c r="A14" s="595">
        <v>10</v>
      </c>
      <c r="B14" s="596" t="s">
        <v>725</v>
      </c>
      <c r="C14" s="597" t="s">
        <v>726</v>
      </c>
      <c r="D14" s="597" t="s">
        <v>692</v>
      </c>
      <c r="E14" s="598" t="s">
        <v>700</v>
      </c>
      <c r="F14" s="599" t="s">
        <v>694</v>
      </c>
      <c r="G14" s="598"/>
      <c r="H14" s="599" t="s">
        <v>695</v>
      </c>
      <c r="I14" s="599" t="s">
        <v>696</v>
      </c>
      <c r="J14" s="600">
        <v>42438</v>
      </c>
      <c r="K14" s="601">
        <v>15000</v>
      </c>
      <c r="L14" s="601">
        <v>5769</v>
      </c>
      <c r="M14" s="601">
        <f t="shared" si="0"/>
        <v>9231</v>
      </c>
      <c r="N14" s="602">
        <f t="shared" si="1"/>
        <v>0.61539999999999995</v>
      </c>
      <c r="O14" s="601">
        <f t="shared" si="2"/>
        <v>10384.5</v>
      </c>
      <c r="P14" s="603">
        <f t="shared" si="3"/>
        <v>12461.4</v>
      </c>
    </row>
    <row r="15" spans="1:16" x14ac:dyDescent="0.3">
      <c r="A15" s="586">
        <v>11</v>
      </c>
      <c r="B15" s="587" t="s">
        <v>727</v>
      </c>
      <c r="C15" s="588" t="s">
        <v>728</v>
      </c>
      <c r="D15" s="588" t="s">
        <v>692</v>
      </c>
      <c r="E15" s="589" t="s">
        <v>693</v>
      </c>
      <c r="F15" s="590" t="s">
        <v>694</v>
      </c>
      <c r="G15" s="589"/>
      <c r="H15" s="590" t="s">
        <v>695</v>
      </c>
      <c r="I15" s="590" t="s">
        <v>696</v>
      </c>
      <c r="J15" s="591">
        <v>42269</v>
      </c>
      <c r="K15" s="592">
        <v>161700</v>
      </c>
      <c r="L15" s="592">
        <v>57750</v>
      </c>
      <c r="M15" s="592">
        <f t="shared" si="0"/>
        <v>103950</v>
      </c>
      <c r="N15" s="593">
        <f t="shared" si="1"/>
        <v>0.6428571428571429</v>
      </c>
      <c r="O15" s="592">
        <f t="shared" si="2"/>
        <v>109725</v>
      </c>
      <c r="P15" s="594">
        <f t="shared" si="3"/>
        <v>131670</v>
      </c>
    </row>
    <row r="16" spans="1:16" x14ac:dyDescent="0.3">
      <c r="A16" s="595">
        <v>12</v>
      </c>
      <c r="B16" s="596" t="s">
        <v>729</v>
      </c>
      <c r="C16" s="597" t="s">
        <v>728</v>
      </c>
      <c r="D16" s="597" t="s">
        <v>692</v>
      </c>
      <c r="E16" s="598" t="s">
        <v>693</v>
      </c>
      <c r="F16" s="599" t="s">
        <v>694</v>
      </c>
      <c r="G16" s="598"/>
      <c r="H16" s="599" t="s">
        <v>695</v>
      </c>
      <c r="I16" s="599" t="s">
        <v>696</v>
      </c>
      <c r="J16" s="600">
        <v>42269</v>
      </c>
      <c r="K16" s="601">
        <v>96600</v>
      </c>
      <c r="L16" s="601">
        <v>36981</v>
      </c>
      <c r="M16" s="601">
        <f t="shared" si="0"/>
        <v>59619</v>
      </c>
      <c r="N16" s="602">
        <f t="shared" si="1"/>
        <v>0.61717391304347824</v>
      </c>
      <c r="O16" s="601">
        <f t="shared" si="2"/>
        <v>66790.5</v>
      </c>
      <c r="P16" s="603">
        <f t="shared" si="3"/>
        <v>80148.599999999991</v>
      </c>
    </row>
    <row r="17" spans="1:16" x14ac:dyDescent="0.3">
      <c r="A17" s="586">
        <v>13</v>
      </c>
      <c r="B17" s="587" t="s">
        <v>730</v>
      </c>
      <c r="C17" s="588" t="s">
        <v>705</v>
      </c>
      <c r="D17" s="588" t="s">
        <v>692</v>
      </c>
      <c r="E17" s="589" t="s">
        <v>706</v>
      </c>
      <c r="F17" s="590" t="s">
        <v>694</v>
      </c>
      <c r="G17" s="589"/>
      <c r="H17" s="590" t="s">
        <v>695</v>
      </c>
      <c r="I17" s="590" t="s">
        <v>696</v>
      </c>
      <c r="J17" s="591">
        <v>42604</v>
      </c>
      <c r="K17" s="592">
        <v>28400</v>
      </c>
      <c r="L17" s="592">
        <v>16989</v>
      </c>
      <c r="M17" s="592">
        <f t="shared" si="0"/>
        <v>11411</v>
      </c>
      <c r="N17" s="593">
        <f t="shared" si="1"/>
        <v>0.40179577464788735</v>
      </c>
      <c r="O17" s="592">
        <f t="shared" si="2"/>
        <v>22694.5</v>
      </c>
      <c r="P17" s="594">
        <f t="shared" si="3"/>
        <v>27233.399999999998</v>
      </c>
    </row>
    <row r="18" spans="1:16" x14ac:dyDescent="0.3">
      <c r="A18" s="595">
        <v>14</v>
      </c>
      <c r="B18" s="596" t="s">
        <v>731</v>
      </c>
      <c r="C18" s="597" t="s">
        <v>732</v>
      </c>
      <c r="D18" s="597" t="s">
        <v>692</v>
      </c>
      <c r="E18" s="598" t="s">
        <v>733</v>
      </c>
      <c r="F18" s="599" t="s">
        <v>694</v>
      </c>
      <c r="G18" s="598"/>
      <c r="H18" s="599" t="s">
        <v>695</v>
      </c>
      <c r="I18" s="599" t="s">
        <v>696</v>
      </c>
      <c r="J18" s="600">
        <v>42247</v>
      </c>
      <c r="K18" s="601">
        <v>94500</v>
      </c>
      <c r="L18" s="601">
        <v>65982</v>
      </c>
      <c r="M18" s="601">
        <f t="shared" si="0"/>
        <v>28518</v>
      </c>
      <c r="N18" s="602">
        <f t="shared" si="1"/>
        <v>0.30177777777777776</v>
      </c>
      <c r="O18" s="601">
        <f t="shared" si="2"/>
        <v>80241</v>
      </c>
      <c r="P18" s="603">
        <f t="shared" si="3"/>
        <v>96289.2</v>
      </c>
    </row>
    <row r="19" spans="1:16" x14ac:dyDescent="0.3">
      <c r="A19" s="586">
        <v>15</v>
      </c>
      <c r="B19" s="587" t="s">
        <v>734</v>
      </c>
      <c r="C19" s="588" t="s">
        <v>735</v>
      </c>
      <c r="D19" s="588" t="s">
        <v>721</v>
      </c>
      <c r="E19" s="589" t="s">
        <v>706</v>
      </c>
      <c r="F19" s="590" t="s">
        <v>694</v>
      </c>
      <c r="G19" s="589"/>
      <c r="H19" s="590" t="s">
        <v>723</v>
      </c>
      <c r="I19" s="590" t="s">
        <v>724</v>
      </c>
      <c r="J19" s="591">
        <v>43013</v>
      </c>
      <c r="K19" s="592">
        <v>3675</v>
      </c>
      <c r="L19" s="592">
        <v>1239</v>
      </c>
      <c r="M19" s="592">
        <f t="shared" si="0"/>
        <v>2436</v>
      </c>
      <c r="N19" s="593">
        <f t="shared" si="1"/>
        <v>0.66285714285714281</v>
      </c>
      <c r="O19" s="592">
        <f t="shared" si="2"/>
        <v>2457</v>
      </c>
      <c r="P19" s="594">
        <f t="shared" si="3"/>
        <v>2948.4</v>
      </c>
    </row>
    <row r="20" spans="1:16" x14ac:dyDescent="0.3">
      <c r="A20" s="595">
        <v>16</v>
      </c>
      <c r="B20" s="596" t="s">
        <v>736</v>
      </c>
      <c r="C20" s="597" t="s">
        <v>737</v>
      </c>
      <c r="D20" s="597" t="s">
        <v>699</v>
      </c>
      <c r="E20" s="598" t="s">
        <v>738</v>
      </c>
      <c r="F20" s="598"/>
      <c r="G20" s="599" t="s">
        <v>694</v>
      </c>
      <c r="H20" s="599" t="s">
        <v>739</v>
      </c>
      <c r="I20" s="599" t="s">
        <v>740</v>
      </c>
      <c r="J20" s="600">
        <v>43955</v>
      </c>
      <c r="K20" s="601">
        <v>1995</v>
      </c>
      <c r="L20" s="601">
        <v>735</v>
      </c>
      <c r="M20" s="601">
        <f t="shared" si="0"/>
        <v>1260</v>
      </c>
      <c r="N20" s="602">
        <f t="shared" si="1"/>
        <v>0.63157894736842102</v>
      </c>
      <c r="O20" s="601">
        <f t="shared" si="2"/>
        <v>1365</v>
      </c>
      <c r="P20" s="603">
        <f t="shared" si="3"/>
        <v>1638</v>
      </c>
    </row>
    <row r="21" spans="1:16" x14ac:dyDescent="0.3">
      <c r="A21" s="586">
        <v>17</v>
      </c>
      <c r="B21" s="587" t="s">
        <v>703</v>
      </c>
      <c r="C21" s="588" t="s">
        <v>698</v>
      </c>
      <c r="D21" s="588" t="s">
        <v>721</v>
      </c>
      <c r="E21" s="589" t="s">
        <v>700</v>
      </c>
      <c r="F21" s="590" t="s">
        <v>694</v>
      </c>
      <c r="G21" s="589"/>
      <c r="H21" s="590" t="s">
        <v>723</v>
      </c>
      <c r="I21" s="590" t="s">
        <v>724</v>
      </c>
      <c r="J21" s="591">
        <v>43013</v>
      </c>
      <c r="K21" s="592">
        <v>3990</v>
      </c>
      <c r="L21" s="592">
        <v>1386</v>
      </c>
      <c r="M21" s="592">
        <f t="shared" si="0"/>
        <v>2604</v>
      </c>
      <c r="N21" s="593">
        <f t="shared" si="1"/>
        <v>0.65263157894736845</v>
      </c>
      <c r="O21" s="592">
        <f t="shared" si="2"/>
        <v>2688</v>
      </c>
      <c r="P21" s="594">
        <f t="shared" si="3"/>
        <v>3225.6</v>
      </c>
    </row>
    <row r="22" spans="1:16" x14ac:dyDescent="0.3">
      <c r="A22" s="595">
        <v>18</v>
      </c>
      <c r="B22" s="596" t="s">
        <v>741</v>
      </c>
      <c r="C22" s="597" t="s">
        <v>720</v>
      </c>
      <c r="D22" s="597" t="s">
        <v>721</v>
      </c>
      <c r="E22" s="598" t="s">
        <v>742</v>
      </c>
      <c r="F22" s="599" t="s">
        <v>694</v>
      </c>
      <c r="G22" s="598"/>
      <c r="H22" s="599" t="s">
        <v>723</v>
      </c>
      <c r="I22" s="599" t="s">
        <v>724</v>
      </c>
      <c r="J22" s="600">
        <v>42783</v>
      </c>
      <c r="K22" s="601">
        <v>5500</v>
      </c>
      <c r="L22" s="601">
        <v>1189</v>
      </c>
      <c r="M22" s="601">
        <f t="shared" si="0"/>
        <v>4311</v>
      </c>
      <c r="N22" s="602">
        <f t="shared" si="1"/>
        <v>0.78381818181818186</v>
      </c>
      <c r="O22" s="601">
        <f t="shared" si="2"/>
        <v>3344.5</v>
      </c>
      <c r="P22" s="603">
        <f t="shared" si="3"/>
        <v>4013.3999999999996</v>
      </c>
    </row>
    <row r="23" spans="1:16" x14ac:dyDescent="0.3">
      <c r="A23" s="586">
        <v>19</v>
      </c>
      <c r="B23" s="587" t="s">
        <v>743</v>
      </c>
      <c r="C23" s="588" t="s">
        <v>744</v>
      </c>
      <c r="D23" s="588" t="s">
        <v>745</v>
      </c>
      <c r="E23" s="589" t="s">
        <v>700</v>
      </c>
      <c r="F23" s="590" t="s">
        <v>694</v>
      </c>
      <c r="G23" s="589"/>
      <c r="H23" s="590" t="s">
        <v>701</v>
      </c>
      <c r="I23" s="590" t="s">
        <v>702</v>
      </c>
      <c r="J23" s="591">
        <v>42604</v>
      </c>
      <c r="K23" s="592">
        <v>7455</v>
      </c>
      <c r="L23" s="592">
        <v>4893</v>
      </c>
      <c r="M23" s="592">
        <f t="shared" si="0"/>
        <v>2562</v>
      </c>
      <c r="N23" s="593">
        <f t="shared" si="1"/>
        <v>0.3436619718309859</v>
      </c>
      <c r="O23" s="592">
        <f t="shared" si="2"/>
        <v>6174</v>
      </c>
      <c r="P23" s="594">
        <f t="shared" si="3"/>
        <v>7408.7999999999993</v>
      </c>
    </row>
    <row r="24" spans="1:16" x14ac:dyDescent="0.3">
      <c r="A24" s="595">
        <v>20</v>
      </c>
      <c r="B24" s="596" t="s">
        <v>746</v>
      </c>
      <c r="C24" s="597" t="s">
        <v>747</v>
      </c>
      <c r="D24" s="597" t="s">
        <v>692</v>
      </c>
      <c r="E24" s="598" t="s">
        <v>748</v>
      </c>
      <c r="F24" s="599" t="s">
        <v>694</v>
      </c>
      <c r="G24" s="598"/>
      <c r="H24" s="599" t="s">
        <v>695</v>
      </c>
      <c r="I24" s="599" t="s">
        <v>696</v>
      </c>
      <c r="J24" s="600">
        <v>42247</v>
      </c>
      <c r="K24" s="601">
        <v>44940</v>
      </c>
      <c r="L24" s="601">
        <v>15183</v>
      </c>
      <c r="M24" s="601">
        <f t="shared" si="0"/>
        <v>29757</v>
      </c>
      <c r="N24" s="602">
        <f t="shared" si="1"/>
        <v>0.66214953271028032</v>
      </c>
      <c r="O24" s="601">
        <f t="shared" si="2"/>
        <v>30061.5</v>
      </c>
      <c r="P24" s="603">
        <f t="shared" si="3"/>
        <v>36073.799999999996</v>
      </c>
    </row>
    <row r="25" spans="1:16" x14ac:dyDescent="0.3">
      <c r="A25" s="586">
        <v>21</v>
      </c>
      <c r="B25" s="587" t="s">
        <v>749</v>
      </c>
      <c r="C25" s="588" t="s">
        <v>750</v>
      </c>
      <c r="D25" s="588" t="s">
        <v>751</v>
      </c>
      <c r="E25" s="589" t="s">
        <v>752</v>
      </c>
      <c r="F25" s="589"/>
      <c r="G25" s="590" t="s">
        <v>694</v>
      </c>
      <c r="H25" s="590" t="s">
        <v>739</v>
      </c>
      <c r="I25" s="590" t="s">
        <v>702</v>
      </c>
      <c r="J25" s="591">
        <v>42642</v>
      </c>
      <c r="K25" s="592">
        <v>5250</v>
      </c>
      <c r="L25" s="592">
        <v>756</v>
      </c>
      <c r="M25" s="592">
        <f t="shared" si="0"/>
        <v>4494</v>
      </c>
      <c r="N25" s="593">
        <f t="shared" si="1"/>
        <v>0.85599999999999998</v>
      </c>
      <c r="O25" s="592">
        <f t="shared" si="2"/>
        <v>3003</v>
      </c>
      <c r="P25" s="594">
        <f t="shared" si="3"/>
        <v>3603.6</v>
      </c>
    </row>
    <row r="26" spans="1:16" x14ac:dyDescent="0.3">
      <c r="A26" s="595">
        <v>22</v>
      </c>
      <c r="B26" s="596" t="s">
        <v>753</v>
      </c>
      <c r="C26" s="597" t="s">
        <v>705</v>
      </c>
      <c r="D26" s="597" t="s">
        <v>692</v>
      </c>
      <c r="E26" s="598" t="s">
        <v>706</v>
      </c>
      <c r="F26" s="599" t="s">
        <v>694</v>
      </c>
      <c r="G26" s="598"/>
      <c r="H26" s="599" t="s">
        <v>695</v>
      </c>
      <c r="I26" s="599" t="s">
        <v>696</v>
      </c>
      <c r="J26" s="600">
        <v>41873</v>
      </c>
      <c r="K26" s="601">
        <v>41000</v>
      </c>
      <c r="L26" s="601">
        <v>25998</v>
      </c>
      <c r="M26" s="601">
        <f t="shared" si="0"/>
        <v>15002</v>
      </c>
      <c r="N26" s="602">
        <f t="shared" si="1"/>
        <v>0.36590243902439024</v>
      </c>
      <c r="O26" s="601">
        <f t="shared" si="2"/>
        <v>33499</v>
      </c>
      <c r="P26" s="603">
        <f t="shared" si="3"/>
        <v>40198.799999999996</v>
      </c>
    </row>
    <row r="27" spans="1:16" x14ac:dyDescent="0.3">
      <c r="A27" s="586">
        <v>23</v>
      </c>
      <c r="B27" s="587" t="s">
        <v>754</v>
      </c>
      <c r="C27" s="588" t="s">
        <v>755</v>
      </c>
      <c r="D27" s="588" t="s">
        <v>692</v>
      </c>
      <c r="E27" s="589" t="s">
        <v>700</v>
      </c>
      <c r="F27" s="590" t="s">
        <v>694</v>
      </c>
      <c r="G27" s="589"/>
      <c r="H27" s="590" t="s">
        <v>695</v>
      </c>
      <c r="I27" s="590" t="s">
        <v>696</v>
      </c>
      <c r="J27" s="591">
        <v>44490</v>
      </c>
      <c r="K27" s="592">
        <v>63000</v>
      </c>
      <c r="L27" s="592">
        <v>17997</v>
      </c>
      <c r="M27" s="592">
        <f t="shared" si="0"/>
        <v>45003</v>
      </c>
      <c r="N27" s="593">
        <f t="shared" si="1"/>
        <v>0.71433333333333338</v>
      </c>
      <c r="O27" s="592">
        <f t="shared" si="2"/>
        <v>40498.5</v>
      </c>
      <c r="P27" s="594">
        <f t="shared" si="3"/>
        <v>48598.2</v>
      </c>
    </row>
    <row r="28" spans="1:16" x14ac:dyDescent="0.3">
      <c r="A28" s="595">
        <v>24</v>
      </c>
      <c r="B28" s="596" t="s">
        <v>756</v>
      </c>
      <c r="C28" s="597" t="s">
        <v>757</v>
      </c>
      <c r="D28" s="597" t="s">
        <v>721</v>
      </c>
      <c r="E28" s="598" t="s">
        <v>758</v>
      </c>
      <c r="F28" s="599" t="s">
        <v>694</v>
      </c>
      <c r="G28" s="598"/>
      <c r="H28" s="599" t="s">
        <v>723</v>
      </c>
      <c r="I28" s="599" t="s">
        <v>724</v>
      </c>
      <c r="J28" s="600">
        <v>41386</v>
      </c>
      <c r="K28" s="601">
        <v>1890</v>
      </c>
      <c r="L28" s="601">
        <v>711</v>
      </c>
      <c r="M28" s="601">
        <f t="shared" si="0"/>
        <v>1179</v>
      </c>
      <c r="N28" s="602">
        <f t="shared" si="1"/>
        <v>0.62380952380952381</v>
      </c>
      <c r="O28" s="601">
        <f t="shared" si="2"/>
        <v>1300.5</v>
      </c>
      <c r="P28" s="603">
        <f t="shared" si="3"/>
        <v>1560.6</v>
      </c>
    </row>
    <row r="29" spans="1:16" x14ac:dyDescent="0.3">
      <c r="A29" s="586">
        <v>25</v>
      </c>
      <c r="B29" s="587" t="s">
        <v>759</v>
      </c>
      <c r="C29" s="588" t="s">
        <v>760</v>
      </c>
      <c r="D29" s="588" t="s">
        <v>699</v>
      </c>
      <c r="E29" s="589" t="s">
        <v>758</v>
      </c>
      <c r="F29" s="590" t="s">
        <v>694</v>
      </c>
      <c r="G29" s="589"/>
      <c r="H29" s="590" t="s">
        <v>701</v>
      </c>
      <c r="I29" s="590" t="s">
        <v>740</v>
      </c>
      <c r="J29" s="591">
        <v>43914</v>
      </c>
      <c r="K29" s="592">
        <v>2940</v>
      </c>
      <c r="L29" s="592">
        <v>1743</v>
      </c>
      <c r="M29" s="592">
        <f t="shared" si="0"/>
        <v>1197</v>
      </c>
      <c r="N29" s="593">
        <f t="shared" si="1"/>
        <v>0.40714285714285714</v>
      </c>
      <c r="O29" s="592">
        <f t="shared" si="2"/>
        <v>2341.5</v>
      </c>
      <c r="P29" s="594">
        <f t="shared" si="3"/>
        <v>2809.7999999999997</v>
      </c>
    </row>
    <row r="30" spans="1:16" x14ac:dyDescent="0.3">
      <c r="A30" s="595">
        <v>26</v>
      </c>
      <c r="B30" s="596" t="s">
        <v>761</v>
      </c>
      <c r="C30" s="597" t="s">
        <v>737</v>
      </c>
      <c r="D30" s="597" t="s">
        <v>699</v>
      </c>
      <c r="E30" s="598" t="s">
        <v>738</v>
      </c>
      <c r="F30" s="598"/>
      <c r="G30" s="599" t="s">
        <v>694</v>
      </c>
      <c r="H30" s="599" t="s">
        <v>739</v>
      </c>
      <c r="I30" s="599" t="s">
        <v>740</v>
      </c>
      <c r="J30" s="600">
        <v>43955</v>
      </c>
      <c r="K30" s="601">
        <v>3255</v>
      </c>
      <c r="L30" s="601">
        <v>1848</v>
      </c>
      <c r="M30" s="601">
        <f t="shared" si="0"/>
        <v>1407</v>
      </c>
      <c r="N30" s="602">
        <f t="shared" si="1"/>
        <v>0.43225806451612903</v>
      </c>
      <c r="O30" s="601">
        <f t="shared" si="2"/>
        <v>2551.5</v>
      </c>
      <c r="P30" s="603">
        <f t="shared" si="3"/>
        <v>3061.7999999999997</v>
      </c>
    </row>
    <row r="31" spans="1:16" x14ac:dyDescent="0.3">
      <c r="A31" s="586">
        <v>27</v>
      </c>
      <c r="B31" s="587" t="s">
        <v>762</v>
      </c>
      <c r="C31" s="588" t="s">
        <v>763</v>
      </c>
      <c r="D31" s="588" t="s">
        <v>751</v>
      </c>
      <c r="E31" s="589" t="s">
        <v>722</v>
      </c>
      <c r="F31" s="590" t="s">
        <v>694</v>
      </c>
      <c r="G31" s="589"/>
      <c r="H31" s="590" t="s">
        <v>701</v>
      </c>
      <c r="I31" s="590" t="s">
        <v>702</v>
      </c>
      <c r="J31" s="591">
        <v>42926</v>
      </c>
      <c r="K31" s="592">
        <v>9450</v>
      </c>
      <c r="L31" s="592">
        <v>2370</v>
      </c>
      <c r="M31" s="592">
        <f t="shared" si="0"/>
        <v>7080</v>
      </c>
      <c r="N31" s="593">
        <f t="shared" si="1"/>
        <v>0.74920634920634921</v>
      </c>
      <c r="O31" s="592">
        <f t="shared" si="2"/>
        <v>5910</v>
      </c>
      <c r="P31" s="594">
        <f t="shared" si="3"/>
        <v>7092</v>
      </c>
    </row>
    <row r="32" spans="1:16" x14ac:dyDescent="0.3">
      <c r="A32" s="595">
        <v>28</v>
      </c>
      <c r="B32" s="596" t="s">
        <v>764</v>
      </c>
      <c r="C32" s="597" t="s">
        <v>765</v>
      </c>
      <c r="D32" s="597" t="s">
        <v>766</v>
      </c>
      <c r="E32" s="598" t="s">
        <v>767</v>
      </c>
      <c r="F32" s="598"/>
      <c r="G32" s="599" t="s">
        <v>694</v>
      </c>
      <c r="H32" s="599" t="s">
        <v>739</v>
      </c>
      <c r="I32" s="599" t="s">
        <v>740</v>
      </c>
      <c r="J32" s="600">
        <v>43955</v>
      </c>
      <c r="K32" s="601">
        <v>1155</v>
      </c>
      <c r="L32" s="601">
        <v>520</v>
      </c>
      <c r="M32" s="601">
        <f t="shared" si="0"/>
        <v>635</v>
      </c>
      <c r="N32" s="602">
        <f t="shared" si="1"/>
        <v>0.54978354978354982</v>
      </c>
      <c r="O32" s="601">
        <f t="shared" si="2"/>
        <v>837.5</v>
      </c>
      <c r="P32" s="603">
        <f t="shared" si="3"/>
        <v>1005</v>
      </c>
    </row>
    <row r="33" spans="1:16" x14ac:dyDescent="0.3">
      <c r="A33" s="586">
        <v>29</v>
      </c>
      <c r="B33" s="587" t="s">
        <v>768</v>
      </c>
      <c r="C33" s="588" t="s">
        <v>735</v>
      </c>
      <c r="D33" s="588" t="s">
        <v>699</v>
      </c>
      <c r="E33" s="589" t="s">
        <v>706</v>
      </c>
      <c r="F33" s="590" t="s">
        <v>694</v>
      </c>
      <c r="G33" s="589"/>
      <c r="H33" s="590" t="s">
        <v>701</v>
      </c>
      <c r="I33" s="590" t="s">
        <v>702</v>
      </c>
      <c r="J33" s="591">
        <v>42247</v>
      </c>
      <c r="K33" s="592">
        <v>8400</v>
      </c>
      <c r="L33" s="592">
        <v>4977</v>
      </c>
      <c r="M33" s="592">
        <f t="shared" si="0"/>
        <v>3423</v>
      </c>
      <c r="N33" s="593">
        <f t="shared" si="1"/>
        <v>0.40749999999999997</v>
      </c>
      <c r="O33" s="592">
        <f t="shared" si="2"/>
        <v>6688.5</v>
      </c>
      <c r="P33" s="594">
        <f t="shared" si="3"/>
        <v>8026.2</v>
      </c>
    </row>
    <row r="34" spans="1:16" x14ac:dyDescent="0.3">
      <c r="A34" s="595">
        <v>30</v>
      </c>
      <c r="B34" s="596" t="s">
        <v>769</v>
      </c>
      <c r="C34" s="597" t="s">
        <v>770</v>
      </c>
      <c r="D34" s="597" t="s">
        <v>771</v>
      </c>
      <c r="E34" s="598" t="s">
        <v>706</v>
      </c>
      <c r="F34" s="599" t="s">
        <v>694</v>
      </c>
      <c r="G34" s="598"/>
      <c r="H34" s="599" t="s">
        <v>723</v>
      </c>
      <c r="I34" s="599" t="s">
        <v>724</v>
      </c>
      <c r="J34" s="600">
        <v>41408</v>
      </c>
      <c r="K34" s="601">
        <v>6825</v>
      </c>
      <c r="L34" s="601">
        <v>2268</v>
      </c>
      <c r="M34" s="601">
        <f t="shared" si="0"/>
        <v>4557</v>
      </c>
      <c r="N34" s="602">
        <f t="shared" si="1"/>
        <v>0.6676923076923077</v>
      </c>
      <c r="O34" s="601">
        <f t="shared" si="2"/>
        <v>4546.5</v>
      </c>
      <c r="P34" s="603">
        <f t="shared" si="3"/>
        <v>5455.8</v>
      </c>
    </row>
    <row r="35" spans="1:16" x14ac:dyDescent="0.3">
      <c r="A35" s="586">
        <v>31</v>
      </c>
      <c r="B35" s="587" t="s">
        <v>772</v>
      </c>
      <c r="C35" s="588" t="s">
        <v>773</v>
      </c>
      <c r="D35" s="588" t="s">
        <v>751</v>
      </c>
      <c r="E35" s="589" t="s">
        <v>774</v>
      </c>
      <c r="F35" s="589"/>
      <c r="G35" s="590" t="s">
        <v>694</v>
      </c>
      <c r="H35" s="590" t="s">
        <v>739</v>
      </c>
      <c r="I35" s="590" t="s">
        <v>740</v>
      </c>
      <c r="J35" s="591">
        <v>44551</v>
      </c>
      <c r="K35" s="592">
        <v>7140</v>
      </c>
      <c r="L35" s="592">
        <v>3192</v>
      </c>
      <c r="M35" s="592">
        <f t="shared" si="0"/>
        <v>3948</v>
      </c>
      <c r="N35" s="593">
        <f t="shared" si="1"/>
        <v>0.55294117647058827</v>
      </c>
      <c r="O35" s="592">
        <f t="shared" si="2"/>
        <v>5166</v>
      </c>
      <c r="P35" s="594">
        <f t="shared" si="3"/>
        <v>6199.2</v>
      </c>
    </row>
    <row r="36" spans="1:16" x14ac:dyDescent="0.3">
      <c r="A36" s="595">
        <v>32</v>
      </c>
      <c r="B36" s="596" t="s">
        <v>775</v>
      </c>
      <c r="C36" s="597" t="s">
        <v>773</v>
      </c>
      <c r="D36" s="597" t="s">
        <v>751</v>
      </c>
      <c r="E36" s="598" t="s">
        <v>774</v>
      </c>
      <c r="F36" s="598"/>
      <c r="G36" s="599" t="s">
        <v>694</v>
      </c>
      <c r="H36" s="599" t="s">
        <v>739</v>
      </c>
      <c r="I36" s="599" t="s">
        <v>740</v>
      </c>
      <c r="J36" s="600">
        <v>44551</v>
      </c>
      <c r="K36" s="601">
        <v>3885</v>
      </c>
      <c r="L36" s="601">
        <v>3885</v>
      </c>
      <c r="M36" s="601">
        <f t="shared" si="0"/>
        <v>0</v>
      </c>
      <c r="N36" s="602">
        <f t="shared" si="1"/>
        <v>0</v>
      </c>
      <c r="O36" s="601">
        <f t="shared" si="2"/>
        <v>3885</v>
      </c>
      <c r="P36" s="603">
        <f t="shared" si="3"/>
        <v>4662</v>
      </c>
    </row>
    <row r="37" spans="1:16" x14ac:dyDescent="0.3">
      <c r="A37" s="586">
        <v>33</v>
      </c>
      <c r="B37" s="587" t="s">
        <v>776</v>
      </c>
      <c r="C37" s="588" t="s">
        <v>777</v>
      </c>
      <c r="D37" s="588" t="s">
        <v>751</v>
      </c>
      <c r="E37" s="604" t="s">
        <v>778</v>
      </c>
      <c r="F37" s="589"/>
      <c r="G37" s="590" t="s">
        <v>694</v>
      </c>
      <c r="H37" s="590" t="s">
        <v>739</v>
      </c>
      <c r="I37" s="590" t="s">
        <v>702</v>
      </c>
      <c r="J37" s="591">
        <v>43013</v>
      </c>
      <c r="K37" s="592">
        <v>357</v>
      </c>
      <c r="L37" s="592">
        <v>168</v>
      </c>
      <c r="M37" s="592">
        <f t="shared" si="0"/>
        <v>189</v>
      </c>
      <c r="N37" s="593">
        <f t="shared" si="1"/>
        <v>0.52941176470588236</v>
      </c>
      <c r="O37" s="592">
        <f t="shared" si="2"/>
        <v>262.5</v>
      </c>
      <c r="P37" s="594">
        <f t="shared" si="3"/>
        <v>315</v>
      </c>
    </row>
    <row r="38" spans="1:16" x14ac:dyDescent="0.3">
      <c r="A38" s="595">
        <v>34</v>
      </c>
      <c r="B38" s="596" t="s">
        <v>779</v>
      </c>
      <c r="C38" s="597" t="s">
        <v>780</v>
      </c>
      <c r="D38" s="597" t="s">
        <v>699</v>
      </c>
      <c r="E38" s="598" t="s">
        <v>758</v>
      </c>
      <c r="F38" s="599" t="s">
        <v>694</v>
      </c>
      <c r="G38" s="598"/>
      <c r="H38" s="599" t="s">
        <v>701</v>
      </c>
      <c r="I38" s="599" t="s">
        <v>702</v>
      </c>
      <c r="J38" s="600">
        <v>42486</v>
      </c>
      <c r="K38" s="601">
        <v>1680</v>
      </c>
      <c r="L38" s="601">
        <v>714</v>
      </c>
      <c r="M38" s="601">
        <f t="shared" si="0"/>
        <v>966</v>
      </c>
      <c r="N38" s="602">
        <f t="shared" si="1"/>
        <v>0.57499999999999996</v>
      </c>
      <c r="O38" s="601">
        <f t="shared" si="2"/>
        <v>1197</v>
      </c>
      <c r="P38" s="603">
        <f t="shared" si="3"/>
        <v>1436.3999999999999</v>
      </c>
    </row>
    <row r="39" spans="1:16" x14ac:dyDescent="0.3">
      <c r="A39" s="586">
        <v>35</v>
      </c>
      <c r="B39" s="587" t="s">
        <v>781</v>
      </c>
      <c r="C39" s="588" t="s">
        <v>782</v>
      </c>
      <c r="D39" s="588" t="s">
        <v>699</v>
      </c>
      <c r="E39" s="589" t="s">
        <v>783</v>
      </c>
      <c r="F39" s="590" t="s">
        <v>694</v>
      </c>
      <c r="G39" s="589"/>
      <c r="H39" s="590" t="s">
        <v>701</v>
      </c>
      <c r="I39" s="590" t="s">
        <v>702</v>
      </c>
      <c r="J39" s="591">
        <v>42388</v>
      </c>
      <c r="K39" s="592">
        <v>1365</v>
      </c>
      <c r="L39" s="592">
        <v>680</v>
      </c>
      <c r="M39" s="592">
        <f t="shared" si="0"/>
        <v>685</v>
      </c>
      <c r="N39" s="593">
        <f t="shared" si="1"/>
        <v>0.50183150183150182</v>
      </c>
      <c r="O39" s="592">
        <f t="shared" si="2"/>
        <v>1022.5</v>
      </c>
      <c r="P39" s="594">
        <f t="shared" si="3"/>
        <v>1227</v>
      </c>
    </row>
    <row r="40" spans="1:16" x14ac:dyDescent="0.3">
      <c r="A40" s="595">
        <v>36</v>
      </c>
      <c r="B40" s="596" t="s">
        <v>784</v>
      </c>
      <c r="C40" s="597" t="s">
        <v>785</v>
      </c>
      <c r="D40" s="597" t="s">
        <v>692</v>
      </c>
      <c r="E40" s="598" t="s">
        <v>706</v>
      </c>
      <c r="F40" s="599" t="s">
        <v>694</v>
      </c>
      <c r="G40" s="598"/>
      <c r="H40" s="599" t="s">
        <v>695</v>
      </c>
      <c r="I40" s="599" t="s">
        <v>696</v>
      </c>
      <c r="J40" s="600">
        <v>41653</v>
      </c>
      <c r="K40" s="601">
        <v>84000</v>
      </c>
      <c r="L40" s="601">
        <v>27489</v>
      </c>
      <c r="M40" s="601">
        <f t="shared" si="0"/>
        <v>56511</v>
      </c>
      <c r="N40" s="602">
        <f t="shared" si="1"/>
        <v>0.67274999999999996</v>
      </c>
      <c r="O40" s="601">
        <f t="shared" si="2"/>
        <v>55744.5</v>
      </c>
      <c r="P40" s="603">
        <f t="shared" si="3"/>
        <v>66893.399999999994</v>
      </c>
    </row>
    <row r="41" spans="1:16" x14ac:dyDescent="0.3">
      <c r="A41" s="586">
        <v>37</v>
      </c>
      <c r="B41" s="587" t="s">
        <v>786</v>
      </c>
      <c r="C41" s="588" t="s">
        <v>763</v>
      </c>
      <c r="D41" s="588" t="s">
        <v>751</v>
      </c>
      <c r="E41" s="589" t="s">
        <v>742</v>
      </c>
      <c r="F41" s="590" t="s">
        <v>694</v>
      </c>
      <c r="G41" s="589"/>
      <c r="H41" s="590" t="s">
        <v>701</v>
      </c>
      <c r="I41" s="590" t="s">
        <v>702</v>
      </c>
      <c r="J41" s="591">
        <v>43013</v>
      </c>
      <c r="K41" s="592">
        <v>6825</v>
      </c>
      <c r="L41" s="592">
        <v>1848</v>
      </c>
      <c r="M41" s="592">
        <f t="shared" si="0"/>
        <v>4977</v>
      </c>
      <c r="N41" s="593">
        <f t="shared" si="1"/>
        <v>0.72923076923076924</v>
      </c>
      <c r="O41" s="592">
        <f t="shared" si="2"/>
        <v>4336.5</v>
      </c>
      <c r="P41" s="594">
        <f t="shared" si="3"/>
        <v>5203.8</v>
      </c>
    </row>
    <row r="42" spans="1:16" x14ac:dyDescent="0.3">
      <c r="A42" s="595">
        <v>38</v>
      </c>
      <c r="B42" s="596" t="s">
        <v>787</v>
      </c>
      <c r="C42" s="597" t="s">
        <v>788</v>
      </c>
      <c r="D42" s="597" t="s">
        <v>692</v>
      </c>
      <c r="E42" s="598" t="s">
        <v>742</v>
      </c>
      <c r="F42" s="599" t="s">
        <v>694</v>
      </c>
      <c r="G42" s="598"/>
      <c r="H42" s="599" t="s">
        <v>695</v>
      </c>
      <c r="I42" s="599" t="s">
        <v>696</v>
      </c>
      <c r="J42" s="600">
        <v>42395</v>
      </c>
      <c r="K42" s="601">
        <v>42000</v>
      </c>
      <c r="L42" s="601">
        <v>21987</v>
      </c>
      <c r="M42" s="601">
        <f t="shared" si="0"/>
        <v>20013</v>
      </c>
      <c r="N42" s="602">
        <f t="shared" si="1"/>
        <v>0.47649999999999998</v>
      </c>
      <c r="O42" s="601">
        <f t="shared" si="2"/>
        <v>31993.5</v>
      </c>
      <c r="P42" s="603">
        <f t="shared" si="3"/>
        <v>38392.199999999997</v>
      </c>
    </row>
    <row r="43" spans="1:16" x14ac:dyDescent="0.3">
      <c r="A43" s="586">
        <v>39</v>
      </c>
      <c r="B43" s="587" t="s">
        <v>789</v>
      </c>
      <c r="C43" s="588" t="s">
        <v>790</v>
      </c>
      <c r="D43" s="588" t="s">
        <v>692</v>
      </c>
      <c r="E43" s="589" t="s">
        <v>791</v>
      </c>
      <c r="F43" s="590" t="s">
        <v>694</v>
      </c>
      <c r="G43" s="589"/>
      <c r="H43" s="590" t="s">
        <v>695</v>
      </c>
      <c r="I43" s="590" t="s">
        <v>696</v>
      </c>
      <c r="J43" s="591">
        <v>43301</v>
      </c>
      <c r="K43" s="592">
        <v>32000</v>
      </c>
      <c r="L43" s="592">
        <v>29904</v>
      </c>
      <c r="M43" s="592">
        <f t="shared" si="0"/>
        <v>2096</v>
      </c>
      <c r="N43" s="593">
        <f t="shared" si="1"/>
        <v>6.5500000000000003E-2</v>
      </c>
      <c r="O43" s="592">
        <f t="shared" si="2"/>
        <v>30952</v>
      </c>
      <c r="P43" s="594">
        <f t="shared" si="3"/>
        <v>37142.400000000001</v>
      </c>
    </row>
    <row r="44" spans="1:16" x14ac:dyDescent="0.3">
      <c r="A44" s="595">
        <v>40</v>
      </c>
      <c r="B44" s="596" t="s">
        <v>792</v>
      </c>
      <c r="C44" s="597" t="s">
        <v>793</v>
      </c>
      <c r="D44" s="597" t="s">
        <v>712</v>
      </c>
      <c r="E44" s="598" t="s">
        <v>738</v>
      </c>
      <c r="F44" s="598"/>
      <c r="G44" s="599" t="s">
        <v>694</v>
      </c>
      <c r="H44" s="599" t="s">
        <v>714</v>
      </c>
      <c r="I44" s="599" t="s">
        <v>794</v>
      </c>
      <c r="J44" s="600">
        <v>44230</v>
      </c>
      <c r="K44" s="601">
        <v>41600</v>
      </c>
      <c r="L44" s="601">
        <v>20895</v>
      </c>
      <c r="M44" s="601">
        <f t="shared" si="0"/>
        <v>20705</v>
      </c>
      <c r="N44" s="602">
        <f t="shared" si="1"/>
        <v>0.49771634615384613</v>
      </c>
      <c r="O44" s="601">
        <f t="shared" si="2"/>
        <v>31247.5</v>
      </c>
      <c r="P44" s="603">
        <f t="shared" si="3"/>
        <v>37497</v>
      </c>
    </row>
    <row r="45" spans="1:16" x14ac:dyDescent="0.3">
      <c r="A45" s="586">
        <v>41</v>
      </c>
      <c r="B45" s="587" t="s">
        <v>795</v>
      </c>
      <c r="C45" s="588" t="s">
        <v>796</v>
      </c>
      <c r="D45" s="588" t="s">
        <v>692</v>
      </c>
      <c r="E45" s="589" t="s">
        <v>797</v>
      </c>
      <c r="F45" s="590" t="s">
        <v>694</v>
      </c>
      <c r="G45" s="589"/>
      <c r="H45" s="590" t="s">
        <v>695</v>
      </c>
      <c r="I45" s="590" t="s">
        <v>696</v>
      </c>
      <c r="J45" s="591">
        <v>42926</v>
      </c>
      <c r="K45" s="592">
        <v>31500</v>
      </c>
      <c r="L45" s="592">
        <v>9786</v>
      </c>
      <c r="M45" s="592">
        <f t="shared" si="0"/>
        <v>21714</v>
      </c>
      <c r="N45" s="593">
        <f t="shared" si="1"/>
        <v>0.68933333333333335</v>
      </c>
      <c r="O45" s="592">
        <f t="shared" si="2"/>
        <v>20643</v>
      </c>
      <c r="P45" s="594">
        <f t="shared" si="3"/>
        <v>24771.599999999999</v>
      </c>
    </row>
    <row r="46" spans="1:16" x14ac:dyDescent="0.3">
      <c r="A46" s="595">
        <v>42</v>
      </c>
      <c r="B46" s="596" t="s">
        <v>798</v>
      </c>
      <c r="C46" s="597" t="s">
        <v>698</v>
      </c>
      <c r="D46" s="597" t="s">
        <v>699</v>
      </c>
      <c r="E46" s="598" t="s">
        <v>700</v>
      </c>
      <c r="F46" s="599" t="s">
        <v>694</v>
      </c>
      <c r="G46" s="598"/>
      <c r="H46" s="599" t="s">
        <v>701</v>
      </c>
      <c r="I46" s="599" t="s">
        <v>702</v>
      </c>
      <c r="J46" s="600">
        <v>42926</v>
      </c>
      <c r="K46" s="601">
        <v>4200</v>
      </c>
      <c r="L46" s="601">
        <v>1069</v>
      </c>
      <c r="M46" s="601">
        <f t="shared" si="0"/>
        <v>3131</v>
      </c>
      <c r="N46" s="602">
        <f t="shared" si="1"/>
        <v>0.74547619047619051</v>
      </c>
      <c r="O46" s="601">
        <f t="shared" si="2"/>
        <v>2634.5</v>
      </c>
      <c r="P46" s="603">
        <f t="shared" si="3"/>
        <v>3161.4</v>
      </c>
    </row>
    <row r="47" spans="1:16" x14ac:dyDescent="0.3">
      <c r="A47" s="586">
        <v>43</v>
      </c>
      <c r="B47" s="587" t="s">
        <v>799</v>
      </c>
      <c r="C47" s="588" t="s">
        <v>698</v>
      </c>
      <c r="D47" s="588" t="s">
        <v>699</v>
      </c>
      <c r="E47" s="589" t="s">
        <v>700</v>
      </c>
      <c r="F47" s="590" t="s">
        <v>694</v>
      </c>
      <c r="G47" s="589"/>
      <c r="H47" s="590" t="s">
        <v>701</v>
      </c>
      <c r="I47" s="590" t="s">
        <v>702</v>
      </c>
      <c r="J47" s="591">
        <v>42486</v>
      </c>
      <c r="K47" s="592">
        <v>2520</v>
      </c>
      <c r="L47" s="592">
        <v>750</v>
      </c>
      <c r="M47" s="592">
        <f t="shared" si="0"/>
        <v>1770</v>
      </c>
      <c r="N47" s="593">
        <f t="shared" si="1"/>
        <v>0.70238095238095233</v>
      </c>
      <c r="O47" s="592">
        <f t="shared" si="2"/>
        <v>1635</v>
      </c>
      <c r="P47" s="594">
        <f t="shared" si="3"/>
        <v>1962</v>
      </c>
    </row>
    <row r="48" spans="1:16" x14ac:dyDescent="0.3">
      <c r="A48" s="595">
        <v>44</v>
      </c>
      <c r="B48" s="596" t="s">
        <v>800</v>
      </c>
      <c r="C48" s="597" t="s">
        <v>801</v>
      </c>
      <c r="D48" s="597" t="s">
        <v>751</v>
      </c>
      <c r="E48" s="598" t="s">
        <v>802</v>
      </c>
      <c r="F48" s="598"/>
      <c r="G48" s="599" t="s">
        <v>694</v>
      </c>
      <c r="H48" s="599" t="s">
        <v>739</v>
      </c>
      <c r="I48" s="599" t="s">
        <v>702</v>
      </c>
      <c r="J48" s="600">
        <v>44551</v>
      </c>
      <c r="K48" s="601">
        <v>2205</v>
      </c>
      <c r="L48" s="601">
        <v>859</v>
      </c>
      <c r="M48" s="601">
        <f t="shared" si="0"/>
        <v>1346</v>
      </c>
      <c r="N48" s="602">
        <f t="shared" si="1"/>
        <v>0.61043083900226758</v>
      </c>
      <c r="O48" s="601">
        <f t="shared" si="2"/>
        <v>1532</v>
      </c>
      <c r="P48" s="603">
        <f t="shared" si="3"/>
        <v>1838.3999999999999</v>
      </c>
    </row>
    <row r="49" spans="1:16" x14ac:dyDescent="0.3">
      <c r="A49" s="586">
        <v>45</v>
      </c>
      <c r="B49" s="587" t="s">
        <v>803</v>
      </c>
      <c r="C49" s="588" t="s">
        <v>804</v>
      </c>
      <c r="D49" s="588" t="s">
        <v>751</v>
      </c>
      <c r="E49" s="604" t="s">
        <v>778</v>
      </c>
      <c r="F49" s="589"/>
      <c r="G49" s="590" t="s">
        <v>694</v>
      </c>
      <c r="H49" s="590" t="s">
        <v>739</v>
      </c>
      <c r="I49" s="590" t="s">
        <v>702</v>
      </c>
      <c r="J49" s="591">
        <v>42467</v>
      </c>
      <c r="K49" s="592">
        <v>1050</v>
      </c>
      <c r="L49" s="592">
        <v>462</v>
      </c>
      <c r="M49" s="592">
        <f t="shared" si="0"/>
        <v>588</v>
      </c>
      <c r="N49" s="593">
        <f t="shared" si="1"/>
        <v>0.56000000000000005</v>
      </c>
      <c r="O49" s="592">
        <f t="shared" si="2"/>
        <v>756</v>
      </c>
      <c r="P49" s="594">
        <f t="shared" si="3"/>
        <v>907.19999999999993</v>
      </c>
    </row>
    <row r="50" spans="1:16" x14ac:dyDescent="0.3">
      <c r="A50" s="595">
        <v>46</v>
      </c>
      <c r="B50" s="596" t="s">
        <v>805</v>
      </c>
      <c r="C50" s="597" t="s">
        <v>806</v>
      </c>
      <c r="D50" s="597" t="s">
        <v>751</v>
      </c>
      <c r="E50" s="598" t="s">
        <v>807</v>
      </c>
      <c r="F50" s="598"/>
      <c r="G50" s="599" t="s">
        <v>694</v>
      </c>
      <c r="H50" s="599" t="s">
        <v>739</v>
      </c>
      <c r="I50" s="599" t="s">
        <v>740</v>
      </c>
      <c r="J50" s="600">
        <v>43914</v>
      </c>
      <c r="K50" s="601">
        <v>8400</v>
      </c>
      <c r="L50" s="601">
        <v>2898</v>
      </c>
      <c r="M50" s="601">
        <f t="shared" si="0"/>
        <v>5502</v>
      </c>
      <c r="N50" s="602">
        <f t="shared" si="1"/>
        <v>0.65500000000000003</v>
      </c>
      <c r="O50" s="601">
        <f t="shared" si="2"/>
        <v>5649</v>
      </c>
      <c r="P50" s="603">
        <f t="shared" si="3"/>
        <v>6778.8</v>
      </c>
    </row>
    <row r="51" spans="1:16" x14ac:dyDescent="0.3">
      <c r="A51" s="586">
        <v>47</v>
      </c>
      <c r="B51" s="587" t="s">
        <v>808</v>
      </c>
      <c r="C51" s="588" t="s">
        <v>809</v>
      </c>
      <c r="D51" s="588" t="s">
        <v>751</v>
      </c>
      <c r="E51" s="589" t="s">
        <v>810</v>
      </c>
      <c r="F51" s="589"/>
      <c r="G51" s="590" t="s">
        <v>694</v>
      </c>
      <c r="H51" s="590" t="s">
        <v>739</v>
      </c>
      <c r="I51" s="590" t="s">
        <v>740</v>
      </c>
      <c r="J51" s="591">
        <v>43914</v>
      </c>
      <c r="K51" s="592">
        <v>1785</v>
      </c>
      <c r="L51" s="592">
        <v>525</v>
      </c>
      <c r="M51" s="592">
        <f t="shared" si="0"/>
        <v>1260</v>
      </c>
      <c r="N51" s="593">
        <f t="shared" si="1"/>
        <v>0.70588235294117652</v>
      </c>
      <c r="O51" s="592">
        <f t="shared" si="2"/>
        <v>1155</v>
      </c>
      <c r="P51" s="594">
        <f t="shared" si="3"/>
        <v>1386</v>
      </c>
    </row>
    <row r="52" spans="1:16" x14ac:dyDescent="0.3">
      <c r="A52" s="595">
        <v>48</v>
      </c>
      <c r="B52" s="596" t="s">
        <v>811</v>
      </c>
      <c r="C52" s="597" t="s">
        <v>812</v>
      </c>
      <c r="D52" s="597" t="s">
        <v>699</v>
      </c>
      <c r="E52" s="598" t="s">
        <v>758</v>
      </c>
      <c r="F52" s="599" t="s">
        <v>694</v>
      </c>
      <c r="G52" s="598"/>
      <c r="H52" s="599" t="s">
        <v>701</v>
      </c>
      <c r="I52" s="599" t="s">
        <v>740</v>
      </c>
      <c r="J52" s="600">
        <v>43955</v>
      </c>
      <c r="K52" s="601">
        <v>2499</v>
      </c>
      <c r="L52" s="601">
        <v>672</v>
      </c>
      <c r="M52" s="601">
        <f t="shared" si="0"/>
        <v>1827</v>
      </c>
      <c r="N52" s="602">
        <f t="shared" si="1"/>
        <v>0.73109243697478987</v>
      </c>
      <c r="O52" s="601">
        <f t="shared" si="2"/>
        <v>1585.5</v>
      </c>
      <c r="P52" s="603">
        <f t="shared" si="3"/>
        <v>1902.6</v>
      </c>
    </row>
    <row r="53" spans="1:16" x14ac:dyDescent="0.3">
      <c r="A53" s="586">
        <v>49</v>
      </c>
      <c r="B53" s="587" t="s">
        <v>813</v>
      </c>
      <c r="C53" s="588" t="s">
        <v>814</v>
      </c>
      <c r="D53" s="588" t="s">
        <v>815</v>
      </c>
      <c r="E53" s="589" t="s">
        <v>816</v>
      </c>
      <c r="F53" s="589"/>
      <c r="G53" s="590" t="s">
        <v>694</v>
      </c>
      <c r="H53" s="590" t="s">
        <v>695</v>
      </c>
      <c r="I53" s="590" t="s">
        <v>696</v>
      </c>
      <c r="J53" s="591">
        <v>42388</v>
      </c>
      <c r="K53" s="592">
        <v>36800</v>
      </c>
      <c r="L53" s="592">
        <v>17787</v>
      </c>
      <c r="M53" s="592">
        <f t="shared" si="0"/>
        <v>19013</v>
      </c>
      <c r="N53" s="593">
        <f t="shared" si="1"/>
        <v>0.51665760869565214</v>
      </c>
      <c r="O53" s="592">
        <f t="shared" si="2"/>
        <v>27293.5</v>
      </c>
      <c r="P53" s="594">
        <f t="shared" si="3"/>
        <v>32752.199999999997</v>
      </c>
    </row>
    <row r="54" spans="1:16" x14ac:dyDescent="0.3">
      <c r="A54" s="595">
        <v>50</v>
      </c>
      <c r="B54" s="596" t="s">
        <v>817</v>
      </c>
      <c r="C54" s="597" t="s">
        <v>818</v>
      </c>
      <c r="D54" s="597" t="s">
        <v>699</v>
      </c>
      <c r="E54" s="598" t="s">
        <v>758</v>
      </c>
      <c r="F54" s="599" t="s">
        <v>694</v>
      </c>
      <c r="G54" s="598"/>
      <c r="H54" s="599" t="s">
        <v>701</v>
      </c>
      <c r="I54" s="599" t="s">
        <v>740</v>
      </c>
      <c r="J54" s="600">
        <v>43955</v>
      </c>
      <c r="K54" s="601">
        <v>4998</v>
      </c>
      <c r="L54" s="601">
        <v>1239</v>
      </c>
      <c r="M54" s="601">
        <f t="shared" si="0"/>
        <v>3759</v>
      </c>
      <c r="N54" s="602">
        <f t="shared" si="1"/>
        <v>0.75210084033613445</v>
      </c>
      <c r="O54" s="601">
        <f t="shared" si="2"/>
        <v>3118.5</v>
      </c>
      <c r="P54" s="603">
        <f t="shared" si="3"/>
        <v>3742.2</v>
      </c>
    </row>
    <row r="55" spans="1:16" x14ac:dyDescent="0.3">
      <c r="A55" s="586">
        <v>51</v>
      </c>
      <c r="B55" s="587" t="s">
        <v>819</v>
      </c>
      <c r="C55" s="588" t="s">
        <v>820</v>
      </c>
      <c r="D55" s="588" t="s">
        <v>821</v>
      </c>
      <c r="E55" s="589" t="s">
        <v>822</v>
      </c>
      <c r="F55" s="589"/>
      <c r="G55" s="590" t="s">
        <v>694</v>
      </c>
      <c r="H55" s="590" t="s">
        <v>739</v>
      </c>
      <c r="I55" s="590" t="s">
        <v>740</v>
      </c>
      <c r="J55" s="591">
        <v>43955</v>
      </c>
      <c r="K55" s="592">
        <v>693</v>
      </c>
      <c r="L55" s="592">
        <v>294</v>
      </c>
      <c r="M55" s="592">
        <f t="shared" si="0"/>
        <v>399</v>
      </c>
      <c r="N55" s="593">
        <f t="shared" si="1"/>
        <v>0.5757575757575758</v>
      </c>
      <c r="O55" s="592">
        <f t="shared" si="2"/>
        <v>493.5</v>
      </c>
      <c r="P55" s="594">
        <f t="shared" si="3"/>
        <v>592.19999999999993</v>
      </c>
    </row>
    <row r="56" spans="1:16" x14ac:dyDescent="0.3">
      <c r="A56" s="595">
        <v>52</v>
      </c>
      <c r="B56" s="596" t="s">
        <v>823</v>
      </c>
      <c r="C56" s="597" t="s">
        <v>820</v>
      </c>
      <c r="D56" s="597" t="s">
        <v>821</v>
      </c>
      <c r="E56" s="598" t="s">
        <v>822</v>
      </c>
      <c r="F56" s="598"/>
      <c r="G56" s="599" t="s">
        <v>694</v>
      </c>
      <c r="H56" s="599" t="s">
        <v>739</v>
      </c>
      <c r="I56" s="599" t="s">
        <v>740</v>
      </c>
      <c r="J56" s="600">
        <v>43013</v>
      </c>
      <c r="K56" s="601">
        <v>945</v>
      </c>
      <c r="L56" s="601">
        <v>462</v>
      </c>
      <c r="M56" s="601">
        <f t="shared" si="0"/>
        <v>483</v>
      </c>
      <c r="N56" s="602">
        <f t="shared" si="1"/>
        <v>0.51111111111111107</v>
      </c>
      <c r="O56" s="601">
        <f t="shared" si="2"/>
        <v>703.5</v>
      </c>
      <c r="P56" s="603">
        <f t="shared" si="3"/>
        <v>844.19999999999993</v>
      </c>
    </row>
    <row r="57" spans="1:16" x14ac:dyDescent="0.3">
      <c r="A57" s="586">
        <v>53</v>
      </c>
      <c r="B57" s="587" t="s">
        <v>824</v>
      </c>
      <c r="C57" s="588" t="s">
        <v>782</v>
      </c>
      <c r="D57" s="588" t="s">
        <v>699</v>
      </c>
      <c r="E57" s="589" t="s">
        <v>783</v>
      </c>
      <c r="F57" s="590" t="s">
        <v>694</v>
      </c>
      <c r="G57" s="589"/>
      <c r="H57" s="590" t="s">
        <v>701</v>
      </c>
      <c r="I57" s="590" t="s">
        <v>740</v>
      </c>
      <c r="J57" s="591">
        <v>41579</v>
      </c>
      <c r="K57" s="592">
        <v>1260</v>
      </c>
      <c r="L57" s="592">
        <v>445</v>
      </c>
      <c r="M57" s="592">
        <f t="shared" si="0"/>
        <v>815</v>
      </c>
      <c r="N57" s="593">
        <f t="shared" si="1"/>
        <v>0.64682539682539686</v>
      </c>
      <c r="O57" s="592">
        <f t="shared" si="2"/>
        <v>852.5</v>
      </c>
      <c r="P57" s="594">
        <f t="shared" si="3"/>
        <v>1023</v>
      </c>
    </row>
    <row r="58" spans="1:16" x14ac:dyDescent="0.3">
      <c r="A58" s="595">
        <v>54</v>
      </c>
      <c r="B58" s="596" t="s">
        <v>825</v>
      </c>
      <c r="C58" s="597" t="s">
        <v>826</v>
      </c>
      <c r="D58" s="597" t="s">
        <v>751</v>
      </c>
      <c r="E58" s="598" t="s">
        <v>706</v>
      </c>
      <c r="F58" s="599" t="s">
        <v>694</v>
      </c>
      <c r="G58" s="598"/>
      <c r="H58" s="599" t="s">
        <v>701</v>
      </c>
      <c r="I58" s="599" t="s">
        <v>740</v>
      </c>
      <c r="J58" s="600">
        <v>44271</v>
      </c>
      <c r="K58" s="601">
        <v>12650</v>
      </c>
      <c r="L58" s="601">
        <v>12650</v>
      </c>
      <c r="M58" s="601">
        <f t="shared" si="0"/>
        <v>0</v>
      </c>
      <c r="N58" s="602">
        <f t="shared" si="1"/>
        <v>0</v>
      </c>
      <c r="O58" s="601">
        <f t="shared" si="2"/>
        <v>12650</v>
      </c>
      <c r="P58" s="603">
        <f t="shared" si="3"/>
        <v>15180</v>
      </c>
    </row>
    <row r="59" spans="1:16" x14ac:dyDescent="0.3">
      <c r="A59" s="586">
        <v>55</v>
      </c>
      <c r="B59" s="587" t="s">
        <v>827</v>
      </c>
      <c r="C59" s="588" t="s">
        <v>826</v>
      </c>
      <c r="D59" s="588" t="s">
        <v>751</v>
      </c>
      <c r="E59" s="589" t="s">
        <v>706</v>
      </c>
      <c r="F59" s="590" t="s">
        <v>694</v>
      </c>
      <c r="G59" s="589"/>
      <c r="H59" s="590" t="s">
        <v>701</v>
      </c>
      <c r="I59" s="590" t="s">
        <v>740</v>
      </c>
      <c r="J59" s="591">
        <v>44271</v>
      </c>
      <c r="K59" s="592">
        <v>6825</v>
      </c>
      <c r="L59" s="592">
        <v>6825</v>
      </c>
      <c r="M59" s="592">
        <f t="shared" si="0"/>
        <v>0</v>
      </c>
      <c r="N59" s="593">
        <f t="shared" si="1"/>
        <v>0</v>
      </c>
      <c r="O59" s="592">
        <f t="shared" si="2"/>
        <v>6825</v>
      </c>
      <c r="P59" s="594">
        <f t="shared" si="3"/>
        <v>8190</v>
      </c>
    </row>
    <row r="60" spans="1:16" x14ac:dyDescent="0.3">
      <c r="A60" s="595">
        <v>56</v>
      </c>
      <c r="B60" s="596" t="s">
        <v>828</v>
      </c>
      <c r="C60" s="597" t="s">
        <v>829</v>
      </c>
      <c r="D60" s="597" t="s">
        <v>692</v>
      </c>
      <c r="E60" s="598" t="s">
        <v>700</v>
      </c>
      <c r="F60" s="599" t="s">
        <v>694</v>
      </c>
      <c r="G60" s="598"/>
      <c r="H60" s="599" t="s">
        <v>695</v>
      </c>
      <c r="I60" s="599" t="s">
        <v>696</v>
      </c>
      <c r="J60" s="600">
        <v>43013</v>
      </c>
      <c r="K60" s="601">
        <v>16900</v>
      </c>
      <c r="L60" s="601">
        <v>10235</v>
      </c>
      <c r="M60" s="601">
        <f t="shared" si="0"/>
        <v>6665</v>
      </c>
      <c r="N60" s="602">
        <f t="shared" si="1"/>
        <v>0.39437869822485205</v>
      </c>
      <c r="O60" s="601">
        <f t="shared" si="2"/>
        <v>13567.5</v>
      </c>
      <c r="P60" s="603">
        <f t="shared" si="3"/>
        <v>16281</v>
      </c>
    </row>
    <row r="61" spans="1:16" x14ac:dyDescent="0.3">
      <c r="A61" s="586">
        <v>57</v>
      </c>
      <c r="B61" s="587" t="s">
        <v>830</v>
      </c>
      <c r="C61" s="588" t="s">
        <v>831</v>
      </c>
      <c r="D61" s="588" t="s">
        <v>692</v>
      </c>
      <c r="E61" s="589" t="s">
        <v>700</v>
      </c>
      <c r="F61" s="590" t="s">
        <v>694</v>
      </c>
      <c r="G61" s="589"/>
      <c r="H61" s="590" t="s">
        <v>695</v>
      </c>
      <c r="I61" s="590" t="s">
        <v>696</v>
      </c>
      <c r="J61" s="591">
        <v>42438</v>
      </c>
      <c r="K61" s="592">
        <v>15000</v>
      </c>
      <c r="L61" s="592">
        <v>5769</v>
      </c>
      <c r="M61" s="592">
        <f t="shared" si="0"/>
        <v>9231</v>
      </c>
      <c r="N61" s="593">
        <f t="shared" si="1"/>
        <v>0.61539999999999995</v>
      </c>
      <c r="O61" s="592">
        <f t="shared" si="2"/>
        <v>10384.5</v>
      </c>
      <c r="P61" s="594">
        <f t="shared" si="3"/>
        <v>12461.4</v>
      </c>
    </row>
    <row r="62" spans="1:16" x14ac:dyDescent="0.3">
      <c r="A62" s="595">
        <v>58</v>
      </c>
      <c r="B62" s="596" t="s">
        <v>832</v>
      </c>
      <c r="C62" s="597" t="s">
        <v>833</v>
      </c>
      <c r="D62" s="597" t="s">
        <v>692</v>
      </c>
      <c r="E62" s="598" t="s">
        <v>722</v>
      </c>
      <c r="F62" s="599" t="s">
        <v>694</v>
      </c>
      <c r="G62" s="598"/>
      <c r="H62" s="599" t="s">
        <v>695</v>
      </c>
      <c r="I62" s="599" t="s">
        <v>696</v>
      </c>
      <c r="J62" s="600">
        <v>41653</v>
      </c>
      <c r="K62" s="601">
        <v>35385</v>
      </c>
      <c r="L62" s="601">
        <v>21693</v>
      </c>
      <c r="M62" s="601">
        <f t="shared" si="0"/>
        <v>13692</v>
      </c>
      <c r="N62" s="602">
        <f t="shared" si="1"/>
        <v>0.38694362017804157</v>
      </c>
      <c r="O62" s="601">
        <f t="shared" si="2"/>
        <v>28539</v>
      </c>
      <c r="P62" s="603">
        <f t="shared" si="3"/>
        <v>34246.799999999996</v>
      </c>
    </row>
    <row r="63" spans="1:16" x14ac:dyDescent="0.3">
      <c r="A63" s="605">
        <v>59</v>
      </c>
      <c r="B63" s="606" t="s">
        <v>834</v>
      </c>
      <c r="C63" s="607" t="s">
        <v>782</v>
      </c>
      <c r="D63" s="607" t="s">
        <v>721</v>
      </c>
      <c r="E63" s="608" t="s">
        <v>783</v>
      </c>
      <c r="F63" s="609" t="s">
        <v>694</v>
      </c>
      <c r="G63" s="608"/>
      <c r="H63" s="609" t="s">
        <v>723</v>
      </c>
      <c r="I63" s="609" t="s">
        <v>724</v>
      </c>
      <c r="J63" s="610">
        <v>41386</v>
      </c>
      <c r="K63" s="611">
        <v>1680</v>
      </c>
      <c r="L63" s="611">
        <v>525</v>
      </c>
      <c r="M63" s="611">
        <f t="shared" si="0"/>
        <v>1155</v>
      </c>
      <c r="N63" s="612">
        <f t="shared" si="1"/>
        <v>0.6875</v>
      </c>
      <c r="O63" s="611">
        <f t="shared" si="2"/>
        <v>1102.5</v>
      </c>
      <c r="P63" s="613">
        <f t="shared" si="3"/>
        <v>1323</v>
      </c>
    </row>
    <row r="64" spans="1:16" x14ac:dyDescent="0.3">
      <c r="M64" s="615"/>
      <c r="N64" s="616"/>
      <c r="O64" s="615"/>
      <c r="P64" s="615"/>
    </row>
    <row r="65" spans="1:16" x14ac:dyDescent="0.3">
      <c r="A65" s="617"/>
      <c r="B65" s="617"/>
      <c r="C65" s="617" t="s">
        <v>835</v>
      </c>
      <c r="D65" s="617"/>
      <c r="E65" s="617"/>
      <c r="F65" s="617"/>
      <c r="G65" s="617"/>
      <c r="H65" s="2345" t="s">
        <v>674</v>
      </c>
      <c r="I65" s="2345" t="s">
        <v>675</v>
      </c>
      <c r="J65" s="2345" t="s">
        <v>676</v>
      </c>
      <c r="K65" s="2345" t="s">
        <v>677</v>
      </c>
      <c r="L65" s="2345" t="s">
        <v>678</v>
      </c>
      <c r="M65" s="2345" t="s">
        <v>679</v>
      </c>
      <c r="N65" s="2345" t="s">
        <v>680</v>
      </c>
      <c r="O65" s="2345" t="s">
        <v>681</v>
      </c>
      <c r="P65" s="2345" t="s">
        <v>682</v>
      </c>
    </row>
    <row r="66" spans="1:16" x14ac:dyDescent="0.3">
      <c r="A66" s="618" t="s">
        <v>683</v>
      </c>
      <c r="B66" s="618" t="s">
        <v>684</v>
      </c>
      <c r="C66" s="618" t="s">
        <v>685</v>
      </c>
      <c r="D66" s="618" t="s">
        <v>686</v>
      </c>
      <c r="E66" s="618"/>
      <c r="F66" s="618" t="s">
        <v>688</v>
      </c>
      <c r="G66" s="618" t="s">
        <v>689</v>
      </c>
      <c r="H66" s="2345"/>
      <c r="I66" s="2345"/>
      <c r="J66" s="2345"/>
      <c r="K66" s="2345"/>
      <c r="L66" s="2345"/>
      <c r="M66" s="2345"/>
      <c r="N66" s="2345"/>
      <c r="O66" s="2345"/>
      <c r="P66" s="2345"/>
    </row>
    <row r="67" spans="1:16" ht="15.6" x14ac:dyDescent="0.3">
      <c r="A67" s="614">
        <v>1</v>
      </c>
      <c r="B67" s="619" t="s">
        <v>836</v>
      </c>
      <c r="C67" s="620" t="s">
        <v>837</v>
      </c>
      <c r="D67" s="19" t="s">
        <v>838</v>
      </c>
      <c r="G67" s="614" t="s">
        <v>694</v>
      </c>
      <c r="H67" s="621" t="s">
        <v>839</v>
      </c>
      <c r="I67" s="621" t="s">
        <v>740</v>
      </c>
      <c r="J67" s="622">
        <v>44271</v>
      </c>
      <c r="K67" s="615">
        <v>9975</v>
      </c>
      <c r="L67" s="615">
        <v>7833</v>
      </c>
      <c r="M67" s="615">
        <f t="shared" si="0"/>
        <v>2142</v>
      </c>
      <c r="N67" s="616">
        <f t="shared" si="1"/>
        <v>0.21473684210526317</v>
      </c>
      <c r="O67" s="615">
        <f t="shared" si="2"/>
        <v>8904</v>
      </c>
      <c r="P67" s="615">
        <f t="shared" si="3"/>
        <v>10684.8</v>
      </c>
    </row>
    <row r="68" spans="1:16" x14ac:dyDescent="0.3">
      <c r="A68" s="614">
        <v>2</v>
      </c>
      <c r="B68" s="619" t="s">
        <v>840</v>
      </c>
      <c r="C68" s="19" t="s">
        <v>841</v>
      </c>
      <c r="D68" s="19" t="s">
        <v>842</v>
      </c>
      <c r="G68" s="614" t="s">
        <v>694</v>
      </c>
      <c r="H68" s="621" t="s">
        <v>739</v>
      </c>
      <c r="I68" s="621" t="s">
        <v>740</v>
      </c>
      <c r="J68" s="622">
        <v>42247</v>
      </c>
      <c r="K68" s="615">
        <v>1575</v>
      </c>
      <c r="L68" s="615">
        <v>1050</v>
      </c>
      <c r="M68" s="615">
        <f t="shared" si="0"/>
        <v>525</v>
      </c>
      <c r="N68" s="616">
        <f t="shared" si="1"/>
        <v>0.33333333333333331</v>
      </c>
      <c r="O68" s="615">
        <f t="shared" si="2"/>
        <v>1312.5</v>
      </c>
      <c r="P68" s="615">
        <f t="shared" si="3"/>
        <v>1575</v>
      </c>
    </row>
    <row r="69" spans="1:16" x14ac:dyDescent="0.3">
      <c r="M69" s="615"/>
      <c r="N69" s="616"/>
      <c r="O69" s="615"/>
      <c r="P69" s="615"/>
    </row>
    <row r="70" spans="1:16" x14ac:dyDescent="0.3">
      <c r="A70" s="617"/>
      <c r="B70" s="617"/>
      <c r="C70" s="617" t="s">
        <v>843</v>
      </c>
      <c r="D70" s="617"/>
      <c r="E70" s="617"/>
      <c r="F70" s="617"/>
      <c r="G70" s="617"/>
      <c r="H70" s="2345" t="s">
        <v>674</v>
      </c>
      <c r="I70" s="2345" t="s">
        <v>675</v>
      </c>
      <c r="J70" s="2345" t="s">
        <v>676</v>
      </c>
      <c r="K70" s="2345" t="s">
        <v>677</v>
      </c>
      <c r="L70" s="2345" t="s">
        <v>678</v>
      </c>
      <c r="M70" s="2345" t="s">
        <v>679</v>
      </c>
      <c r="N70" s="2345" t="s">
        <v>680</v>
      </c>
      <c r="O70" s="2345" t="s">
        <v>681</v>
      </c>
      <c r="P70" s="2345" t="s">
        <v>682</v>
      </c>
    </row>
    <row r="71" spans="1:16" x14ac:dyDescent="0.3">
      <c r="A71" s="618" t="s">
        <v>683</v>
      </c>
      <c r="B71" s="618" t="s">
        <v>684</v>
      </c>
      <c r="C71" s="618" t="s">
        <v>685</v>
      </c>
      <c r="D71" s="618" t="s">
        <v>686</v>
      </c>
      <c r="E71" s="618"/>
      <c r="F71" s="618" t="s">
        <v>688</v>
      </c>
      <c r="G71" s="618" t="s">
        <v>689</v>
      </c>
      <c r="H71" s="2345"/>
      <c r="I71" s="2345"/>
      <c r="J71" s="2345"/>
      <c r="K71" s="2345"/>
      <c r="L71" s="2345"/>
      <c r="M71" s="2345"/>
      <c r="N71" s="2345"/>
      <c r="O71" s="2345"/>
      <c r="P71" s="2345"/>
    </row>
    <row r="72" spans="1:16" x14ac:dyDescent="0.3">
      <c r="A72" s="614">
        <v>1</v>
      </c>
      <c r="B72" s="619" t="s">
        <v>844</v>
      </c>
      <c r="C72" s="19" t="s">
        <v>845</v>
      </c>
      <c r="D72" s="623" t="s">
        <v>751</v>
      </c>
      <c r="G72" s="614" t="s">
        <v>694</v>
      </c>
      <c r="H72" s="621" t="s">
        <v>739</v>
      </c>
      <c r="I72" s="621" t="s">
        <v>740</v>
      </c>
      <c r="J72" s="622">
        <v>43955</v>
      </c>
      <c r="K72" s="615">
        <v>798</v>
      </c>
      <c r="L72" s="615">
        <v>798</v>
      </c>
      <c r="M72" s="615">
        <f t="shared" ref="M72:M135" si="4">K72-L72</f>
        <v>0</v>
      </c>
      <c r="N72" s="616">
        <f t="shared" ref="N72:N135" si="5">M72/K72</f>
        <v>0</v>
      </c>
      <c r="O72" s="615">
        <f t="shared" ref="O72:O135" si="6">AVERAGE(K72,L72)</f>
        <v>798</v>
      </c>
      <c r="P72" s="615">
        <f t="shared" ref="P72:P135" si="7">O72*1.2</f>
        <v>957.59999999999991</v>
      </c>
    </row>
    <row r="73" spans="1:16" x14ac:dyDescent="0.3">
      <c r="A73" s="614">
        <v>2</v>
      </c>
      <c r="B73" s="619" t="s">
        <v>846</v>
      </c>
      <c r="C73" s="19" t="s">
        <v>847</v>
      </c>
      <c r="D73" s="623" t="s">
        <v>751</v>
      </c>
      <c r="G73" s="614" t="s">
        <v>694</v>
      </c>
      <c r="H73" s="621" t="s">
        <v>739</v>
      </c>
      <c r="I73" s="621" t="s">
        <v>740</v>
      </c>
      <c r="J73" s="622">
        <v>43955</v>
      </c>
      <c r="K73" s="615">
        <v>903</v>
      </c>
      <c r="L73" s="615">
        <v>315</v>
      </c>
      <c r="M73" s="615">
        <f t="shared" si="4"/>
        <v>588</v>
      </c>
      <c r="N73" s="616">
        <f t="shared" si="5"/>
        <v>0.65116279069767447</v>
      </c>
      <c r="O73" s="615">
        <f t="shared" si="6"/>
        <v>609</v>
      </c>
      <c r="P73" s="615">
        <f t="shared" si="7"/>
        <v>730.8</v>
      </c>
    </row>
    <row r="74" spans="1:16" x14ac:dyDescent="0.3">
      <c r="A74" s="614">
        <v>3</v>
      </c>
      <c r="B74" s="619" t="s">
        <v>848</v>
      </c>
      <c r="C74" s="19" t="s">
        <v>849</v>
      </c>
      <c r="D74" s="623" t="s">
        <v>712</v>
      </c>
      <c r="G74" s="614" t="s">
        <v>694</v>
      </c>
      <c r="H74" s="621" t="s">
        <v>714</v>
      </c>
      <c r="I74" s="621" t="s">
        <v>696</v>
      </c>
      <c r="J74" s="622">
        <v>43545</v>
      </c>
      <c r="K74" s="615">
        <v>24150</v>
      </c>
      <c r="L74" s="615">
        <v>24150</v>
      </c>
      <c r="M74" s="615">
        <f t="shared" si="4"/>
        <v>0</v>
      </c>
      <c r="N74" s="616">
        <f t="shared" si="5"/>
        <v>0</v>
      </c>
      <c r="O74" s="615">
        <f t="shared" si="6"/>
        <v>24150</v>
      </c>
      <c r="P74" s="615">
        <f t="shared" si="7"/>
        <v>28980</v>
      </c>
    </row>
    <row r="75" spans="1:16" x14ac:dyDescent="0.3">
      <c r="A75" s="614">
        <v>4</v>
      </c>
      <c r="B75" s="619" t="s">
        <v>850</v>
      </c>
      <c r="C75" s="19" t="s">
        <v>845</v>
      </c>
      <c r="D75" s="623" t="s">
        <v>851</v>
      </c>
      <c r="G75" s="614" t="s">
        <v>694</v>
      </c>
      <c r="H75" s="621" t="s">
        <v>723</v>
      </c>
      <c r="I75" s="621" t="s">
        <v>724</v>
      </c>
      <c r="J75" s="622">
        <v>43175</v>
      </c>
      <c r="K75" s="615">
        <v>2500</v>
      </c>
      <c r="L75" s="615">
        <v>735</v>
      </c>
      <c r="M75" s="615">
        <f t="shared" si="4"/>
        <v>1765</v>
      </c>
      <c r="N75" s="616">
        <f t="shared" si="5"/>
        <v>0.70599999999999996</v>
      </c>
      <c r="O75" s="615">
        <f t="shared" si="6"/>
        <v>1617.5</v>
      </c>
      <c r="P75" s="615">
        <f t="shared" si="7"/>
        <v>1941</v>
      </c>
    </row>
    <row r="76" spans="1:16" x14ac:dyDescent="0.3">
      <c r="A76" s="614">
        <v>5</v>
      </c>
      <c r="B76" s="619" t="s">
        <v>852</v>
      </c>
      <c r="C76" s="19" t="s">
        <v>845</v>
      </c>
      <c r="D76" s="623" t="s">
        <v>821</v>
      </c>
      <c r="G76" s="614" t="s">
        <v>694</v>
      </c>
      <c r="H76" s="621" t="s">
        <v>739</v>
      </c>
      <c r="I76" s="621" t="s">
        <v>740</v>
      </c>
      <c r="J76" s="622">
        <v>44551</v>
      </c>
      <c r="K76" s="615">
        <v>378</v>
      </c>
      <c r="L76" s="615">
        <v>114</v>
      </c>
      <c r="M76" s="615">
        <f t="shared" si="4"/>
        <v>264</v>
      </c>
      <c r="N76" s="616">
        <f t="shared" si="5"/>
        <v>0.69841269841269837</v>
      </c>
      <c r="O76" s="615">
        <f t="shared" si="6"/>
        <v>246</v>
      </c>
      <c r="P76" s="615">
        <f t="shared" si="7"/>
        <v>295.2</v>
      </c>
    </row>
    <row r="77" spans="1:16" x14ac:dyDescent="0.3">
      <c r="A77" s="614">
        <v>6</v>
      </c>
      <c r="B77" s="619" t="s">
        <v>853</v>
      </c>
      <c r="C77" s="623" t="s">
        <v>854</v>
      </c>
      <c r="D77" s="623" t="s">
        <v>821</v>
      </c>
      <c r="G77" s="614" t="s">
        <v>694</v>
      </c>
      <c r="H77" s="621" t="s">
        <v>739</v>
      </c>
      <c r="I77" s="621" t="s">
        <v>740</v>
      </c>
      <c r="J77" s="622">
        <v>42395</v>
      </c>
      <c r="K77" s="615">
        <v>1050</v>
      </c>
      <c r="L77" s="615">
        <v>1050</v>
      </c>
      <c r="M77" s="615">
        <f t="shared" si="4"/>
        <v>0</v>
      </c>
      <c r="N77" s="616">
        <f t="shared" si="5"/>
        <v>0</v>
      </c>
      <c r="O77" s="615">
        <f t="shared" si="6"/>
        <v>1050</v>
      </c>
      <c r="P77" s="615">
        <f t="shared" si="7"/>
        <v>1260</v>
      </c>
    </row>
    <row r="78" spans="1:16" x14ac:dyDescent="0.3">
      <c r="A78" s="614">
        <v>7</v>
      </c>
      <c r="B78" s="619" t="s">
        <v>855</v>
      </c>
      <c r="C78" s="19" t="s">
        <v>845</v>
      </c>
      <c r="D78" s="623" t="s">
        <v>856</v>
      </c>
      <c r="G78" s="614" t="s">
        <v>694</v>
      </c>
      <c r="H78" s="621" t="s">
        <v>839</v>
      </c>
      <c r="I78" s="621" t="s">
        <v>740</v>
      </c>
      <c r="J78" s="622">
        <v>44302</v>
      </c>
      <c r="K78" s="615">
        <v>2730</v>
      </c>
      <c r="L78" s="615">
        <v>1638</v>
      </c>
      <c r="M78" s="615">
        <f t="shared" si="4"/>
        <v>1092</v>
      </c>
      <c r="N78" s="616">
        <f t="shared" si="5"/>
        <v>0.4</v>
      </c>
      <c r="O78" s="615">
        <f t="shared" si="6"/>
        <v>2184</v>
      </c>
      <c r="P78" s="615">
        <f t="shared" si="7"/>
        <v>2620.7999999999997</v>
      </c>
    </row>
    <row r="79" spans="1:16" x14ac:dyDescent="0.3">
      <c r="A79" s="614">
        <v>8</v>
      </c>
      <c r="B79" s="619" t="s">
        <v>857</v>
      </c>
      <c r="C79" s="623" t="s">
        <v>854</v>
      </c>
      <c r="D79" s="623" t="s">
        <v>712</v>
      </c>
      <c r="G79" s="614" t="s">
        <v>694</v>
      </c>
      <c r="H79" s="621" t="s">
        <v>714</v>
      </c>
      <c r="I79" s="621" t="s">
        <v>696</v>
      </c>
      <c r="J79" s="622">
        <v>43013</v>
      </c>
      <c r="K79" s="615">
        <v>8618</v>
      </c>
      <c r="L79" s="615">
        <v>4095</v>
      </c>
      <c r="M79" s="615">
        <f t="shared" si="4"/>
        <v>4523</v>
      </c>
      <c r="N79" s="616">
        <f t="shared" si="5"/>
        <v>0.52483174750522166</v>
      </c>
      <c r="O79" s="615">
        <f t="shared" si="6"/>
        <v>6356.5</v>
      </c>
      <c r="P79" s="615">
        <f t="shared" si="7"/>
        <v>7627.7999999999993</v>
      </c>
    </row>
    <row r="80" spans="1:16" x14ac:dyDescent="0.3">
      <c r="A80" s="614">
        <v>9</v>
      </c>
      <c r="B80" s="619" t="s">
        <v>858</v>
      </c>
      <c r="C80" s="623" t="s">
        <v>859</v>
      </c>
      <c r="D80" s="623" t="s">
        <v>712</v>
      </c>
      <c r="G80" s="614" t="s">
        <v>694</v>
      </c>
      <c r="H80" s="621" t="s">
        <v>714</v>
      </c>
      <c r="I80" s="621" t="s">
        <v>696</v>
      </c>
      <c r="J80" s="622">
        <v>41793</v>
      </c>
      <c r="K80" s="615">
        <v>11000</v>
      </c>
      <c r="L80" s="615">
        <v>8190</v>
      </c>
      <c r="M80" s="615">
        <f t="shared" si="4"/>
        <v>2810</v>
      </c>
      <c r="N80" s="616">
        <f t="shared" si="5"/>
        <v>0.25545454545454543</v>
      </c>
      <c r="O80" s="615">
        <f t="shared" si="6"/>
        <v>9595</v>
      </c>
      <c r="P80" s="615">
        <f t="shared" si="7"/>
        <v>11514</v>
      </c>
    </row>
    <row r="81" spans="1:16" x14ac:dyDescent="0.3">
      <c r="A81" s="614">
        <v>10</v>
      </c>
      <c r="B81" s="619" t="s">
        <v>860</v>
      </c>
      <c r="C81" s="19" t="s">
        <v>845</v>
      </c>
      <c r="D81" s="623" t="s">
        <v>861</v>
      </c>
      <c r="G81" s="614" t="s">
        <v>694</v>
      </c>
      <c r="H81" s="621" t="s">
        <v>739</v>
      </c>
      <c r="I81" s="621" t="s">
        <v>740</v>
      </c>
      <c r="J81" s="622">
        <v>43955</v>
      </c>
      <c r="K81" s="615">
        <v>2415</v>
      </c>
      <c r="L81" s="615">
        <v>2415</v>
      </c>
      <c r="M81" s="615">
        <f t="shared" si="4"/>
        <v>0</v>
      </c>
      <c r="N81" s="616">
        <f t="shared" si="5"/>
        <v>0</v>
      </c>
      <c r="O81" s="615">
        <f t="shared" si="6"/>
        <v>2415</v>
      </c>
      <c r="P81" s="615">
        <f t="shared" si="7"/>
        <v>2898</v>
      </c>
    </row>
    <row r="82" spans="1:16" x14ac:dyDescent="0.3">
      <c r="A82" s="614">
        <v>11</v>
      </c>
      <c r="B82" s="619" t="s">
        <v>862</v>
      </c>
      <c r="C82" s="19" t="s">
        <v>863</v>
      </c>
      <c r="D82" s="623" t="s">
        <v>821</v>
      </c>
      <c r="G82" s="614" t="s">
        <v>694</v>
      </c>
      <c r="H82" s="621" t="s">
        <v>739</v>
      </c>
      <c r="I82" s="621" t="s">
        <v>740</v>
      </c>
      <c r="J82" s="622">
        <v>42388</v>
      </c>
      <c r="K82" s="615">
        <v>798</v>
      </c>
      <c r="L82" s="615">
        <v>798</v>
      </c>
      <c r="M82" s="615">
        <f t="shared" si="4"/>
        <v>0</v>
      </c>
      <c r="N82" s="616">
        <f t="shared" si="5"/>
        <v>0</v>
      </c>
      <c r="O82" s="615">
        <f t="shared" si="6"/>
        <v>798</v>
      </c>
      <c r="P82" s="615">
        <f t="shared" si="7"/>
        <v>957.59999999999991</v>
      </c>
    </row>
    <row r="83" spans="1:16" x14ac:dyDescent="0.3">
      <c r="A83" s="614">
        <v>12</v>
      </c>
      <c r="B83" s="619" t="s">
        <v>864</v>
      </c>
      <c r="C83" s="19" t="s">
        <v>845</v>
      </c>
      <c r="D83" s="623" t="s">
        <v>751</v>
      </c>
      <c r="G83" s="614" t="s">
        <v>694</v>
      </c>
      <c r="H83" s="621" t="s">
        <v>739</v>
      </c>
      <c r="I83" s="621" t="s">
        <v>740</v>
      </c>
      <c r="J83" s="622">
        <v>43955</v>
      </c>
      <c r="K83" s="615">
        <v>798</v>
      </c>
      <c r="L83" s="615">
        <v>798</v>
      </c>
      <c r="M83" s="615">
        <f t="shared" si="4"/>
        <v>0</v>
      </c>
      <c r="N83" s="616">
        <f t="shared" si="5"/>
        <v>0</v>
      </c>
      <c r="O83" s="615">
        <f t="shared" si="6"/>
        <v>798</v>
      </c>
      <c r="P83" s="615">
        <f t="shared" si="7"/>
        <v>957.59999999999991</v>
      </c>
    </row>
    <row r="84" spans="1:16" x14ac:dyDescent="0.3">
      <c r="A84" s="614">
        <v>13</v>
      </c>
      <c r="B84" s="619" t="s">
        <v>865</v>
      </c>
      <c r="C84" s="19" t="s">
        <v>866</v>
      </c>
      <c r="D84" s="623" t="s">
        <v>821</v>
      </c>
      <c r="G84" s="614" t="s">
        <v>694</v>
      </c>
      <c r="H84" s="621" t="s">
        <v>739</v>
      </c>
      <c r="I84" s="621" t="s">
        <v>740</v>
      </c>
      <c r="J84" s="622">
        <v>43175</v>
      </c>
      <c r="K84" s="615">
        <v>735</v>
      </c>
      <c r="L84" s="615">
        <v>735</v>
      </c>
      <c r="M84" s="615">
        <f t="shared" si="4"/>
        <v>0</v>
      </c>
      <c r="N84" s="616">
        <f t="shared" si="5"/>
        <v>0</v>
      </c>
      <c r="O84" s="615">
        <f t="shared" si="6"/>
        <v>735</v>
      </c>
      <c r="P84" s="615">
        <f t="shared" si="7"/>
        <v>882</v>
      </c>
    </row>
    <row r="85" spans="1:16" x14ac:dyDescent="0.3">
      <c r="A85" s="614">
        <v>14</v>
      </c>
      <c r="B85" s="619" t="s">
        <v>867</v>
      </c>
      <c r="C85" s="19" t="s">
        <v>868</v>
      </c>
      <c r="D85" s="623" t="s">
        <v>699</v>
      </c>
      <c r="G85" s="614" t="s">
        <v>694</v>
      </c>
      <c r="H85" s="621" t="s">
        <v>739</v>
      </c>
      <c r="I85" s="621" t="s">
        <v>740</v>
      </c>
      <c r="J85" s="622">
        <v>44551</v>
      </c>
      <c r="K85" s="615">
        <v>546</v>
      </c>
      <c r="L85" s="615">
        <v>231</v>
      </c>
      <c r="M85" s="615">
        <f t="shared" si="4"/>
        <v>315</v>
      </c>
      <c r="N85" s="616">
        <f t="shared" si="5"/>
        <v>0.57692307692307687</v>
      </c>
      <c r="O85" s="615">
        <f t="shared" si="6"/>
        <v>388.5</v>
      </c>
      <c r="P85" s="615">
        <f t="shared" si="7"/>
        <v>466.2</v>
      </c>
    </row>
    <row r="86" spans="1:16" x14ac:dyDescent="0.3">
      <c r="A86" s="614">
        <v>15</v>
      </c>
      <c r="B86" s="619" t="s">
        <v>869</v>
      </c>
      <c r="C86" s="19" t="s">
        <v>845</v>
      </c>
      <c r="D86" s="623" t="s">
        <v>851</v>
      </c>
      <c r="G86" s="614" t="s">
        <v>694</v>
      </c>
      <c r="H86" s="621" t="s">
        <v>723</v>
      </c>
      <c r="I86" s="621" t="s">
        <v>724</v>
      </c>
      <c r="J86" s="622">
        <v>43082</v>
      </c>
      <c r="K86" s="615">
        <v>1800</v>
      </c>
      <c r="L86" s="615">
        <v>588</v>
      </c>
      <c r="M86" s="615">
        <f t="shared" si="4"/>
        <v>1212</v>
      </c>
      <c r="N86" s="616">
        <f t="shared" si="5"/>
        <v>0.67333333333333334</v>
      </c>
      <c r="O86" s="615">
        <f t="shared" si="6"/>
        <v>1194</v>
      </c>
      <c r="P86" s="615">
        <f t="shared" si="7"/>
        <v>1432.8</v>
      </c>
    </row>
    <row r="87" spans="1:16" x14ac:dyDescent="0.3">
      <c r="A87" s="614">
        <v>16</v>
      </c>
      <c r="B87" s="619" t="s">
        <v>870</v>
      </c>
      <c r="C87" s="19" t="s">
        <v>845</v>
      </c>
      <c r="D87" s="623" t="s">
        <v>871</v>
      </c>
      <c r="G87" s="614" t="s">
        <v>694</v>
      </c>
      <c r="H87" s="621" t="s">
        <v>723</v>
      </c>
      <c r="I87" s="621" t="s">
        <v>724</v>
      </c>
      <c r="J87" s="622">
        <v>43955</v>
      </c>
      <c r="K87" s="615">
        <v>2898</v>
      </c>
      <c r="L87" s="615">
        <v>1890</v>
      </c>
      <c r="M87" s="615">
        <f t="shared" si="4"/>
        <v>1008</v>
      </c>
      <c r="N87" s="616">
        <f t="shared" si="5"/>
        <v>0.34782608695652173</v>
      </c>
      <c r="O87" s="615">
        <f t="shared" si="6"/>
        <v>2394</v>
      </c>
      <c r="P87" s="615">
        <f t="shared" si="7"/>
        <v>2872.7999999999997</v>
      </c>
    </row>
    <row r="88" spans="1:16" x14ac:dyDescent="0.3">
      <c r="A88" s="614">
        <v>17</v>
      </c>
      <c r="B88" s="619" t="s">
        <v>872</v>
      </c>
      <c r="C88" s="19" t="s">
        <v>845</v>
      </c>
      <c r="D88" s="623" t="s">
        <v>821</v>
      </c>
      <c r="G88" s="614" t="s">
        <v>694</v>
      </c>
      <c r="H88" s="621" t="s">
        <v>739</v>
      </c>
      <c r="I88" s="621" t="s">
        <v>740</v>
      </c>
      <c r="J88" s="622">
        <v>43955</v>
      </c>
      <c r="K88" s="615">
        <v>798</v>
      </c>
      <c r="L88" s="615">
        <v>798</v>
      </c>
      <c r="M88" s="615">
        <f t="shared" si="4"/>
        <v>0</v>
      </c>
      <c r="N88" s="616">
        <f t="shared" si="5"/>
        <v>0</v>
      </c>
      <c r="O88" s="615">
        <f t="shared" si="6"/>
        <v>798</v>
      </c>
      <c r="P88" s="615">
        <f t="shared" si="7"/>
        <v>957.59999999999991</v>
      </c>
    </row>
    <row r="89" spans="1:16" x14ac:dyDescent="0.3">
      <c r="A89" s="614">
        <v>18</v>
      </c>
      <c r="B89" s="619" t="s">
        <v>873</v>
      </c>
      <c r="C89" s="19" t="s">
        <v>845</v>
      </c>
      <c r="D89" s="623" t="s">
        <v>856</v>
      </c>
      <c r="G89" s="614" t="s">
        <v>694</v>
      </c>
      <c r="H89" s="621" t="s">
        <v>839</v>
      </c>
      <c r="I89" s="621" t="s">
        <v>740</v>
      </c>
      <c r="J89" s="622">
        <v>44302</v>
      </c>
      <c r="K89" s="615">
        <v>2940</v>
      </c>
      <c r="L89" s="615">
        <v>1680</v>
      </c>
      <c r="M89" s="615">
        <f t="shared" si="4"/>
        <v>1260</v>
      </c>
      <c r="N89" s="616">
        <f t="shared" si="5"/>
        <v>0.42857142857142855</v>
      </c>
      <c r="O89" s="615">
        <f t="shared" si="6"/>
        <v>2310</v>
      </c>
      <c r="P89" s="615">
        <f t="shared" si="7"/>
        <v>2772</v>
      </c>
    </row>
    <row r="90" spans="1:16" x14ac:dyDescent="0.3">
      <c r="A90" s="614"/>
      <c r="B90" s="619"/>
      <c r="L90" s="615"/>
      <c r="M90" s="615"/>
      <c r="N90" s="616"/>
      <c r="O90" s="615"/>
      <c r="P90" s="615"/>
    </row>
    <row r="91" spans="1:16" x14ac:dyDescent="0.3">
      <c r="A91" s="617"/>
      <c r="B91" s="617"/>
      <c r="C91" s="617" t="s">
        <v>874</v>
      </c>
      <c r="D91" s="617"/>
      <c r="E91" s="617"/>
      <c r="F91" s="617"/>
      <c r="G91" s="617"/>
      <c r="H91" s="2345" t="s">
        <v>674</v>
      </c>
      <c r="I91" s="2345" t="s">
        <v>675</v>
      </c>
      <c r="J91" s="2345" t="s">
        <v>676</v>
      </c>
      <c r="K91" s="2345" t="s">
        <v>677</v>
      </c>
      <c r="L91" s="2345" t="s">
        <v>678</v>
      </c>
      <c r="M91" s="2345" t="s">
        <v>679</v>
      </c>
      <c r="N91" s="2345" t="s">
        <v>680</v>
      </c>
      <c r="O91" s="2345" t="s">
        <v>681</v>
      </c>
      <c r="P91" s="2345" t="s">
        <v>682</v>
      </c>
    </row>
    <row r="92" spans="1:16" x14ac:dyDescent="0.3">
      <c r="A92" s="618" t="s">
        <v>683</v>
      </c>
      <c r="B92" s="618" t="s">
        <v>684</v>
      </c>
      <c r="C92" s="618" t="s">
        <v>685</v>
      </c>
      <c r="D92" s="618" t="s">
        <v>686</v>
      </c>
      <c r="E92" s="618"/>
      <c r="F92" s="618" t="s">
        <v>688</v>
      </c>
      <c r="G92" s="618" t="s">
        <v>689</v>
      </c>
      <c r="H92" s="2345"/>
      <c r="I92" s="2345"/>
      <c r="J92" s="2345"/>
      <c r="K92" s="2345"/>
      <c r="L92" s="2345"/>
      <c r="M92" s="2345"/>
      <c r="N92" s="2345"/>
      <c r="O92" s="2345"/>
      <c r="P92" s="2345"/>
    </row>
    <row r="93" spans="1:16" x14ac:dyDescent="0.3">
      <c r="A93" s="614">
        <v>1</v>
      </c>
      <c r="B93" s="619" t="s">
        <v>875</v>
      </c>
      <c r="C93" s="19" t="s">
        <v>876</v>
      </c>
      <c r="D93" s="623" t="s">
        <v>712</v>
      </c>
      <c r="G93" s="614" t="s">
        <v>694</v>
      </c>
      <c r="H93" s="621" t="s">
        <v>714</v>
      </c>
      <c r="I93" s="621" t="s">
        <v>696</v>
      </c>
      <c r="J93" s="622">
        <v>41612</v>
      </c>
      <c r="K93" s="615">
        <v>72000</v>
      </c>
      <c r="L93" s="615">
        <v>72000</v>
      </c>
      <c r="M93" s="615">
        <f t="shared" si="4"/>
        <v>0</v>
      </c>
      <c r="N93" s="616">
        <f t="shared" si="5"/>
        <v>0</v>
      </c>
      <c r="O93" s="615">
        <f t="shared" si="6"/>
        <v>72000</v>
      </c>
      <c r="P93" s="615">
        <f t="shared" si="7"/>
        <v>86400</v>
      </c>
    </row>
    <row r="94" spans="1:16" x14ac:dyDescent="0.3">
      <c r="A94" s="614">
        <v>2</v>
      </c>
      <c r="B94" s="619" t="s">
        <v>877</v>
      </c>
      <c r="C94" s="19" t="s">
        <v>878</v>
      </c>
      <c r="D94" s="623" t="s">
        <v>821</v>
      </c>
      <c r="G94" s="614" t="s">
        <v>694</v>
      </c>
      <c r="H94" s="621" t="s">
        <v>739</v>
      </c>
      <c r="I94" s="621" t="s">
        <v>740</v>
      </c>
      <c r="J94" s="622">
        <v>42395</v>
      </c>
      <c r="K94" s="615">
        <v>1050</v>
      </c>
      <c r="L94" s="615">
        <v>231</v>
      </c>
      <c r="M94" s="615">
        <f t="shared" si="4"/>
        <v>819</v>
      </c>
      <c r="N94" s="616">
        <f t="shared" si="5"/>
        <v>0.78</v>
      </c>
      <c r="O94" s="615">
        <f t="shared" si="6"/>
        <v>640.5</v>
      </c>
      <c r="P94" s="615">
        <f t="shared" si="7"/>
        <v>768.6</v>
      </c>
    </row>
    <row r="95" spans="1:16" x14ac:dyDescent="0.3">
      <c r="A95" s="614">
        <v>3</v>
      </c>
      <c r="B95" s="619" t="s">
        <v>879</v>
      </c>
      <c r="C95" s="19" t="s">
        <v>878</v>
      </c>
      <c r="D95" s="623" t="s">
        <v>821</v>
      </c>
      <c r="G95" s="614" t="s">
        <v>694</v>
      </c>
      <c r="H95" s="621" t="s">
        <v>739</v>
      </c>
      <c r="I95" s="621" t="s">
        <v>740</v>
      </c>
      <c r="J95" s="622">
        <v>42395</v>
      </c>
      <c r="K95" s="615">
        <v>2940</v>
      </c>
      <c r="L95" s="615">
        <v>1092</v>
      </c>
      <c r="M95" s="615">
        <f t="shared" si="4"/>
        <v>1848</v>
      </c>
      <c r="N95" s="616">
        <f t="shared" si="5"/>
        <v>0.62857142857142856</v>
      </c>
      <c r="O95" s="615">
        <f t="shared" si="6"/>
        <v>2016</v>
      </c>
      <c r="P95" s="615">
        <f t="shared" si="7"/>
        <v>2419.1999999999998</v>
      </c>
    </row>
    <row r="96" spans="1:16" x14ac:dyDescent="0.3">
      <c r="A96" s="614">
        <v>4</v>
      </c>
      <c r="B96" s="619" t="s">
        <v>880</v>
      </c>
      <c r="C96" s="19" t="s">
        <v>881</v>
      </c>
      <c r="D96" s="623" t="s">
        <v>712</v>
      </c>
      <c r="G96" s="614" t="s">
        <v>694</v>
      </c>
      <c r="H96" s="621" t="s">
        <v>714</v>
      </c>
      <c r="I96" s="621" t="s">
        <v>696</v>
      </c>
      <c r="J96" s="622"/>
      <c r="K96" s="615">
        <v>31500</v>
      </c>
      <c r="L96" s="615">
        <v>31500</v>
      </c>
      <c r="M96" s="615">
        <f t="shared" si="4"/>
        <v>0</v>
      </c>
      <c r="N96" s="616">
        <f t="shared" si="5"/>
        <v>0</v>
      </c>
      <c r="O96" s="615">
        <f t="shared" si="6"/>
        <v>31500</v>
      </c>
      <c r="P96" s="615">
        <f t="shared" si="7"/>
        <v>37800</v>
      </c>
    </row>
    <row r="97" spans="1:16" x14ac:dyDescent="0.3">
      <c r="A97" s="614">
        <v>5</v>
      </c>
      <c r="B97" s="619" t="s">
        <v>882</v>
      </c>
      <c r="C97" s="19" t="s">
        <v>883</v>
      </c>
      <c r="D97" s="623" t="s">
        <v>712</v>
      </c>
      <c r="G97" s="614" t="s">
        <v>694</v>
      </c>
      <c r="H97" s="621" t="s">
        <v>714</v>
      </c>
      <c r="I97" s="621" t="s">
        <v>696</v>
      </c>
      <c r="J97" s="622">
        <v>41612</v>
      </c>
      <c r="K97" s="615">
        <v>18900</v>
      </c>
      <c r="L97" s="615">
        <v>7602</v>
      </c>
      <c r="M97" s="615">
        <f t="shared" si="4"/>
        <v>11298</v>
      </c>
      <c r="N97" s="616">
        <f t="shared" si="5"/>
        <v>0.59777777777777774</v>
      </c>
      <c r="O97" s="615">
        <f t="shared" si="6"/>
        <v>13251</v>
      </c>
      <c r="P97" s="615">
        <f t="shared" si="7"/>
        <v>15901.199999999999</v>
      </c>
    </row>
    <row r="98" spans="1:16" ht="19.2" x14ac:dyDescent="0.45">
      <c r="B98" s="619"/>
      <c r="L98" s="624"/>
      <c r="M98" s="615"/>
      <c r="N98" s="616"/>
      <c r="O98" s="615"/>
      <c r="P98" s="615"/>
    </row>
    <row r="99" spans="1:16" x14ac:dyDescent="0.3">
      <c r="A99" s="617"/>
      <c r="B99" s="617"/>
      <c r="C99" s="617" t="s">
        <v>884</v>
      </c>
      <c r="D99" s="617"/>
      <c r="E99" s="617"/>
      <c r="F99" s="617"/>
      <c r="G99" s="617"/>
      <c r="H99" s="2345" t="s">
        <v>674</v>
      </c>
      <c r="I99" s="2345" t="s">
        <v>675</v>
      </c>
      <c r="J99" s="2345" t="s">
        <v>676</v>
      </c>
      <c r="K99" s="2345" t="s">
        <v>677</v>
      </c>
      <c r="L99" s="2345" t="s">
        <v>678</v>
      </c>
      <c r="M99" s="2345" t="s">
        <v>679</v>
      </c>
      <c r="N99" s="2345" t="s">
        <v>680</v>
      </c>
      <c r="O99" s="2345" t="s">
        <v>681</v>
      </c>
      <c r="P99" s="2345" t="s">
        <v>682</v>
      </c>
    </row>
    <row r="100" spans="1:16" x14ac:dyDescent="0.3">
      <c r="A100" s="618" t="s">
        <v>683</v>
      </c>
      <c r="B100" s="618" t="s">
        <v>684</v>
      </c>
      <c r="C100" s="618" t="s">
        <v>685</v>
      </c>
      <c r="D100" s="618" t="s">
        <v>686</v>
      </c>
      <c r="E100" s="618"/>
      <c r="F100" s="618" t="s">
        <v>688</v>
      </c>
      <c r="G100" s="618" t="s">
        <v>689</v>
      </c>
      <c r="H100" s="2345"/>
      <c r="I100" s="2345"/>
      <c r="J100" s="2345"/>
      <c r="K100" s="2345"/>
      <c r="L100" s="2345"/>
      <c r="M100" s="2345"/>
      <c r="N100" s="2345"/>
      <c r="O100" s="2345"/>
      <c r="P100" s="2345"/>
    </row>
    <row r="101" spans="1:16" x14ac:dyDescent="0.3">
      <c r="A101" s="614">
        <v>1</v>
      </c>
      <c r="B101" s="619" t="s">
        <v>885</v>
      </c>
      <c r="C101" s="19" t="s">
        <v>886</v>
      </c>
      <c r="D101" s="19" t="s">
        <v>887</v>
      </c>
      <c r="G101" s="614" t="s">
        <v>694</v>
      </c>
      <c r="H101" s="621" t="s">
        <v>723</v>
      </c>
      <c r="I101" s="621" t="s">
        <v>724</v>
      </c>
      <c r="J101" s="622">
        <v>44302</v>
      </c>
      <c r="K101" s="615">
        <v>4200</v>
      </c>
      <c r="L101" s="615">
        <v>4200</v>
      </c>
      <c r="M101" s="615">
        <f t="shared" si="4"/>
        <v>0</v>
      </c>
      <c r="N101" s="616">
        <f t="shared" si="5"/>
        <v>0</v>
      </c>
      <c r="O101" s="615">
        <f t="shared" si="6"/>
        <v>4200</v>
      </c>
      <c r="P101" s="615">
        <f t="shared" si="7"/>
        <v>5040</v>
      </c>
    </row>
    <row r="102" spans="1:16" x14ac:dyDescent="0.3">
      <c r="A102" s="614">
        <v>2</v>
      </c>
      <c r="B102" s="619" t="s">
        <v>888</v>
      </c>
      <c r="C102" s="19" t="s">
        <v>889</v>
      </c>
      <c r="D102" s="623" t="s">
        <v>821</v>
      </c>
      <c r="G102" s="614" t="s">
        <v>694</v>
      </c>
      <c r="H102" s="621" t="s">
        <v>739</v>
      </c>
      <c r="I102" s="621" t="s">
        <v>740</v>
      </c>
      <c r="J102" s="622">
        <v>41408</v>
      </c>
      <c r="K102" s="615">
        <v>630</v>
      </c>
      <c r="L102" s="615">
        <v>630</v>
      </c>
      <c r="M102" s="615">
        <f t="shared" si="4"/>
        <v>0</v>
      </c>
      <c r="N102" s="616">
        <f t="shared" si="5"/>
        <v>0</v>
      </c>
      <c r="O102" s="615">
        <f t="shared" si="6"/>
        <v>630</v>
      </c>
      <c r="P102" s="615">
        <f t="shared" si="7"/>
        <v>756</v>
      </c>
    </row>
    <row r="103" spans="1:16" x14ac:dyDescent="0.3">
      <c r="A103" s="614">
        <v>3</v>
      </c>
      <c r="B103" s="619" t="s">
        <v>890</v>
      </c>
      <c r="C103" s="19" t="s">
        <v>891</v>
      </c>
      <c r="D103" s="623" t="s">
        <v>699</v>
      </c>
      <c r="G103" s="614" t="s">
        <v>694</v>
      </c>
      <c r="H103" s="621" t="s">
        <v>739</v>
      </c>
      <c r="I103" s="621" t="s">
        <v>740</v>
      </c>
      <c r="J103" s="622">
        <v>44469</v>
      </c>
      <c r="K103" s="615">
        <v>1575</v>
      </c>
      <c r="L103" s="615">
        <v>1575</v>
      </c>
      <c r="M103" s="615">
        <f t="shared" si="4"/>
        <v>0</v>
      </c>
      <c r="N103" s="616">
        <f t="shared" si="5"/>
        <v>0</v>
      </c>
      <c r="O103" s="615">
        <f t="shared" si="6"/>
        <v>1575</v>
      </c>
      <c r="P103" s="615">
        <f t="shared" si="7"/>
        <v>1890</v>
      </c>
    </row>
    <row r="104" spans="1:16" x14ac:dyDescent="0.3">
      <c r="A104" s="614">
        <v>4</v>
      </c>
      <c r="B104" s="619" t="s">
        <v>892</v>
      </c>
      <c r="C104" s="19" t="s">
        <v>893</v>
      </c>
      <c r="D104" s="19" t="s">
        <v>894</v>
      </c>
      <c r="G104" s="614" t="s">
        <v>694</v>
      </c>
      <c r="H104" s="621" t="s">
        <v>723</v>
      </c>
      <c r="I104" s="621" t="s">
        <v>724</v>
      </c>
      <c r="J104" s="622">
        <v>42486</v>
      </c>
      <c r="K104" s="615">
        <v>685</v>
      </c>
      <c r="L104" s="615">
        <v>685</v>
      </c>
      <c r="M104" s="615">
        <f t="shared" si="4"/>
        <v>0</v>
      </c>
      <c r="N104" s="616">
        <f t="shared" si="5"/>
        <v>0</v>
      </c>
      <c r="O104" s="615">
        <f t="shared" si="6"/>
        <v>685</v>
      </c>
      <c r="P104" s="615">
        <f t="shared" si="7"/>
        <v>822</v>
      </c>
    </row>
    <row r="105" spans="1:16" x14ac:dyDescent="0.3">
      <c r="A105" s="614">
        <v>5</v>
      </c>
      <c r="B105" s="619" t="s">
        <v>895</v>
      </c>
      <c r="C105" s="19" t="s">
        <v>896</v>
      </c>
      <c r="D105" s="19" t="s">
        <v>894</v>
      </c>
      <c r="G105" s="614" t="s">
        <v>694</v>
      </c>
      <c r="H105" s="621" t="s">
        <v>723</v>
      </c>
      <c r="I105" s="621" t="s">
        <v>724</v>
      </c>
      <c r="J105" s="622">
        <v>42247</v>
      </c>
      <c r="K105" s="615">
        <v>1890</v>
      </c>
      <c r="L105" s="615">
        <v>1890</v>
      </c>
      <c r="M105" s="615">
        <f t="shared" si="4"/>
        <v>0</v>
      </c>
      <c r="N105" s="616">
        <f t="shared" si="5"/>
        <v>0</v>
      </c>
      <c r="O105" s="615">
        <f t="shared" si="6"/>
        <v>1890</v>
      </c>
      <c r="P105" s="615">
        <f t="shared" si="7"/>
        <v>2268</v>
      </c>
    </row>
    <row r="106" spans="1:16" x14ac:dyDescent="0.3">
      <c r="A106" s="614">
        <v>6</v>
      </c>
      <c r="B106" s="619" t="s">
        <v>897</v>
      </c>
      <c r="C106" s="19" t="s">
        <v>898</v>
      </c>
      <c r="D106" s="623" t="s">
        <v>751</v>
      </c>
      <c r="G106" s="614" t="s">
        <v>694</v>
      </c>
      <c r="H106" s="621" t="s">
        <v>739</v>
      </c>
      <c r="I106" s="621" t="s">
        <v>740</v>
      </c>
      <c r="J106" s="622">
        <v>41873</v>
      </c>
      <c r="K106" s="615">
        <v>2000</v>
      </c>
      <c r="L106" s="615">
        <v>714</v>
      </c>
      <c r="M106" s="615">
        <f t="shared" si="4"/>
        <v>1286</v>
      </c>
      <c r="N106" s="616">
        <f t="shared" si="5"/>
        <v>0.64300000000000002</v>
      </c>
      <c r="O106" s="615">
        <f t="shared" si="6"/>
        <v>1357</v>
      </c>
      <c r="P106" s="615">
        <f t="shared" si="7"/>
        <v>1628.3999999999999</v>
      </c>
    </row>
    <row r="107" spans="1:16" x14ac:dyDescent="0.3">
      <c r="A107" s="614">
        <v>7</v>
      </c>
      <c r="B107" s="619" t="s">
        <v>899</v>
      </c>
      <c r="C107" s="19" t="s">
        <v>889</v>
      </c>
      <c r="D107" s="623" t="s">
        <v>821</v>
      </c>
      <c r="G107" s="614" t="s">
        <v>694</v>
      </c>
      <c r="H107" s="621" t="s">
        <v>739</v>
      </c>
      <c r="I107" s="621" t="s">
        <v>740</v>
      </c>
      <c r="J107" s="622">
        <v>43209</v>
      </c>
      <c r="K107" s="615">
        <v>441</v>
      </c>
      <c r="L107" s="615">
        <v>210</v>
      </c>
      <c r="M107" s="615">
        <f t="shared" si="4"/>
        <v>231</v>
      </c>
      <c r="N107" s="616">
        <f t="shared" si="5"/>
        <v>0.52380952380952384</v>
      </c>
      <c r="O107" s="615">
        <f t="shared" si="6"/>
        <v>325.5</v>
      </c>
      <c r="P107" s="615">
        <f t="shared" si="7"/>
        <v>390.59999999999997</v>
      </c>
    </row>
    <row r="108" spans="1:16" x14ac:dyDescent="0.3">
      <c r="A108" s="614">
        <v>8</v>
      </c>
      <c r="B108" s="619" t="s">
        <v>900</v>
      </c>
      <c r="C108" s="19" t="s">
        <v>901</v>
      </c>
      <c r="D108" s="623" t="s">
        <v>821</v>
      </c>
      <c r="G108" s="614" t="s">
        <v>694</v>
      </c>
      <c r="H108" s="621" t="s">
        <v>739</v>
      </c>
      <c r="I108" s="621" t="s">
        <v>740</v>
      </c>
      <c r="J108" s="622">
        <v>43955</v>
      </c>
      <c r="K108" s="615">
        <v>168</v>
      </c>
      <c r="L108" s="615">
        <v>84</v>
      </c>
      <c r="M108" s="615">
        <f t="shared" si="4"/>
        <v>84</v>
      </c>
      <c r="N108" s="616">
        <f t="shared" si="5"/>
        <v>0.5</v>
      </c>
      <c r="O108" s="615">
        <f t="shared" si="6"/>
        <v>126</v>
      </c>
      <c r="P108" s="615">
        <f t="shared" si="7"/>
        <v>151.19999999999999</v>
      </c>
    </row>
    <row r="109" spans="1:16" x14ac:dyDescent="0.3">
      <c r="A109" s="614">
        <v>9</v>
      </c>
      <c r="B109" s="619" t="s">
        <v>902</v>
      </c>
      <c r="C109" s="19" t="s">
        <v>903</v>
      </c>
      <c r="D109" s="623" t="s">
        <v>712</v>
      </c>
      <c r="G109" s="614" t="s">
        <v>694</v>
      </c>
      <c r="H109" s="621" t="s">
        <v>714</v>
      </c>
      <c r="I109" s="621" t="s">
        <v>696</v>
      </c>
      <c r="J109" s="622">
        <v>44491</v>
      </c>
      <c r="K109" s="615">
        <v>45000</v>
      </c>
      <c r="L109" s="615">
        <v>10899</v>
      </c>
      <c r="M109" s="615">
        <f t="shared" si="4"/>
        <v>34101</v>
      </c>
      <c r="N109" s="616">
        <f t="shared" si="5"/>
        <v>0.75780000000000003</v>
      </c>
      <c r="O109" s="615">
        <f t="shared" si="6"/>
        <v>27949.5</v>
      </c>
      <c r="P109" s="615">
        <f t="shared" si="7"/>
        <v>33539.4</v>
      </c>
    </row>
    <row r="110" spans="1:16" x14ac:dyDescent="0.3">
      <c r="A110" s="614">
        <v>10</v>
      </c>
      <c r="B110" s="619" t="s">
        <v>904</v>
      </c>
      <c r="C110" s="19" t="s">
        <v>905</v>
      </c>
      <c r="D110" s="623" t="s">
        <v>712</v>
      </c>
      <c r="G110" s="614" t="s">
        <v>694</v>
      </c>
      <c r="H110" s="621" t="s">
        <v>714</v>
      </c>
      <c r="I110" s="621" t="s">
        <v>696</v>
      </c>
      <c r="J110" s="622">
        <v>43259</v>
      </c>
      <c r="K110" s="615">
        <v>60000</v>
      </c>
      <c r="L110" s="615">
        <v>9891</v>
      </c>
      <c r="M110" s="615">
        <f t="shared" si="4"/>
        <v>50109</v>
      </c>
      <c r="N110" s="616">
        <f t="shared" si="5"/>
        <v>0.83514999999999995</v>
      </c>
      <c r="O110" s="615">
        <f t="shared" si="6"/>
        <v>34945.5</v>
      </c>
      <c r="P110" s="615">
        <f t="shared" si="7"/>
        <v>41934.6</v>
      </c>
    </row>
    <row r="111" spans="1:16" ht="43.2" x14ac:dyDescent="0.3">
      <c r="A111" s="625">
        <v>11</v>
      </c>
      <c r="B111" s="626" t="s">
        <v>906</v>
      </c>
      <c r="C111" s="627" t="s">
        <v>907</v>
      </c>
      <c r="D111" s="628" t="s">
        <v>908</v>
      </c>
      <c r="G111" s="625" t="s">
        <v>694</v>
      </c>
      <c r="H111" s="629" t="s">
        <v>839</v>
      </c>
      <c r="I111" s="621" t="s">
        <v>740</v>
      </c>
      <c r="J111" s="622">
        <v>42395</v>
      </c>
      <c r="K111" s="615">
        <v>1470</v>
      </c>
      <c r="L111" s="615">
        <v>798</v>
      </c>
      <c r="M111" s="615">
        <f t="shared" si="4"/>
        <v>672</v>
      </c>
      <c r="N111" s="616">
        <f t="shared" si="5"/>
        <v>0.45714285714285713</v>
      </c>
      <c r="O111" s="615">
        <f t="shared" si="6"/>
        <v>1134</v>
      </c>
      <c r="P111" s="615">
        <f t="shared" si="7"/>
        <v>1360.8</v>
      </c>
    </row>
    <row r="112" spans="1:16" x14ac:dyDescent="0.3">
      <c r="A112" s="614">
        <v>12</v>
      </c>
      <c r="B112" s="626" t="s">
        <v>909</v>
      </c>
      <c r="C112" s="19" t="s">
        <v>910</v>
      </c>
      <c r="D112" s="623" t="s">
        <v>712</v>
      </c>
      <c r="G112" s="614" t="s">
        <v>694</v>
      </c>
      <c r="H112" s="621" t="s">
        <v>714</v>
      </c>
      <c r="I112" s="621" t="s">
        <v>696</v>
      </c>
      <c r="J112" s="622">
        <v>43301</v>
      </c>
      <c r="K112" s="615">
        <v>42000</v>
      </c>
      <c r="L112" s="615">
        <v>42000</v>
      </c>
      <c r="M112" s="615">
        <f t="shared" si="4"/>
        <v>0</v>
      </c>
      <c r="N112" s="616">
        <f t="shared" si="5"/>
        <v>0</v>
      </c>
      <c r="O112" s="615">
        <f t="shared" si="6"/>
        <v>42000</v>
      </c>
      <c r="P112" s="615">
        <f t="shared" si="7"/>
        <v>50400</v>
      </c>
    </row>
    <row r="113" spans="1:16" x14ac:dyDescent="0.3">
      <c r="A113" s="614">
        <v>13</v>
      </c>
      <c r="B113" s="626" t="s">
        <v>911</v>
      </c>
      <c r="C113" s="19" t="s">
        <v>912</v>
      </c>
      <c r="D113" s="19" t="s">
        <v>887</v>
      </c>
      <c r="G113" s="614" t="s">
        <v>694</v>
      </c>
      <c r="H113" s="621" t="s">
        <v>723</v>
      </c>
      <c r="I113" s="621" t="s">
        <v>724</v>
      </c>
      <c r="J113" s="622">
        <v>44302</v>
      </c>
      <c r="K113" s="615">
        <v>4200</v>
      </c>
      <c r="L113" s="615">
        <v>4200</v>
      </c>
      <c r="M113" s="615">
        <f t="shared" si="4"/>
        <v>0</v>
      </c>
      <c r="N113" s="616">
        <f t="shared" si="5"/>
        <v>0</v>
      </c>
      <c r="O113" s="615">
        <f t="shared" si="6"/>
        <v>4200</v>
      </c>
      <c r="P113" s="615">
        <f t="shared" si="7"/>
        <v>5040</v>
      </c>
    </row>
    <row r="114" spans="1:16" x14ac:dyDescent="0.3">
      <c r="A114" s="614">
        <v>14</v>
      </c>
      <c r="B114" s="626" t="s">
        <v>913</v>
      </c>
      <c r="C114" s="19" t="s">
        <v>914</v>
      </c>
      <c r="D114" s="623" t="s">
        <v>712</v>
      </c>
      <c r="G114" s="614" t="s">
        <v>694</v>
      </c>
      <c r="H114" s="621" t="s">
        <v>714</v>
      </c>
      <c r="I114" s="621" t="s">
        <v>696</v>
      </c>
      <c r="J114" s="622">
        <v>41498</v>
      </c>
      <c r="K114" s="615">
        <v>57750</v>
      </c>
      <c r="L114" s="615">
        <v>33999</v>
      </c>
      <c r="M114" s="615">
        <f t="shared" si="4"/>
        <v>23751</v>
      </c>
      <c r="N114" s="616">
        <f t="shared" si="5"/>
        <v>0.41127272727272729</v>
      </c>
      <c r="O114" s="615">
        <f t="shared" si="6"/>
        <v>45874.5</v>
      </c>
      <c r="P114" s="615">
        <f t="shared" si="7"/>
        <v>55049.4</v>
      </c>
    </row>
    <row r="115" spans="1:16" x14ac:dyDescent="0.3">
      <c r="A115" s="614">
        <v>15</v>
      </c>
      <c r="B115" s="626" t="s">
        <v>915</v>
      </c>
      <c r="C115" s="19" t="s">
        <v>916</v>
      </c>
      <c r="D115" s="623" t="s">
        <v>712</v>
      </c>
      <c r="G115" s="614" t="s">
        <v>694</v>
      </c>
      <c r="H115" s="621" t="s">
        <v>714</v>
      </c>
      <c r="I115" s="621" t="s">
        <v>696</v>
      </c>
      <c r="J115" s="622">
        <v>42604</v>
      </c>
      <c r="K115" s="615">
        <v>42000</v>
      </c>
      <c r="L115" s="615">
        <v>14154</v>
      </c>
      <c r="M115" s="615">
        <f t="shared" si="4"/>
        <v>27846</v>
      </c>
      <c r="N115" s="616">
        <f t="shared" si="5"/>
        <v>0.66300000000000003</v>
      </c>
      <c r="O115" s="615">
        <f t="shared" si="6"/>
        <v>28077</v>
      </c>
      <c r="P115" s="615">
        <f t="shared" si="7"/>
        <v>33692.400000000001</v>
      </c>
    </row>
    <row r="116" spans="1:16" x14ac:dyDescent="0.3">
      <c r="A116" s="614">
        <v>16</v>
      </c>
      <c r="B116" s="626" t="s">
        <v>917</v>
      </c>
      <c r="C116" s="623" t="s">
        <v>918</v>
      </c>
      <c r="D116" s="19" t="s">
        <v>894</v>
      </c>
      <c r="G116" s="614" t="s">
        <v>694</v>
      </c>
      <c r="H116" s="621" t="s">
        <v>723</v>
      </c>
      <c r="I116" s="621" t="s">
        <v>724</v>
      </c>
      <c r="J116" s="622">
        <v>43955</v>
      </c>
      <c r="K116" s="615">
        <v>1785</v>
      </c>
      <c r="L116" s="615">
        <v>640</v>
      </c>
      <c r="M116" s="615">
        <f t="shared" si="4"/>
        <v>1145</v>
      </c>
      <c r="N116" s="616">
        <f t="shared" si="5"/>
        <v>0.64145658263305327</v>
      </c>
      <c r="O116" s="615">
        <f t="shared" si="6"/>
        <v>1212.5</v>
      </c>
      <c r="P116" s="615">
        <f t="shared" si="7"/>
        <v>1455</v>
      </c>
    </row>
    <row r="117" spans="1:16" x14ac:dyDescent="0.3">
      <c r="A117" s="614">
        <v>17</v>
      </c>
      <c r="B117" s="626" t="s">
        <v>919</v>
      </c>
      <c r="C117" s="623" t="s">
        <v>920</v>
      </c>
      <c r="D117" s="19" t="s">
        <v>894</v>
      </c>
      <c r="G117" s="614" t="s">
        <v>694</v>
      </c>
      <c r="H117" s="621" t="s">
        <v>723</v>
      </c>
      <c r="I117" s="621" t="s">
        <v>724</v>
      </c>
      <c r="J117" s="622">
        <v>43272</v>
      </c>
      <c r="K117" s="615">
        <v>2400</v>
      </c>
      <c r="L117" s="615">
        <v>1407</v>
      </c>
      <c r="M117" s="615">
        <f t="shared" si="4"/>
        <v>993</v>
      </c>
      <c r="N117" s="616">
        <f t="shared" si="5"/>
        <v>0.41375000000000001</v>
      </c>
      <c r="O117" s="615">
        <f t="shared" si="6"/>
        <v>1903.5</v>
      </c>
      <c r="P117" s="615">
        <f t="shared" si="7"/>
        <v>2284.1999999999998</v>
      </c>
    </row>
    <row r="118" spans="1:16" x14ac:dyDescent="0.3">
      <c r="A118" s="614">
        <v>18</v>
      </c>
      <c r="B118" s="626" t="s">
        <v>921</v>
      </c>
      <c r="C118" s="623" t="s">
        <v>916</v>
      </c>
      <c r="D118" s="628" t="s">
        <v>699</v>
      </c>
      <c r="G118" s="614" t="s">
        <v>694</v>
      </c>
      <c r="H118" s="621" t="s">
        <v>739</v>
      </c>
      <c r="I118" s="621" t="s">
        <v>740</v>
      </c>
      <c r="J118" s="622">
        <v>43955</v>
      </c>
      <c r="K118" s="615">
        <v>1260</v>
      </c>
      <c r="L118" s="615">
        <v>1260</v>
      </c>
      <c r="M118" s="615">
        <f t="shared" si="4"/>
        <v>0</v>
      </c>
      <c r="N118" s="616">
        <f t="shared" si="5"/>
        <v>0</v>
      </c>
      <c r="O118" s="615">
        <f t="shared" si="6"/>
        <v>1260</v>
      </c>
      <c r="P118" s="615">
        <f t="shared" si="7"/>
        <v>1512</v>
      </c>
    </row>
    <row r="119" spans="1:16" x14ac:dyDescent="0.3">
      <c r="A119" s="614">
        <v>19</v>
      </c>
      <c r="B119" s="626" t="s">
        <v>922</v>
      </c>
      <c r="C119" s="623" t="s">
        <v>923</v>
      </c>
      <c r="D119" s="19" t="s">
        <v>894</v>
      </c>
      <c r="G119" s="614" t="s">
        <v>694</v>
      </c>
      <c r="H119" s="621" t="s">
        <v>723</v>
      </c>
      <c r="I119" s="621" t="s">
        <v>724</v>
      </c>
      <c r="J119" s="622">
        <v>43955</v>
      </c>
      <c r="K119" s="615">
        <v>1155</v>
      </c>
      <c r="L119" s="615">
        <v>462</v>
      </c>
      <c r="M119" s="615">
        <f t="shared" si="4"/>
        <v>693</v>
      </c>
      <c r="N119" s="616">
        <f t="shared" si="5"/>
        <v>0.6</v>
      </c>
      <c r="O119" s="615">
        <f t="shared" si="6"/>
        <v>808.5</v>
      </c>
      <c r="P119" s="615">
        <f t="shared" si="7"/>
        <v>970.19999999999993</v>
      </c>
    </row>
    <row r="120" spans="1:16" x14ac:dyDescent="0.3">
      <c r="M120" s="615"/>
      <c r="N120" s="616"/>
      <c r="O120" s="615"/>
      <c r="P120" s="615"/>
    </row>
    <row r="121" spans="1:16" x14ac:dyDescent="0.3">
      <c r="A121" s="617"/>
      <c r="B121" s="617"/>
      <c r="C121" s="617" t="s">
        <v>924</v>
      </c>
      <c r="D121" s="617"/>
      <c r="E121" s="617"/>
      <c r="F121" s="617"/>
      <c r="G121" s="617"/>
      <c r="H121" s="2345" t="s">
        <v>674</v>
      </c>
      <c r="I121" s="2345" t="s">
        <v>675</v>
      </c>
      <c r="J121" s="2345" t="s">
        <v>676</v>
      </c>
      <c r="K121" s="2345" t="s">
        <v>677</v>
      </c>
      <c r="L121" s="2345" t="s">
        <v>678</v>
      </c>
      <c r="M121" s="2345" t="s">
        <v>679</v>
      </c>
      <c r="N121" s="2345" t="s">
        <v>680</v>
      </c>
      <c r="O121" s="2345" t="s">
        <v>681</v>
      </c>
      <c r="P121" s="2345" t="s">
        <v>682</v>
      </c>
    </row>
    <row r="122" spans="1:16" x14ac:dyDescent="0.3">
      <c r="A122" s="618" t="s">
        <v>683</v>
      </c>
      <c r="B122" s="618" t="s">
        <v>684</v>
      </c>
      <c r="C122" s="618" t="s">
        <v>685</v>
      </c>
      <c r="D122" s="618" t="s">
        <v>686</v>
      </c>
      <c r="E122" s="618"/>
      <c r="F122" s="618" t="s">
        <v>688</v>
      </c>
      <c r="G122" s="618" t="s">
        <v>689</v>
      </c>
      <c r="H122" s="2345"/>
      <c r="I122" s="2345"/>
      <c r="J122" s="2345"/>
      <c r="K122" s="2345"/>
      <c r="L122" s="2345"/>
      <c r="M122" s="2345"/>
      <c r="N122" s="2345"/>
      <c r="O122" s="2345"/>
      <c r="P122" s="2345"/>
    </row>
    <row r="123" spans="1:16" x14ac:dyDescent="0.3">
      <c r="A123" s="614">
        <v>1</v>
      </c>
      <c r="B123" s="626" t="s">
        <v>925</v>
      </c>
      <c r="C123" s="623" t="s">
        <v>926</v>
      </c>
      <c r="D123" s="19" t="s">
        <v>927</v>
      </c>
      <c r="G123" s="614" t="s">
        <v>694</v>
      </c>
      <c r="H123" s="629" t="s">
        <v>928</v>
      </c>
      <c r="I123" s="621" t="s">
        <v>696</v>
      </c>
      <c r="J123" s="622">
        <v>42403</v>
      </c>
      <c r="K123" s="615">
        <v>18900</v>
      </c>
      <c r="L123" s="615">
        <v>18900</v>
      </c>
      <c r="M123" s="615">
        <f t="shared" si="4"/>
        <v>0</v>
      </c>
      <c r="N123" s="616">
        <f t="shared" si="5"/>
        <v>0</v>
      </c>
      <c r="O123" s="615">
        <f t="shared" si="6"/>
        <v>18900</v>
      </c>
      <c r="P123" s="615">
        <f t="shared" si="7"/>
        <v>22680</v>
      </c>
    </row>
    <row r="124" spans="1:16" x14ac:dyDescent="0.3">
      <c r="A124" s="614">
        <v>2</v>
      </c>
      <c r="B124" s="626" t="s">
        <v>929</v>
      </c>
      <c r="C124" s="623" t="s">
        <v>930</v>
      </c>
      <c r="D124" s="19" t="s">
        <v>931</v>
      </c>
      <c r="G124" s="614" t="s">
        <v>694</v>
      </c>
      <c r="H124" s="629" t="s">
        <v>928</v>
      </c>
      <c r="I124" s="621" t="s">
        <v>696</v>
      </c>
      <c r="J124" s="622">
        <v>43013</v>
      </c>
      <c r="K124" s="615">
        <v>26250</v>
      </c>
      <c r="L124" s="615">
        <v>9807</v>
      </c>
      <c r="M124" s="615">
        <f t="shared" si="4"/>
        <v>16443</v>
      </c>
      <c r="N124" s="616">
        <f t="shared" si="5"/>
        <v>0.62639999999999996</v>
      </c>
      <c r="O124" s="615">
        <f t="shared" si="6"/>
        <v>18028.5</v>
      </c>
      <c r="P124" s="615">
        <f t="shared" si="7"/>
        <v>21634.2</v>
      </c>
    </row>
    <row r="125" spans="1:16" x14ac:dyDescent="0.3">
      <c r="A125" s="614">
        <v>3</v>
      </c>
      <c r="B125" s="626" t="s">
        <v>932</v>
      </c>
      <c r="C125" s="623" t="s">
        <v>930</v>
      </c>
      <c r="D125" s="19" t="s">
        <v>931</v>
      </c>
      <c r="G125" s="614" t="s">
        <v>694</v>
      </c>
      <c r="H125" s="629" t="s">
        <v>928</v>
      </c>
      <c r="I125" s="621" t="s">
        <v>696</v>
      </c>
      <c r="J125" s="622">
        <v>41653</v>
      </c>
      <c r="K125" s="615">
        <v>38850</v>
      </c>
      <c r="L125" s="615">
        <v>16800</v>
      </c>
      <c r="M125" s="615">
        <f t="shared" si="4"/>
        <v>22050</v>
      </c>
      <c r="N125" s="616">
        <f t="shared" si="5"/>
        <v>0.56756756756756754</v>
      </c>
      <c r="O125" s="615">
        <f t="shared" si="6"/>
        <v>27825</v>
      </c>
      <c r="P125" s="615">
        <f t="shared" si="7"/>
        <v>33390</v>
      </c>
    </row>
    <row r="126" spans="1:16" ht="28.8" x14ac:dyDescent="0.3">
      <c r="A126" s="614">
        <v>4</v>
      </c>
      <c r="B126" s="626" t="s">
        <v>933</v>
      </c>
      <c r="C126" s="627" t="s">
        <v>934</v>
      </c>
      <c r="D126" s="628" t="s">
        <v>908</v>
      </c>
      <c r="G126" s="625" t="s">
        <v>694</v>
      </c>
      <c r="H126" s="629" t="s">
        <v>839</v>
      </c>
      <c r="I126" s="621" t="s">
        <v>740</v>
      </c>
      <c r="J126" s="622">
        <v>42926</v>
      </c>
      <c r="K126" s="615">
        <v>1050</v>
      </c>
      <c r="L126" s="615">
        <v>441</v>
      </c>
      <c r="M126" s="615">
        <f t="shared" si="4"/>
        <v>609</v>
      </c>
      <c r="N126" s="616">
        <f t="shared" si="5"/>
        <v>0.57999999999999996</v>
      </c>
      <c r="O126" s="615">
        <f t="shared" si="6"/>
        <v>745.5</v>
      </c>
      <c r="P126" s="615">
        <f t="shared" si="7"/>
        <v>894.6</v>
      </c>
    </row>
    <row r="127" spans="1:16" x14ac:dyDescent="0.3">
      <c r="A127" s="614">
        <v>5</v>
      </c>
      <c r="B127" s="626" t="s">
        <v>935</v>
      </c>
      <c r="C127" s="627" t="s">
        <v>936</v>
      </c>
      <c r="D127" s="623" t="s">
        <v>771</v>
      </c>
      <c r="G127" s="614" t="s">
        <v>694</v>
      </c>
      <c r="H127" s="621" t="s">
        <v>723</v>
      </c>
      <c r="I127" s="621" t="s">
        <v>724</v>
      </c>
      <c r="J127" s="622">
        <v>44302</v>
      </c>
      <c r="K127" s="615">
        <v>1680</v>
      </c>
      <c r="L127" s="615">
        <v>480</v>
      </c>
      <c r="M127" s="615">
        <f t="shared" si="4"/>
        <v>1200</v>
      </c>
      <c r="N127" s="616">
        <f t="shared" si="5"/>
        <v>0.7142857142857143</v>
      </c>
      <c r="O127" s="615">
        <f t="shared" si="6"/>
        <v>1080</v>
      </c>
      <c r="P127" s="615">
        <f t="shared" si="7"/>
        <v>1296</v>
      </c>
    </row>
    <row r="128" spans="1:16" ht="19.2" x14ac:dyDescent="0.45">
      <c r="I128" s="621"/>
      <c r="J128" s="622"/>
      <c r="K128" s="615"/>
      <c r="L128" s="624"/>
      <c r="M128" s="615"/>
      <c r="N128" s="616"/>
      <c r="O128" s="615"/>
      <c r="P128" s="615"/>
    </row>
    <row r="129" spans="1:16" x14ac:dyDescent="0.3">
      <c r="A129" s="617"/>
      <c r="B129" s="617"/>
      <c r="C129" s="617" t="s">
        <v>937</v>
      </c>
      <c r="D129" s="617"/>
      <c r="E129" s="617"/>
      <c r="F129" s="617"/>
      <c r="G129" s="617"/>
      <c r="H129" s="2345" t="s">
        <v>674</v>
      </c>
      <c r="I129" s="2345" t="s">
        <v>675</v>
      </c>
      <c r="J129" s="2345" t="s">
        <v>676</v>
      </c>
      <c r="K129" s="2345" t="s">
        <v>677</v>
      </c>
      <c r="L129" s="2345" t="s">
        <v>678</v>
      </c>
      <c r="M129" s="2345" t="s">
        <v>679</v>
      </c>
      <c r="N129" s="2345" t="s">
        <v>680</v>
      </c>
      <c r="O129" s="2345" t="s">
        <v>681</v>
      </c>
      <c r="P129" s="2345" t="s">
        <v>682</v>
      </c>
    </row>
    <row r="130" spans="1:16" x14ac:dyDescent="0.3">
      <c r="A130" s="618" t="s">
        <v>683</v>
      </c>
      <c r="B130" s="618" t="s">
        <v>684</v>
      </c>
      <c r="C130" s="618" t="s">
        <v>685</v>
      </c>
      <c r="D130" s="618" t="s">
        <v>686</v>
      </c>
      <c r="E130" s="618"/>
      <c r="F130" s="618" t="s">
        <v>688</v>
      </c>
      <c r="G130" s="618" t="s">
        <v>689</v>
      </c>
      <c r="H130" s="2345"/>
      <c r="I130" s="2345"/>
      <c r="J130" s="2345"/>
      <c r="K130" s="2345"/>
      <c r="L130" s="2345"/>
      <c r="M130" s="2345"/>
      <c r="N130" s="2345"/>
      <c r="O130" s="2345"/>
      <c r="P130" s="2345"/>
    </row>
    <row r="131" spans="1:16" x14ac:dyDescent="0.3">
      <c r="A131" s="614">
        <v>1</v>
      </c>
      <c r="B131" s="626" t="s">
        <v>938</v>
      </c>
      <c r="C131" s="627" t="s">
        <v>939</v>
      </c>
      <c r="D131" s="623" t="s">
        <v>821</v>
      </c>
      <c r="G131" s="614" t="s">
        <v>694</v>
      </c>
      <c r="H131" s="621" t="s">
        <v>739</v>
      </c>
      <c r="I131" s="621" t="s">
        <v>740</v>
      </c>
      <c r="J131" s="622">
        <v>41817</v>
      </c>
      <c r="K131" s="615">
        <v>420</v>
      </c>
      <c r="L131" s="615">
        <v>168</v>
      </c>
      <c r="M131" s="615">
        <f t="shared" si="4"/>
        <v>252</v>
      </c>
      <c r="N131" s="616">
        <f t="shared" si="5"/>
        <v>0.6</v>
      </c>
      <c r="O131" s="615">
        <f t="shared" si="6"/>
        <v>294</v>
      </c>
      <c r="P131" s="615">
        <f t="shared" si="7"/>
        <v>352.8</v>
      </c>
    </row>
    <row r="132" spans="1:16" x14ac:dyDescent="0.3">
      <c r="A132" s="614">
        <v>2</v>
      </c>
      <c r="B132" s="626" t="s">
        <v>940</v>
      </c>
      <c r="C132" s="627" t="s">
        <v>941</v>
      </c>
      <c r="D132" s="623" t="s">
        <v>751</v>
      </c>
      <c r="G132" s="614" t="s">
        <v>694</v>
      </c>
      <c r="H132" s="621" t="s">
        <v>739</v>
      </c>
      <c r="I132" s="621" t="s">
        <v>740</v>
      </c>
      <c r="J132" s="622">
        <v>42712</v>
      </c>
      <c r="K132" s="615">
        <v>2940</v>
      </c>
      <c r="L132" s="615">
        <v>650</v>
      </c>
      <c r="M132" s="615">
        <f t="shared" si="4"/>
        <v>2290</v>
      </c>
      <c r="N132" s="616">
        <f t="shared" si="5"/>
        <v>0.77891156462585032</v>
      </c>
      <c r="O132" s="615">
        <f t="shared" si="6"/>
        <v>1795</v>
      </c>
      <c r="P132" s="615">
        <f t="shared" si="7"/>
        <v>2154</v>
      </c>
    </row>
    <row r="133" spans="1:16" x14ac:dyDescent="0.3">
      <c r="A133" s="614">
        <v>3</v>
      </c>
      <c r="B133" s="626" t="s">
        <v>942</v>
      </c>
      <c r="C133" s="627" t="s">
        <v>941</v>
      </c>
      <c r="D133" s="623" t="s">
        <v>751</v>
      </c>
      <c r="G133" s="614" t="s">
        <v>694</v>
      </c>
      <c r="H133" s="621" t="s">
        <v>739</v>
      </c>
      <c r="I133" s="621" t="s">
        <v>740</v>
      </c>
      <c r="J133" s="622">
        <v>42712</v>
      </c>
      <c r="K133" s="615">
        <v>1575</v>
      </c>
      <c r="L133" s="615">
        <v>410</v>
      </c>
      <c r="M133" s="615">
        <f t="shared" si="4"/>
        <v>1165</v>
      </c>
      <c r="N133" s="616">
        <f t="shared" si="5"/>
        <v>0.73968253968253972</v>
      </c>
      <c r="O133" s="615">
        <f t="shared" si="6"/>
        <v>992.5</v>
      </c>
      <c r="P133" s="615">
        <f t="shared" si="7"/>
        <v>1191</v>
      </c>
    </row>
    <row r="134" spans="1:16" x14ac:dyDescent="0.3">
      <c r="A134" s="614">
        <v>4</v>
      </c>
      <c r="B134" s="626" t="s">
        <v>943</v>
      </c>
      <c r="C134" s="627" t="s">
        <v>944</v>
      </c>
      <c r="D134" s="623" t="s">
        <v>751</v>
      </c>
      <c r="G134" s="614" t="s">
        <v>694</v>
      </c>
      <c r="H134" s="621" t="s">
        <v>739</v>
      </c>
      <c r="I134" s="621" t="s">
        <v>740</v>
      </c>
      <c r="J134" s="622">
        <v>42926</v>
      </c>
      <c r="K134" s="615">
        <v>420</v>
      </c>
      <c r="L134" s="615">
        <v>126</v>
      </c>
      <c r="M134" s="615">
        <f t="shared" si="4"/>
        <v>294</v>
      </c>
      <c r="N134" s="616">
        <f t="shared" si="5"/>
        <v>0.7</v>
      </c>
      <c r="O134" s="615">
        <f t="shared" si="6"/>
        <v>273</v>
      </c>
      <c r="P134" s="615">
        <f t="shared" si="7"/>
        <v>327.59999999999997</v>
      </c>
    </row>
    <row r="135" spans="1:16" x14ac:dyDescent="0.3">
      <c r="A135" s="614">
        <v>5</v>
      </c>
      <c r="B135" s="626" t="s">
        <v>945</v>
      </c>
      <c r="C135" s="627" t="s">
        <v>941</v>
      </c>
      <c r="D135" s="623" t="s">
        <v>751</v>
      </c>
      <c r="G135" s="614" t="s">
        <v>694</v>
      </c>
      <c r="H135" s="621" t="s">
        <v>739</v>
      </c>
      <c r="I135" s="621" t="s">
        <v>740</v>
      </c>
      <c r="J135" s="622">
        <v>42642</v>
      </c>
      <c r="K135" s="615">
        <v>4000</v>
      </c>
      <c r="L135" s="615">
        <v>882</v>
      </c>
      <c r="M135" s="615">
        <f t="shared" si="4"/>
        <v>3118</v>
      </c>
      <c r="N135" s="616">
        <f t="shared" si="5"/>
        <v>0.77949999999999997</v>
      </c>
      <c r="O135" s="615">
        <f t="shared" si="6"/>
        <v>2441</v>
      </c>
      <c r="P135" s="615">
        <f t="shared" si="7"/>
        <v>2929.2</v>
      </c>
    </row>
    <row r="136" spans="1:16" x14ac:dyDescent="0.3">
      <c r="M136" s="615"/>
      <c r="N136" s="616"/>
      <c r="O136" s="615"/>
      <c r="P136" s="615"/>
    </row>
    <row r="137" spans="1:16" x14ac:dyDescent="0.3">
      <c r="A137" s="617"/>
      <c r="B137" s="617"/>
      <c r="C137" s="617" t="s">
        <v>946</v>
      </c>
      <c r="D137" s="617"/>
      <c r="E137" s="617"/>
      <c r="F137" s="617"/>
      <c r="G137" s="617"/>
      <c r="H137" s="2345" t="s">
        <v>674</v>
      </c>
      <c r="I137" s="2345" t="s">
        <v>675</v>
      </c>
      <c r="J137" s="2345" t="s">
        <v>676</v>
      </c>
      <c r="K137" s="2345" t="s">
        <v>677</v>
      </c>
      <c r="L137" s="2345" t="s">
        <v>678</v>
      </c>
      <c r="M137" s="2345" t="s">
        <v>679</v>
      </c>
      <c r="N137" s="2345" t="s">
        <v>680</v>
      </c>
      <c r="O137" s="2345" t="s">
        <v>681</v>
      </c>
      <c r="P137" s="2345" t="s">
        <v>682</v>
      </c>
    </row>
    <row r="138" spans="1:16" x14ac:dyDescent="0.3">
      <c r="A138" s="618" t="s">
        <v>683</v>
      </c>
      <c r="B138" s="618" t="s">
        <v>684</v>
      </c>
      <c r="C138" s="618" t="s">
        <v>685</v>
      </c>
      <c r="D138" s="618" t="s">
        <v>686</v>
      </c>
      <c r="E138" s="618"/>
      <c r="F138" s="618" t="s">
        <v>688</v>
      </c>
      <c r="G138" s="618" t="s">
        <v>689</v>
      </c>
      <c r="H138" s="2345"/>
      <c r="I138" s="2345"/>
      <c r="J138" s="2345"/>
      <c r="K138" s="2345"/>
      <c r="L138" s="2345"/>
      <c r="M138" s="2345"/>
      <c r="N138" s="2345"/>
      <c r="O138" s="2345"/>
      <c r="P138" s="2345"/>
    </row>
    <row r="139" spans="1:16" x14ac:dyDescent="0.3">
      <c r="A139" s="614">
        <v>1</v>
      </c>
      <c r="B139" s="626" t="s">
        <v>947</v>
      </c>
      <c r="C139" s="627" t="s">
        <v>948</v>
      </c>
      <c r="D139" s="628" t="s">
        <v>908</v>
      </c>
      <c r="G139" s="614" t="s">
        <v>694</v>
      </c>
      <c r="H139" s="629" t="s">
        <v>839</v>
      </c>
      <c r="I139" s="621" t="s">
        <v>740</v>
      </c>
      <c r="J139" s="622">
        <v>43420</v>
      </c>
      <c r="K139" s="615">
        <v>5000</v>
      </c>
      <c r="L139" s="615">
        <v>5000</v>
      </c>
      <c r="M139" s="615">
        <f t="shared" ref="M139:M202" si="8">K139-L139</f>
        <v>0</v>
      </c>
      <c r="N139" s="616">
        <f t="shared" ref="N139:N202" si="9">M139/K139</f>
        <v>0</v>
      </c>
      <c r="O139" s="615">
        <f t="shared" ref="O139:O202" si="10">AVERAGE(K139,L139)</f>
        <v>5000</v>
      </c>
      <c r="P139" s="615">
        <f t="shared" ref="P139:P202" si="11">O139*1.2</f>
        <v>6000</v>
      </c>
    </row>
    <row r="140" spans="1:16" x14ac:dyDescent="0.3">
      <c r="A140" s="614">
        <v>2</v>
      </c>
      <c r="B140" s="626" t="s">
        <v>949</v>
      </c>
      <c r="C140" s="627" t="s">
        <v>950</v>
      </c>
      <c r="D140" s="623" t="s">
        <v>751</v>
      </c>
      <c r="G140" s="614" t="s">
        <v>694</v>
      </c>
      <c r="H140" s="621" t="s">
        <v>739</v>
      </c>
      <c r="I140" s="621" t="s">
        <v>740</v>
      </c>
      <c r="J140" s="622">
        <v>44302</v>
      </c>
      <c r="K140" s="630">
        <v>945</v>
      </c>
      <c r="L140" s="615">
        <v>284</v>
      </c>
      <c r="M140" s="615">
        <f t="shared" si="8"/>
        <v>661</v>
      </c>
      <c r="N140" s="616">
        <f t="shared" si="9"/>
        <v>0.69947089947089947</v>
      </c>
      <c r="O140" s="615">
        <f t="shared" si="10"/>
        <v>614.5</v>
      </c>
      <c r="P140" s="615">
        <f t="shared" si="11"/>
        <v>737.4</v>
      </c>
    </row>
    <row r="141" spans="1:16" x14ac:dyDescent="0.3">
      <c r="A141" s="614">
        <v>3</v>
      </c>
      <c r="B141" s="626" t="s">
        <v>951</v>
      </c>
      <c r="C141" s="627" t="s">
        <v>952</v>
      </c>
      <c r="D141" s="623" t="s">
        <v>821</v>
      </c>
      <c r="G141" s="614" t="s">
        <v>694</v>
      </c>
      <c r="H141" s="621" t="s">
        <v>739</v>
      </c>
      <c r="I141" s="621" t="s">
        <v>740</v>
      </c>
      <c r="J141" s="622">
        <v>42642</v>
      </c>
      <c r="K141" s="615">
        <v>15000</v>
      </c>
      <c r="L141" s="615">
        <v>3948</v>
      </c>
      <c r="M141" s="615">
        <f t="shared" si="8"/>
        <v>11052</v>
      </c>
      <c r="N141" s="616">
        <f t="shared" si="9"/>
        <v>0.73680000000000001</v>
      </c>
      <c r="O141" s="615">
        <f t="shared" si="10"/>
        <v>9474</v>
      </c>
      <c r="P141" s="615">
        <f t="shared" si="11"/>
        <v>11368.8</v>
      </c>
    </row>
    <row r="142" spans="1:16" x14ac:dyDescent="0.3">
      <c r="A142" s="614">
        <v>4</v>
      </c>
      <c r="B142" s="626" t="s">
        <v>953</v>
      </c>
      <c r="C142" s="627" t="s">
        <v>954</v>
      </c>
      <c r="D142" s="628" t="s">
        <v>699</v>
      </c>
      <c r="G142" s="614" t="s">
        <v>694</v>
      </c>
      <c r="H142" s="621" t="s">
        <v>739</v>
      </c>
      <c r="I142" s="621" t="s">
        <v>740</v>
      </c>
      <c r="J142" s="622">
        <v>43420</v>
      </c>
      <c r="K142" s="615">
        <v>4830</v>
      </c>
      <c r="L142" s="615">
        <v>580</v>
      </c>
      <c r="M142" s="615">
        <f t="shared" si="8"/>
        <v>4250</v>
      </c>
      <c r="N142" s="616">
        <f t="shared" si="9"/>
        <v>0.87991718426501031</v>
      </c>
      <c r="O142" s="615">
        <f t="shared" si="10"/>
        <v>2705</v>
      </c>
      <c r="P142" s="615">
        <f t="shared" si="11"/>
        <v>3246</v>
      </c>
    </row>
    <row r="143" spans="1:16" x14ac:dyDescent="0.3">
      <c r="A143" s="614">
        <v>5</v>
      </c>
      <c r="B143" s="626" t="s">
        <v>955</v>
      </c>
      <c r="C143" s="627" t="s">
        <v>956</v>
      </c>
      <c r="D143" s="628" t="s">
        <v>699</v>
      </c>
      <c r="G143" s="614" t="s">
        <v>694</v>
      </c>
      <c r="H143" s="621" t="s">
        <v>739</v>
      </c>
      <c r="I143" s="621" t="s">
        <v>740</v>
      </c>
      <c r="J143" s="622">
        <v>43013</v>
      </c>
      <c r="K143" s="615">
        <v>1050</v>
      </c>
      <c r="L143" s="615">
        <v>336</v>
      </c>
      <c r="M143" s="615">
        <f t="shared" si="8"/>
        <v>714</v>
      </c>
      <c r="N143" s="616">
        <f t="shared" si="9"/>
        <v>0.68</v>
      </c>
      <c r="O143" s="615">
        <f t="shared" si="10"/>
        <v>693</v>
      </c>
      <c r="P143" s="615">
        <f t="shared" si="11"/>
        <v>831.6</v>
      </c>
    </row>
    <row r="144" spans="1:16" x14ac:dyDescent="0.3">
      <c r="M144" s="615"/>
      <c r="N144" s="616"/>
      <c r="O144" s="615"/>
      <c r="P144" s="615"/>
    </row>
    <row r="145" spans="1:16" x14ac:dyDescent="0.3">
      <c r="A145" s="617"/>
      <c r="B145" s="617"/>
      <c r="C145" s="617" t="s">
        <v>957</v>
      </c>
      <c r="D145" s="617"/>
      <c r="E145" s="617"/>
      <c r="F145" s="617"/>
      <c r="G145" s="617"/>
      <c r="H145" s="2345" t="s">
        <v>674</v>
      </c>
      <c r="I145" s="2345" t="s">
        <v>675</v>
      </c>
      <c r="J145" s="2345" t="s">
        <v>676</v>
      </c>
      <c r="K145" s="2345" t="s">
        <v>677</v>
      </c>
      <c r="L145" s="2345" t="s">
        <v>678</v>
      </c>
      <c r="M145" s="2345" t="s">
        <v>679</v>
      </c>
      <c r="N145" s="2345" t="s">
        <v>680</v>
      </c>
      <c r="O145" s="2345" t="s">
        <v>681</v>
      </c>
      <c r="P145" s="2345" t="s">
        <v>682</v>
      </c>
    </row>
    <row r="146" spans="1:16" x14ac:dyDescent="0.3">
      <c r="A146" s="618" t="s">
        <v>683</v>
      </c>
      <c r="B146" s="618" t="s">
        <v>684</v>
      </c>
      <c r="C146" s="618" t="s">
        <v>685</v>
      </c>
      <c r="D146" s="618" t="s">
        <v>686</v>
      </c>
      <c r="E146" s="618"/>
      <c r="F146" s="618" t="s">
        <v>688</v>
      </c>
      <c r="G146" s="618" t="s">
        <v>689</v>
      </c>
      <c r="H146" s="2345"/>
      <c r="I146" s="2345"/>
      <c r="J146" s="2345"/>
      <c r="K146" s="2345"/>
      <c r="L146" s="2345"/>
      <c r="M146" s="2345"/>
      <c r="N146" s="2345"/>
      <c r="O146" s="2345"/>
      <c r="P146" s="2345"/>
    </row>
    <row r="147" spans="1:16" x14ac:dyDescent="0.3">
      <c r="A147" s="614">
        <v>1</v>
      </c>
      <c r="B147" s="626" t="s">
        <v>958</v>
      </c>
      <c r="C147" s="627" t="s">
        <v>959</v>
      </c>
      <c r="D147" s="623" t="s">
        <v>815</v>
      </c>
      <c r="G147" s="614" t="s">
        <v>694</v>
      </c>
      <c r="H147" s="621" t="s">
        <v>695</v>
      </c>
      <c r="I147" s="621" t="s">
        <v>794</v>
      </c>
      <c r="J147" s="622">
        <v>43696</v>
      </c>
      <c r="K147" s="615">
        <v>14700</v>
      </c>
      <c r="L147" s="615">
        <v>12490</v>
      </c>
      <c r="M147" s="615">
        <f t="shared" si="8"/>
        <v>2210</v>
      </c>
      <c r="N147" s="616">
        <f t="shared" si="9"/>
        <v>0.15034013605442176</v>
      </c>
      <c r="O147" s="615">
        <f t="shared" si="10"/>
        <v>13595</v>
      </c>
      <c r="P147" s="615">
        <f t="shared" si="11"/>
        <v>16314</v>
      </c>
    </row>
    <row r="148" spans="1:16" x14ac:dyDescent="0.3">
      <c r="A148" s="614">
        <v>2</v>
      </c>
      <c r="B148" s="626" t="s">
        <v>960</v>
      </c>
      <c r="C148" s="627" t="s">
        <v>961</v>
      </c>
      <c r="D148" s="623" t="s">
        <v>815</v>
      </c>
      <c r="G148" s="614" t="s">
        <v>694</v>
      </c>
      <c r="H148" s="621" t="s">
        <v>695</v>
      </c>
      <c r="I148" s="621" t="s">
        <v>794</v>
      </c>
      <c r="J148" s="622">
        <v>43787</v>
      </c>
      <c r="K148" s="615">
        <v>21000</v>
      </c>
      <c r="L148" s="615">
        <v>21000</v>
      </c>
      <c r="M148" s="615">
        <f t="shared" si="8"/>
        <v>0</v>
      </c>
      <c r="N148" s="616">
        <f t="shared" si="9"/>
        <v>0</v>
      </c>
      <c r="O148" s="615">
        <f t="shared" si="10"/>
        <v>21000</v>
      </c>
      <c r="P148" s="615">
        <f t="shared" si="11"/>
        <v>25200</v>
      </c>
    </row>
    <row r="149" spans="1:16" x14ac:dyDescent="0.3">
      <c r="A149" s="614">
        <v>3</v>
      </c>
      <c r="B149" s="626" t="s">
        <v>962</v>
      </c>
      <c r="C149" s="627" t="s">
        <v>961</v>
      </c>
      <c r="D149" s="623" t="s">
        <v>815</v>
      </c>
      <c r="G149" s="614" t="s">
        <v>694</v>
      </c>
      <c r="H149" s="621" t="s">
        <v>695</v>
      </c>
      <c r="I149" s="621" t="s">
        <v>794</v>
      </c>
      <c r="J149" s="622">
        <v>43787</v>
      </c>
      <c r="K149" s="615">
        <v>11000</v>
      </c>
      <c r="L149" s="615">
        <v>11000</v>
      </c>
      <c r="M149" s="615">
        <f t="shared" si="8"/>
        <v>0</v>
      </c>
      <c r="N149" s="616">
        <f t="shared" si="9"/>
        <v>0</v>
      </c>
      <c r="O149" s="615">
        <f t="shared" si="10"/>
        <v>11000</v>
      </c>
      <c r="P149" s="615">
        <f t="shared" si="11"/>
        <v>13200</v>
      </c>
    </row>
    <row r="150" spans="1:16" x14ac:dyDescent="0.3">
      <c r="A150" s="614">
        <v>4</v>
      </c>
      <c r="B150" s="626" t="s">
        <v>963</v>
      </c>
      <c r="C150" s="627" t="s">
        <v>961</v>
      </c>
      <c r="D150" s="623" t="s">
        <v>815</v>
      </c>
      <c r="G150" s="614" t="s">
        <v>694</v>
      </c>
      <c r="H150" s="621" t="s">
        <v>695</v>
      </c>
      <c r="I150" s="621" t="s">
        <v>794</v>
      </c>
      <c r="J150" s="622">
        <v>43787</v>
      </c>
      <c r="K150" s="615">
        <v>6000</v>
      </c>
      <c r="L150" s="615">
        <v>6000</v>
      </c>
      <c r="M150" s="615">
        <f t="shared" si="8"/>
        <v>0</v>
      </c>
      <c r="N150" s="616">
        <f t="shared" si="9"/>
        <v>0</v>
      </c>
      <c r="O150" s="615">
        <f t="shared" si="10"/>
        <v>6000</v>
      </c>
      <c r="P150" s="615">
        <f t="shared" si="11"/>
        <v>7200</v>
      </c>
    </row>
    <row r="151" spans="1:16" x14ac:dyDescent="0.3">
      <c r="A151" s="614">
        <v>5</v>
      </c>
      <c r="B151" s="626" t="s">
        <v>789</v>
      </c>
      <c r="C151" s="627" t="s">
        <v>964</v>
      </c>
      <c r="D151" s="623" t="s">
        <v>692</v>
      </c>
      <c r="F151" s="614" t="s">
        <v>694</v>
      </c>
      <c r="H151" s="621" t="s">
        <v>695</v>
      </c>
      <c r="I151" s="621" t="s">
        <v>696</v>
      </c>
      <c r="J151" s="622">
        <v>43301</v>
      </c>
      <c r="K151" s="615">
        <v>32000</v>
      </c>
      <c r="L151" s="615">
        <v>29904</v>
      </c>
      <c r="M151" s="615">
        <f t="shared" si="8"/>
        <v>2096</v>
      </c>
      <c r="N151" s="616">
        <f t="shared" si="9"/>
        <v>6.5500000000000003E-2</v>
      </c>
      <c r="O151" s="615">
        <f t="shared" si="10"/>
        <v>30952</v>
      </c>
      <c r="P151" s="615">
        <f t="shared" si="11"/>
        <v>37142.400000000001</v>
      </c>
    </row>
    <row r="152" spans="1:16" x14ac:dyDescent="0.3">
      <c r="A152" s="614">
        <v>6</v>
      </c>
      <c r="B152" s="626" t="s">
        <v>965</v>
      </c>
      <c r="C152" s="627" t="s">
        <v>750</v>
      </c>
      <c r="D152" s="623" t="s">
        <v>815</v>
      </c>
      <c r="G152" s="614" t="s">
        <v>694</v>
      </c>
      <c r="H152" s="621" t="s">
        <v>695</v>
      </c>
      <c r="I152" s="621" t="s">
        <v>966</v>
      </c>
      <c r="J152" s="622">
        <v>43787</v>
      </c>
      <c r="K152" s="615">
        <v>48000</v>
      </c>
      <c r="L152" s="615">
        <v>48000</v>
      </c>
      <c r="M152" s="615">
        <f t="shared" si="8"/>
        <v>0</v>
      </c>
      <c r="N152" s="616">
        <f t="shared" si="9"/>
        <v>0</v>
      </c>
      <c r="O152" s="615">
        <f t="shared" si="10"/>
        <v>48000</v>
      </c>
      <c r="P152" s="615">
        <f t="shared" si="11"/>
        <v>57600</v>
      </c>
    </row>
    <row r="153" spans="1:16" x14ac:dyDescent="0.3">
      <c r="A153" s="614">
        <v>7</v>
      </c>
      <c r="B153" s="626" t="s">
        <v>967</v>
      </c>
      <c r="C153" s="627" t="s">
        <v>968</v>
      </c>
      <c r="D153" s="623" t="s">
        <v>815</v>
      </c>
      <c r="G153" s="614" t="s">
        <v>694</v>
      </c>
      <c r="H153" s="621" t="s">
        <v>695</v>
      </c>
      <c r="I153" s="621" t="s">
        <v>794</v>
      </c>
      <c r="J153" s="622">
        <v>43787</v>
      </c>
      <c r="K153" s="615">
        <v>70000</v>
      </c>
      <c r="L153" s="615">
        <v>70000</v>
      </c>
      <c r="M153" s="615">
        <f t="shared" si="8"/>
        <v>0</v>
      </c>
      <c r="N153" s="616">
        <f t="shared" si="9"/>
        <v>0</v>
      </c>
      <c r="O153" s="615">
        <f t="shared" si="10"/>
        <v>70000</v>
      </c>
      <c r="P153" s="615">
        <f t="shared" si="11"/>
        <v>84000</v>
      </c>
    </row>
    <row r="154" spans="1:16" x14ac:dyDescent="0.3">
      <c r="A154" s="614">
        <v>8</v>
      </c>
      <c r="B154" s="626" t="s">
        <v>969</v>
      </c>
      <c r="C154" s="627" t="s">
        <v>968</v>
      </c>
      <c r="D154" s="623" t="s">
        <v>815</v>
      </c>
      <c r="G154" s="614" t="s">
        <v>694</v>
      </c>
      <c r="H154" s="621" t="s">
        <v>695</v>
      </c>
      <c r="I154" s="621" t="s">
        <v>794</v>
      </c>
      <c r="J154" s="622">
        <v>43787</v>
      </c>
      <c r="K154" s="615">
        <v>55000</v>
      </c>
      <c r="L154" s="615">
        <v>55000</v>
      </c>
      <c r="M154" s="615">
        <f t="shared" si="8"/>
        <v>0</v>
      </c>
      <c r="N154" s="616">
        <f t="shared" si="9"/>
        <v>0</v>
      </c>
      <c r="O154" s="615">
        <f t="shared" si="10"/>
        <v>55000</v>
      </c>
      <c r="P154" s="615">
        <f t="shared" si="11"/>
        <v>66000</v>
      </c>
    </row>
    <row r="155" spans="1:16" x14ac:dyDescent="0.3">
      <c r="A155" s="614">
        <v>9</v>
      </c>
      <c r="B155" s="626" t="s">
        <v>970</v>
      </c>
      <c r="C155" s="627" t="s">
        <v>971</v>
      </c>
      <c r="D155" s="623" t="s">
        <v>692</v>
      </c>
      <c r="F155" s="614" t="s">
        <v>694</v>
      </c>
      <c r="H155" s="621" t="s">
        <v>695</v>
      </c>
      <c r="I155" s="621" t="s">
        <v>696</v>
      </c>
      <c r="J155" s="622">
        <v>43787</v>
      </c>
      <c r="K155" s="615">
        <v>70000</v>
      </c>
      <c r="L155" s="615">
        <v>70000</v>
      </c>
      <c r="M155" s="615">
        <f t="shared" si="8"/>
        <v>0</v>
      </c>
      <c r="N155" s="616">
        <f t="shared" si="9"/>
        <v>0</v>
      </c>
      <c r="O155" s="615">
        <f t="shared" si="10"/>
        <v>70000</v>
      </c>
      <c r="P155" s="615">
        <f t="shared" si="11"/>
        <v>84000</v>
      </c>
    </row>
    <row r="156" spans="1:16" x14ac:dyDescent="0.3">
      <c r="A156" s="614">
        <v>10</v>
      </c>
      <c r="B156" s="626" t="s">
        <v>972</v>
      </c>
      <c r="C156" s="627" t="s">
        <v>973</v>
      </c>
      <c r="D156" s="623" t="s">
        <v>692</v>
      </c>
      <c r="F156" s="614" t="s">
        <v>694</v>
      </c>
      <c r="H156" s="621" t="s">
        <v>695</v>
      </c>
      <c r="I156" s="621" t="s">
        <v>696</v>
      </c>
      <c r="J156" s="622">
        <v>43787</v>
      </c>
      <c r="K156" s="615">
        <v>137000</v>
      </c>
      <c r="L156" s="615">
        <v>137000</v>
      </c>
      <c r="M156" s="615">
        <f t="shared" si="8"/>
        <v>0</v>
      </c>
      <c r="N156" s="616">
        <f t="shared" si="9"/>
        <v>0</v>
      </c>
      <c r="O156" s="615">
        <f t="shared" si="10"/>
        <v>137000</v>
      </c>
      <c r="P156" s="615">
        <f t="shared" si="11"/>
        <v>164400</v>
      </c>
    </row>
    <row r="157" spans="1:16" x14ac:dyDescent="0.3">
      <c r="A157" s="614">
        <v>11</v>
      </c>
      <c r="B157" s="626" t="s">
        <v>974</v>
      </c>
      <c r="C157" s="627" t="s">
        <v>973</v>
      </c>
      <c r="D157" s="623" t="s">
        <v>692</v>
      </c>
      <c r="F157" s="614" t="s">
        <v>694</v>
      </c>
      <c r="G157" s="614"/>
      <c r="H157" s="621" t="s">
        <v>695</v>
      </c>
      <c r="I157" s="621" t="s">
        <v>696</v>
      </c>
      <c r="J157" s="622">
        <v>43696</v>
      </c>
      <c r="K157" s="615">
        <v>114975</v>
      </c>
      <c r="L157" s="615">
        <v>114975</v>
      </c>
      <c r="M157" s="615">
        <f t="shared" si="8"/>
        <v>0</v>
      </c>
      <c r="N157" s="616">
        <f t="shared" si="9"/>
        <v>0</v>
      </c>
      <c r="O157" s="615">
        <f t="shared" si="10"/>
        <v>114975</v>
      </c>
      <c r="P157" s="615">
        <f t="shared" si="11"/>
        <v>137970</v>
      </c>
    </row>
    <row r="158" spans="1:16" x14ac:dyDescent="0.3">
      <c r="A158" s="614">
        <v>12</v>
      </c>
      <c r="B158" s="626" t="s">
        <v>975</v>
      </c>
      <c r="C158" s="627" t="s">
        <v>976</v>
      </c>
      <c r="D158" s="623" t="s">
        <v>815</v>
      </c>
      <c r="G158" s="614" t="s">
        <v>694</v>
      </c>
      <c r="H158" s="621" t="s">
        <v>695</v>
      </c>
      <c r="I158" s="621" t="s">
        <v>794</v>
      </c>
      <c r="J158" s="622">
        <v>43787</v>
      </c>
      <c r="K158" s="615">
        <v>42000</v>
      </c>
      <c r="L158" s="615">
        <v>42000</v>
      </c>
      <c r="M158" s="615">
        <f t="shared" si="8"/>
        <v>0</v>
      </c>
      <c r="N158" s="616">
        <f t="shared" si="9"/>
        <v>0</v>
      </c>
      <c r="O158" s="615">
        <f t="shared" si="10"/>
        <v>42000</v>
      </c>
      <c r="P158" s="615">
        <f t="shared" si="11"/>
        <v>50400</v>
      </c>
    </row>
    <row r="159" spans="1:16" x14ac:dyDescent="0.3">
      <c r="A159" s="614">
        <v>13</v>
      </c>
      <c r="B159" s="626" t="s">
        <v>977</v>
      </c>
      <c r="C159" s="627" t="s">
        <v>878</v>
      </c>
      <c r="D159" s="623" t="s">
        <v>821</v>
      </c>
      <c r="G159" s="614" t="s">
        <v>694</v>
      </c>
      <c r="H159" s="621" t="s">
        <v>739</v>
      </c>
      <c r="I159" s="621" t="s">
        <v>740</v>
      </c>
      <c r="J159" s="622">
        <v>41404</v>
      </c>
      <c r="K159" s="615">
        <v>1050</v>
      </c>
      <c r="L159" s="615">
        <v>1050</v>
      </c>
      <c r="M159" s="615">
        <f t="shared" si="8"/>
        <v>0</v>
      </c>
      <c r="N159" s="616">
        <f t="shared" si="9"/>
        <v>0</v>
      </c>
      <c r="O159" s="615">
        <f t="shared" si="10"/>
        <v>1050</v>
      </c>
      <c r="P159" s="615">
        <f t="shared" si="11"/>
        <v>1260</v>
      </c>
    </row>
    <row r="160" spans="1:16" x14ac:dyDescent="0.3">
      <c r="A160" s="614">
        <v>14</v>
      </c>
      <c r="B160" s="626" t="s">
        <v>978</v>
      </c>
      <c r="C160" s="627" t="s">
        <v>878</v>
      </c>
      <c r="D160" s="623" t="s">
        <v>821</v>
      </c>
      <c r="G160" s="614" t="s">
        <v>694</v>
      </c>
      <c r="H160" s="621" t="s">
        <v>739</v>
      </c>
      <c r="I160" s="621" t="s">
        <v>740</v>
      </c>
      <c r="J160" s="622">
        <v>41653</v>
      </c>
      <c r="K160" s="615">
        <v>2940</v>
      </c>
      <c r="L160" s="615">
        <v>2940</v>
      </c>
      <c r="M160" s="615">
        <f t="shared" si="8"/>
        <v>0</v>
      </c>
      <c r="N160" s="616">
        <f t="shared" si="9"/>
        <v>0</v>
      </c>
      <c r="O160" s="615">
        <f t="shared" si="10"/>
        <v>2940</v>
      </c>
      <c r="P160" s="615">
        <f t="shared" si="11"/>
        <v>3528</v>
      </c>
    </row>
    <row r="161" spans="1:16" x14ac:dyDescent="0.3">
      <c r="A161" s="614">
        <v>15</v>
      </c>
      <c r="B161" s="626" t="s">
        <v>979</v>
      </c>
      <c r="C161" s="627" t="s">
        <v>980</v>
      </c>
      <c r="D161" s="628" t="s">
        <v>699</v>
      </c>
      <c r="G161" s="614" t="s">
        <v>694</v>
      </c>
      <c r="H161" s="621" t="s">
        <v>739</v>
      </c>
      <c r="I161" s="621" t="s">
        <v>740</v>
      </c>
      <c r="J161" s="622">
        <v>43175</v>
      </c>
      <c r="K161" s="615">
        <v>4000</v>
      </c>
      <c r="L161" s="615">
        <v>4000</v>
      </c>
      <c r="M161" s="615">
        <f t="shared" si="8"/>
        <v>0</v>
      </c>
      <c r="N161" s="616">
        <f t="shared" si="9"/>
        <v>0</v>
      </c>
      <c r="O161" s="615">
        <f t="shared" si="10"/>
        <v>4000</v>
      </c>
      <c r="P161" s="615">
        <f t="shared" si="11"/>
        <v>4800</v>
      </c>
    </row>
    <row r="162" spans="1:16" x14ac:dyDescent="0.3">
      <c r="A162" s="614">
        <v>17</v>
      </c>
      <c r="B162" s="626" t="s">
        <v>981</v>
      </c>
      <c r="C162" s="627" t="s">
        <v>980</v>
      </c>
      <c r="D162" s="623" t="s">
        <v>821</v>
      </c>
      <c r="G162" s="614" t="s">
        <v>694</v>
      </c>
      <c r="H162" s="621" t="s">
        <v>739</v>
      </c>
      <c r="I162" s="621" t="s">
        <v>740</v>
      </c>
      <c r="J162" s="622">
        <v>43404</v>
      </c>
      <c r="K162" s="615">
        <v>1200</v>
      </c>
      <c r="L162" s="615">
        <v>735</v>
      </c>
      <c r="M162" s="615">
        <f t="shared" si="8"/>
        <v>465</v>
      </c>
      <c r="N162" s="616">
        <f t="shared" si="9"/>
        <v>0.38750000000000001</v>
      </c>
      <c r="O162" s="615">
        <f t="shared" si="10"/>
        <v>967.5</v>
      </c>
      <c r="P162" s="615">
        <f t="shared" si="11"/>
        <v>1161</v>
      </c>
    </row>
    <row r="163" spans="1:16" x14ac:dyDescent="0.3">
      <c r="A163" s="614">
        <v>18</v>
      </c>
      <c r="B163" s="626" t="s">
        <v>982</v>
      </c>
      <c r="C163" s="627" t="s">
        <v>983</v>
      </c>
      <c r="D163" s="628" t="s">
        <v>699</v>
      </c>
      <c r="G163" s="614" t="s">
        <v>694</v>
      </c>
      <c r="H163" s="621" t="s">
        <v>739</v>
      </c>
      <c r="I163" s="621" t="s">
        <v>740</v>
      </c>
      <c r="J163" s="622">
        <v>44302</v>
      </c>
      <c r="K163" s="615">
        <v>756</v>
      </c>
      <c r="L163" s="615">
        <v>171</v>
      </c>
      <c r="M163" s="615">
        <f t="shared" si="8"/>
        <v>585</v>
      </c>
      <c r="N163" s="616">
        <f t="shared" si="9"/>
        <v>0.77380952380952384</v>
      </c>
      <c r="O163" s="615">
        <f t="shared" si="10"/>
        <v>463.5</v>
      </c>
      <c r="P163" s="615">
        <f t="shared" si="11"/>
        <v>556.19999999999993</v>
      </c>
    </row>
    <row r="164" spans="1:16" x14ac:dyDescent="0.3">
      <c r="A164" s="614">
        <v>19</v>
      </c>
      <c r="B164" s="626" t="s">
        <v>984</v>
      </c>
      <c r="C164" s="627" t="s">
        <v>985</v>
      </c>
      <c r="D164" s="623" t="s">
        <v>751</v>
      </c>
      <c r="G164" s="614" t="s">
        <v>694</v>
      </c>
      <c r="H164" s="621" t="s">
        <v>739</v>
      </c>
      <c r="I164" s="621" t="s">
        <v>740</v>
      </c>
      <c r="J164" s="622">
        <v>43013</v>
      </c>
      <c r="K164" s="615">
        <v>4200</v>
      </c>
      <c r="L164" s="615">
        <v>609</v>
      </c>
      <c r="M164" s="615">
        <f t="shared" si="8"/>
        <v>3591</v>
      </c>
      <c r="N164" s="616">
        <f t="shared" si="9"/>
        <v>0.85499999999999998</v>
      </c>
      <c r="O164" s="615">
        <f t="shared" si="10"/>
        <v>2404.5</v>
      </c>
      <c r="P164" s="615">
        <f t="shared" si="11"/>
        <v>2885.4</v>
      </c>
    </row>
    <row r="165" spans="1:16" x14ac:dyDescent="0.3">
      <c r="A165" s="614">
        <v>20</v>
      </c>
      <c r="B165" s="626" t="s">
        <v>986</v>
      </c>
      <c r="C165" s="627" t="s">
        <v>987</v>
      </c>
      <c r="D165" s="623" t="s">
        <v>751</v>
      </c>
      <c r="G165" s="614" t="s">
        <v>694</v>
      </c>
      <c r="H165" s="621" t="s">
        <v>739</v>
      </c>
      <c r="I165" s="621" t="s">
        <v>740</v>
      </c>
      <c r="J165" s="622">
        <v>43209</v>
      </c>
      <c r="K165" s="615">
        <v>1700</v>
      </c>
      <c r="L165" s="615">
        <v>693</v>
      </c>
      <c r="M165" s="615">
        <f t="shared" si="8"/>
        <v>1007</v>
      </c>
      <c r="N165" s="616">
        <f t="shared" si="9"/>
        <v>0.59235294117647064</v>
      </c>
      <c r="O165" s="615">
        <f t="shared" si="10"/>
        <v>1196.5</v>
      </c>
      <c r="P165" s="615">
        <f t="shared" si="11"/>
        <v>1435.8</v>
      </c>
    </row>
    <row r="166" spans="1:16" x14ac:dyDescent="0.3">
      <c r="A166" s="614">
        <v>21</v>
      </c>
      <c r="B166" s="626" t="s">
        <v>988</v>
      </c>
      <c r="C166" s="627" t="s">
        <v>989</v>
      </c>
      <c r="D166" s="623" t="s">
        <v>821</v>
      </c>
      <c r="G166" s="614" t="s">
        <v>694</v>
      </c>
      <c r="H166" s="621" t="s">
        <v>739</v>
      </c>
      <c r="I166" s="621" t="s">
        <v>740</v>
      </c>
      <c r="J166" s="622">
        <v>43013</v>
      </c>
      <c r="K166" s="615">
        <v>840</v>
      </c>
      <c r="L166" s="615">
        <v>186</v>
      </c>
      <c r="M166" s="615">
        <f t="shared" si="8"/>
        <v>654</v>
      </c>
      <c r="N166" s="616">
        <f t="shared" si="9"/>
        <v>0.77857142857142858</v>
      </c>
      <c r="O166" s="615">
        <f t="shared" si="10"/>
        <v>513</v>
      </c>
      <c r="P166" s="615">
        <f t="shared" si="11"/>
        <v>615.6</v>
      </c>
    </row>
    <row r="167" spans="1:16" x14ac:dyDescent="0.3">
      <c r="A167" s="614">
        <v>22</v>
      </c>
      <c r="B167" s="626" t="s">
        <v>990</v>
      </c>
      <c r="C167" s="627" t="s">
        <v>991</v>
      </c>
      <c r="D167" s="623" t="s">
        <v>821</v>
      </c>
      <c r="G167" s="614" t="s">
        <v>694</v>
      </c>
      <c r="H167" s="621" t="s">
        <v>739</v>
      </c>
      <c r="I167" s="621" t="s">
        <v>740</v>
      </c>
      <c r="J167" s="622">
        <v>43013</v>
      </c>
      <c r="K167" s="615">
        <v>1155</v>
      </c>
      <c r="L167" s="615">
        <v>219</v>
      </c>
      <c r="M167" s="615">
        <f t="shared" si="8"/>
        <v>936</v>
      </c>
      <c r="N167" s="616">
        <f t="shared" si="9"/>
        <v>0.81038961038961044</v>
      </c>
      <c r="O167" s="615">
        <f t="shared" si="10"/>
        <v>687</v>
      </c>
      <c r="P167" s="615">
        <f t="shared" si="11"/>
        <v>824.4</v>
      </c>
    </row>
    <row r="168" spans="1:16" x14ac:dyDescent="0.3">
      <c r="M168" s="615"/>
      <c r="N168" s="616"/>
      <c r="O168" s="615"/>
      <c r="P168" s="615"/>
    </row>
    <row r="169" spans="1:16" x14ac:dyDescent="0.3">
      <c r="A169" s="617"/>
      <c r="B169" s="617"/>
      <c r="C169" s="617" t="s">
        <v>992</v>
      </c>
      <c r="D169" s="617"/>
      <c r="E169" s="617"/>
      <c r="F169" s="617"/>
      <c r="G169" s="617"/>
      <c r="H169" s="2345" t="s">
        <v>674</v>
      </c>
      <c r="I169" s="2345" t="s">
        <v>675</v>
      </c>
      <c r="J169" s="2345" t="s">
        <v>676</v>
      </c>
      <c r="K169" s="2345" t="s">
        <v>677</v>
      </c>
      <c r="L169" s="2345" t="s">
        <v>678</v>
      </c>
      <c r="M169" s="2345" t="s">
        <v>679</v>
      </c>
      <c r="N169" s="2345" t="s">
        <v>680</v>
      </c>
      <c r="O169" s="2345" t="s">
        <v>681</v>
      </c>
      <c r="P169" s="2345" t="s">
        <v>682</v>
      </c>
    </row>
    <row r="170" spans="1:16" x14ac:dyDescent="0.3">
      <c r="A170" s="618" t="s">
        <v>683</v>
      </c>
      <c r="B170" s="618" t="s">
        <v>684</v>
      </c>
      <c r="C170" s="618" t="s">
        <v>685</v>
      </c>
      <c r="D170" s="618" t="s">
        <v>686</v>
      </c>
      <c r="E170" s="618"/>
      <c r="F170" s="618" t="s">
        <v>688</v>
      </c>
      <c r="G170" s="618" t="s">
        <v>689</v>
      </c>
      <c r="H170" s="2345"/>
      <c r="I170" s="2345"/>
      <c r="J170" s="2345"/>
      <c r="K170" s="2345"/>
      <c r="L170" s="2345"/>
      <c r="M170" s="2345"/>
      <c r="N170" s="2345"/>
      <c r="O170" s="2345"/>
      <c r="P170" s="2345"/>
    </row>
    <row r="171" spans="1:16" x14ac:dyDescent="0.3">
      <c r="A171" s="614">
        <v>1</v>
      </c>
      <c r="B171" s="626" t="s">
        <v>993</v>
      </c>
      <c r="C171" s="627" t="s">
        <v>994</v>
      </c>
      <c r="D171" s="623" t="s">
        <v>751</v>
      </c>
      <c r="G171" s="614" t="s">
        <v>694</v>
      </c>
      <c r="H171" s="621" t="s">
        <v>739</v>
      </c>
      <c r="I171" s="621" t="s">
        <v>702</v>
      </c>
      <c r="J171" s="622">
        <v>41543</v>
      </c>
      <c r="K171" s="615">
        <v>1680</v>
      </c>
      <c r="L171" s="615">
        <v>546</v>
      </c>
      <c r="M171" s="615">
        <f t="shared" si="8"/>
        <v>1134</v>
      </c>
      <c r="N171" s="616">
        <f t="shared" si="9"/>
        <v>0.67500000000000004</v>
      </c>
      <c r="O171" s="615">
        <f t="shared" si="10"/>
        <v>1113</v>
      </c>
      <c r="P171" s="615">
        <f t="shared" si="11"/>
        <v>1335.6</v>
      </c>
    </row>
    <row r="172" spans="1:16" x14ac:dyDescent="0.3">
      <c r="A172" s="614">
        <v>2</v>
      </c>
      <c r="B172" s="626" t="s">
        <v>995</v>
      </c>
      <c r="C172" s="627" t="s">
        <v>996</v>
      </c>
      <c r="D172" s="623" t="s">
        <v>751</v>
      </c>
      <c r="G172" s="614" t="s">
        <v>694</v>
      </c>
      <c r="H172" s="621" t="s">
        <v>739</v>
      </c>
      <c r="I172" s="621" t="s">
        <v>702</v>
      </c>
      <c r="J172" s="622">
        <v>41653</v>
      </c>
      <c r="K172" s="615">
        <v>6720</v>
      </c>
      <c r="L172" s="615">
        <v>840</v>
      </c>
      <c r="M172" s="615">
        <f t="shared" si="8"/>
        <v>5880</v>
      </c>
      <c r="N172" s="616">
        <f t="shared" si="9"/>
        <v>0.875</v>
      </c>
      <c r="O172" s="615">
        <f t="shared" si="10"/>
        <v>3780</v>
      </c>
      <c r="P172" s="615">
        <f t="shared" si="11"/>
        <v>4536</v>
      </c>
    </row>
    <row r="173" spans="1:16" x14ac:dyDescent="0.3">
      <c r="A173" s="614">
        <v>3</v>
      </c>
      <c r="B173" s="626" t="s">
        <v>997</v>
      </c>
      <c r="C173" s="627" t="s">
        <v>996</v>
      </c>
      <c r="D173" s="623" t="s">
        <v>751</v>
      </c>
      <c r="G173" s="614" t="s">
        <v>694</v>
      </c>
      <c r="H173" s="621" t="s">
        <v>739</v>
      </c>
      <c r="I173" s="621" t="s">
        <v>702</v>
      </c>
      <c r="J173" s="622">
        <v>41653</v>
      </c>
      <c r="K173" s="615">
        <v>4620</v>
      </c>
      <c r="L173" s="615">
        <v>649</v>
      </c>
      <c r="M173" s="615">
        <f t="shared" si="8"/>
        <v>3971</v>
      </c>
      <c r="N173" s="616">
        <f t="shared" si="9"/>
        <v>0.85952380952380958</v>
      </c>
      <c r="O173" s="615">
        <f t="shared" si="10"/>
        <v>2634.5</v>
      </c>
      <c r="P173" s="615">
        <f t="shared" si="11"/>
        <v>3161.4</v>
      </c>
    </row>
    <row r="174" spans="1:16" ht="19.2" x14ac:dyDescent="0.45">
      <c r="I174" s="621"/>
      <c r="J174" s="622"/>
      <c r="K174" s="615"/>
      <c r="L174" s="631"/>
      <c r="M174" s="615"/>
      <c r="N174" s="616"/>
      <c r="O174" s="615"/>
      <c r="P174" s="615"/>
    </row>
    <row r="175" spans="1:16" x14ac:dyDescent="0.3">
      <c r="A175" s="617"/>
      <c r="B175" s="617"/>
      <c r="C175" s="617" t="s">
        <v>998</v>
      </c>
      <c r="D175" s="617"/>
      <c r="E175" s="617"/>
      <c r="F175" s="617"/>
      <c r="G175" s="617"/>
      <c r="H175" s="2345" t="s">
        <v>674</v>
      </c>
      <c r="I175" s="2345" t="s">
        <v>675</v>
      </c>
      <c r="J175" s="2345" t="s">
        <v>676</v>
      </c>
      <c r="K175" s="2345" t="s">
        <v>677</v>
      </c>
      <c r="L175" s="2345" t="s">
        <v>678</v>
      </c>
      <c r="M175" s="2345" t="s">
        <v>679</v>
      </c>
      <c r="N175" s="2345" t="s">
        <v>680</v>
      </c>
      <c r="O175" s="2345" t="s">
        <v>681</v>
      </c>
      <c r="P175" s="2345" t="s">
        <v>682</v>
      </c>
    </row>
    <row r="176" spans="1:16" x14ac:dyDescent="0.3">
      <c r="A176" s="618" t="s">
        <v>683</v>
      </c>
      <c r="B176" s="618" t="s">
        <v>684</v>
      </c>
      <c r="C176" s="618" t="s">
        <v>685</v>
      </c>
      <c r="D176" s="618" t="s">
        <v>686</v>
      </c>
      <c r="E176" s="618"/>
      <c r="F176" s="618" t="s">
        <v>688</v>
      </c>
      <c r="G176" s="618" t="s">
        <v>689</v>
      </c>
      <c r="H176" s="2345"/>
      <c r="I176" s="2345"/>
      <c r="J176" s="2345"/>
      <c r="K176" s="2345"/>
      <c r="L176" s="2345"/>
      <c r="M176" s="2345"/>
      <c r="N176" s="2345"/>
      <c r="O176" s="2345"/>
      <c r="P176" s="2345"/>
    </row>
    <row r="177" spans="1:16" x14ac:dyDescent="0.3">
      <c r="A177" s="614">
        <v>1</v>
      </c>
      <c r="B177" s="626" t="s">
        <v>999</v>
      </c>
      <c r="C177" s="627" t="s">
        <v>1000</v>
      </c>
      <c r="D177" s="623" t="s">
        <v>821</v>
      </c>
      <c r="G177" s="614" t="s">
        <v>694</v>
      </c>
      <c r="H177" s="621" t="s">
        <v>739</v>
      </c>
      <c r="I177" s="621" t="s">
        <v>702</v>
      </c>
      <c r="J177" s="622">
        <v>43301</v>
      </c>
      <c r="K177" s="615">
        <v>3100</v>
      </c>
      <c r="L177" s="615">
        <v>748</v>
      </c>
      <c r="M177" s="615">
        <f t="shared" si="8"/>
        <v>2352</v>
      </c>
      <c r="N177" s="616">
        <f t="shared" si="9"/>
        <v>0.7587096774193548</v>
      </c>
      <c r="O177" s="615">
        <f t="shared" si="10"/>
        <v>1924</v>
      </c>
      <c r="P177" s="615">
        <f t="shared" si="11"/>
        <v>2308.7999999999997</v>
      </c>
    </row>
    <row r="178" spans="1:16" x14ac:dyDescent="0.3">
      <c r="A178" s="614">
        <v>2</v>
      </c>
      <c r="B178" s="626" t="s">
        <v>1001</v>
      </c>
      <c r="C178" s="627" t="s">
        <v>1002</v>
      </c>
      <c r="D178" s="623" t="s">
        <v>751</v>
      </c>
      <c r="G178" s="614" t="s">
        <v>694</v>
      </c>
      <c r="H178" s="621" t="s">
        <v>739</v>
      </c>
      <c r="I178" s="621" t="s">
        <v>702</v>
      </c>
      <c r="J178" s="622">
        <v>42926</v>
      </c>
      <c r="K178" s="615">
        <v>1150</v>
      </c>
      <c r="L178" s="615">
        <v>239</v>
      </c>
      <c r="M178" s="615">
        <f t="shared" si="8"/>
        <v>911</v>
      </c>
      <c r="N178" s="616">
        <f t="shared" si="9"/>
        <v>0.79217391304347828</v>
      </c>
      <c r="O178" s="615">
        <f t="shared" si="10"/>
        <v>694.5</v>
      </c>
      <c r="P178" s="615">
        <f t="shared" si="11"/>
        <v>833.4</v>
      </c>
    </row>
    <row r="179" spans="1:16" x14ac:dyDescent="0.3">
      <c r="A179" s="614">
        <v>3</v>
      </c>
      <c r="B179" s="626" t="s">
        <v>1003</v>
      </c>
      <c r="C179" s="627" t="s">
        <v>1004</v>
      </c>
      <c r="D179" s="623" t="s">
        <v>821</v>
      </c>
      <c r="G179" s="614" t="s">
        <v>694</v>
      </c>
      <c r="H179" s="621" t="s">
        <v>739</v>
      </c>
      <c r="I179" s="621" t="s">
        <v>702</v>
      </c>
      <c r="J179" s="622">
        <v>41386</v>
      </c>
      <c r="K179" s="615">
        <v>420</v>
      </c>
      <c r="L179" s="615">
        <v>420</v>
      </c>
      <c r="M179" s="615">
        <f t="shared" si="8"/>
        <v>0</v>
      </c>
      <c r="N179" s="616">
        <f t="shared" si="9"/>
        <v>0</v>
      </c>
      <c r="O179" s="615">
        <f t="shared" si="10"/>
        <v>420</v>
      </c>
      <c r="P179" s="615">
        <f t="shared" si="11"/>
        <v>504</v>
      </c>
    </row>
    <row r="180" spans="1:16" x14ac:dyDescent="0.3">
      <c r="M180" s="615"/>
      <c r="N180" s="616"/>
      <c r="O180" s="615"/>
      <c r="P180" s="615"/>
    </row>
    <row r="181" spans="1:16" x14ac:dyDescent="0.3">
      <c r="A181" s="617"/>
      <c r="B181" s="617"/>
      <c r="C181" s="617" t="s">
        <v>1005</v>
      </c>
      <c r="D181" s="617"/>
      <c r="E181" s="617"/>
      <c r="F181" s="617"/>
      <c r="G181" s="617"/>
      <c r="H181" s="2345" t="s">
        <v>674</v>
      </c>
      <c r="I181" s="2345" t="s">
        <v>675</v>
      </c>
      <c r="J181" s="2345" t="s">
        <v>676</v>
      </c>
      <c r="K181" s="2345" t="s">
        <v>677</v>
      </c>
      <c r="L181" s="2345" t="s">
        <v>678</v>
      </c>
      <c r="M181" s="2345" t="s">
        <v>679</v>
      </c>
      <c r="N181" s="2345" t="s">
        <v>680</v>
      </c>
      <c r="O181" s="2345" t="s">
        <v>681</v>
      </c>
      <c r="P181" s="2345" t="s">
        <v>682</v>
      </c>
    </row>
    <row r="182" spans="1:16" x14ac:dyDescent="0.3">
      <c r="A182" s="618" t="s">
        <v>683</v>
      </c>
      <c r="B182" s="618" t="s">
        <v>684</v>
      </c>
      <c r="C182" s="618" t="s">
        <v>685</v>
      </c>
      <c r="D182" s="618" t="s">
        <v>686</v>
      </c>
      <c r="E182" s="618"/>
      <c r="F182" s="618" t="s">
        <v>688</v>
      </c>
      <c r="G182" s="618" t="s">
        <v>689</v>
      </c>
      <c r="H182" s="2345"/>
      <c r="I182" s="2345"/>
      <c r="J182" s="2345"/>
      <c r="K182" s="2345"/>
      <c r="L182" s="2345"/>
      <c r="M182" s="2345"/>
      <c r="N182" s="2345"/>
      <c r="O182" s="2345"/>
      <c r="P182" s="2345"/>
    </row>
    <row r="183" spans="1:16" x14ac:dyDescent="0.3">
      <c r="A183" s="614">
        <v>1</v>
      </c>
      <c r="B183" s="626" t="s">
        <v>1006</v>
      </c>
      <c r="C183" s="627" t="s">
        <v>1007</v>
      </c>
      <c r="D183" s="623" t="s">
        <v>815</v>
      </c>
      <c r="G183" s="614" t="s">
        <v>694</v>
      </c>
      <c r="H183" s="621" t="s">
        <v>695</v>
      </c>
      <c r="I183" s="621" t="s">
        <v>696</v>
      </c>
      <c r="J183" s="622">
        <v>43209</v>
      </c>
      <c r="K183" s="615">
        <v>42000</v>
      </c>
      <c r="L183" s="615">
        <v>22596</v>
      </c>
      <c r="M183" s="615">
        <f t="shared" si="8"/>
        <v>19404</v>
      </c>
      <c r="N183" s="616">
        <f t="shared" si="9"/>
        <v>0.46200000000000002</v>
      </c>
      <c r="O183" s="615">
        <f t="shared" si="10"/>
        <v>32298</v>
      </c>
      <c r="P183" s="615">
        <f t="shared" si="11"/>
        <v>38757.599999999999</v>
      </c>
    </row>
    <row r="184" spans="1:16" ht="30.6" customHeight="1" x14ac:dyDescent="0.3">
      <c r="A184" s="614">
        <v>2</v>
      </c>
      <c r="B184" s="626" t="s">
        <v>1008</v>
      </c>
      <c r="C184" s="627" t="s">
        <v>1009</v>
      </c>
      <c r="D184" s="623" t="s">
        <v>908</v>
      </c>
      <c r="G184" s="614" t="s">
        <v>694</v>
      </c>
      <c r="H184" s="621" t="s">
        <v>839</v>
      </c>
      <c r="I184" s="621" t="s">
        <v>702</v>
      </c>
      <c r="J184" s="622">
        <v>42972</v>
      </c>
      <c r="K184" s="615">
        <v>2100</v>
      </c>
      <c r="L184" s="615">
        <v>1197</v>
      </c>
      <c r="M184" s="615">
        <f t="shared" si="8"/>
        <v>903</v>
      </c>
      <c r="N184" s="616">
        <f t="shared" si="9"/>
        <v>0.43</v>
      </c>
      <c r="O184" s="615">
        <f t="shared" si="10"/>
        <v>1648.5</v>
      </c>
      <c r="P184" s="615">
        <f t="shared" si="11"/>
        <v>1978.1999999999998</v>
      </c>
    </row>
    <row r="185" spans="1:16" x14ac:dyDescent="0.3">
      <c r="A185" s="614">
        <v>3</v>
      </c>
      <c r="B185" s="626" t="s">
        <v>1010</v>
      </c>
      <c r="C185" s="627" t="s">
        <v>1011</v>
      </c>
      <c r="D185" s="623" t="s">
        <v>699</v>
      </c>
      <c r="G185" s="614" t="s">
        <v>694</v>
      </c>
      <c r="H185" s="621" t="s">
        <v>739</v>
      </c>
      <c r="I185" s="621" t="s">
        <v>702</v>
      </c>
      <c r="J185" s="622">
        <v>42926</v>
      </c>
      <c r="K185" s="615">
        <v>4200</v>
      </c>
      <c r="L185" s="615">
        <v>555</v>
      </c>
      <c r="M185" s="615">
        <f t="shared" si="8"/>
        <v>3645</v>
      </c>
      <c r="N185" s="616">
        <f t="shared" si="9"/>
        <v>0.86785714285714288</v>
      </c>
      <c r="O185" s="615">
        <f t="shared" si="10"/>
        <v>2377.5</v>
      </c>
      <c r="P185" s="615">
        <f t="shared" si="11"/>
        <v>2853</v>
      </c>
    </row>
    <row r="186" spans="1:16" x14ac:dyDescent="0.3">
      <c r="A186" s="614">
        <v>4</v>
      </c>
      <c r="B186" s="626" t="s">
        <v>1012</v>
      </c>
      <c r="C186" s="627" t="s">
        <v>1013</v>
      </c>
      <c r="D186" s="623" t="s">
        <v>908</v>
      </c>
      <c r="G186" s="614" t="s">
        <v>694</v>
      </c>
      <c r="H186" s="621" t="s">
        <v>839</v>
      </c>
      <c r="I186" s="621" t="s">
        <v>702</v>
      </c>
      <c r="J186" s="622">
        <v>42604</v>
      </c>
      <c r="K186" s="615">
        <v>1470</v>
      </c>
      <c r="L186" s="615">
        <v>420</v>
      </c>
      <c r="M186" s="615">
        <f t="shared" si="8"/>
        <v>1050</v>
      </c>
      <c r="N186" s="616">
        <f t="shared" si="9"/>
        <v>0.7142857142857143</v>
      </c>
      <c r="O186" s="615">
        <f t="shared" si="10"/>
        <v>945</v>
      </c>
      <c r="P186" s="615">
        <f t="shared" si="11"/>
        <v>1134</v>
      </c>
    </row>
    <row r="187" spans="1:16" x14ac:dyDescent="0.3">
      <c r="A187" s="614">
        <v>5</v>
      </c>
      <c r="B187" s="626" t="s">
        <v>1014</v>
      </c>
      <c r="C187" s="627" t="s">
        <v>1015</v>
      </c>
      <c r="D187" s="623" t="s">
        <v>821</v>
      </c>
      <c r="G187" s="614" t="s">
        <v>694</v>
      </c>
      <c r="H187" s="621" t="s">
        <v>739</v>
      </c>
      <c r="I187" s="621" t="s">
        <v>702</v>
      </c>
      <c r="J187" s="622">
        <v>42712</v>
      </c>
      <c r="K187" s="615">
        <v>399</v>
      </c>
      <c r="L187" s="615">
        <v>399</v>
      </c>
      <c r="M187" s="615">
        <f t="shared" si="8"/>
        <v>0</v>
      </c>
      <c r="N187" s="616">
        <f t="shared" si="9"/>
        <v>0</v>
      </c>
      <c r="O187" s="615">
        <f t="shared" si="10"/>
        <v>399</v>
      </c>
      <c r="P187" s="615">
        <f t="shared" si="11"/>
        <v>478.79999999999995</v>
      </c>
    </row>
    <row r="188" spans="1:16" x14ac:dyDescent="0.3">
      <c r="A188" s="614">
        <v>6</v>
      </c>
      <c r="B188" s="626" t="s">
        <v>1016</v>
      </c>
      <c r="C188" s="627" t="s">
        <v>1017</v>
      </c>
      <c r="D188" s="623" t="s">
        <v>751</v>
      </c>
      <c r="G188" s="614" t="s">
        <v>694</v>
      </c>
      <c r="H188" s="621" t="s">
        <v>739</v>
      </c>
      <c r="I188" s="621" t="s">
        <v>702</v>
      </c>
      <c r="J188" s="622">
        <v>43955</v>
      </c>
      <c r="K188" s="615">
        <v>1680</v>
      </c>
      <c r="L188" s="615">
        <v>357</v>
      </c>
      <c r="M188" s="615">
        <f t="shared" si="8"/>
        <v>1323</v>
      </c>
      <c r="N188" s="616">
        <f t="shared" si="9"/>
        <v>0.78749999999999998</v>
      </c>
      <c r="O188" s="615">
        <f t="shared" si="10"/>
        <v>1018.5</v>
      </c>
      <c r="P188" s="615">
        <f t="shared" si="11"/>
        <v>1222.2</v>
      </c>
    </row>
    <row r="189" spans="1:16" x14ac:dyDescent="0.3">
      <c r="A189" s="614">
        <v>7</v>
      </c>
      <c r="B189" s="626" t="s">
        <v>1018</v>
      </c>
      <c r="C189" s="627" t="s">
        <v>1017</v>
      </c>
      <c r="D189" s="623" t="s">
        <v>699</v>
      </c>
      <c r="G189" s="614" t="s">
        <v>694</v>
      </c>
      <c r="H189" s="621" t="s">
        <v>739</v>
      </c>
      <c r="I189" s="621" t="s">
        <v>702</v>
      </c>
      <c r="J189" s="622">
        <v>42926</v>
      </c>
      <c r="K189" s="615">
        <v>735</v>
      </c>
      <c r="L189" s="615">
        <v>735</v>
      </c>
      <c r="M189" s="615">
        <f t="shared" si="8"/>
        <v>0</v>
      </c>
      <c r="N189" s="616">
        <f t="shared" si="9"/>
        <v>0</v>
      </c>
      <c r="O189" s="615">
        <f t="shared" si="10"/>
        <v>735</v>
      </c>
      <c r="P189" s="615">
        <f t="shared" si="11"/>
        <v>882</v>
      </c>
    </row>
    <row r="190" spans="1:16" x14ac:dyDescent="0.3">
      <c r="A190" s="614">
        <v>8</v>
      </c>
      <c r="B190" s="626" t="s">
        <v>1019</v>
      </c>
      <c r="C190" s="627" t="s">
        <v>1020</v>
      </c>
      <c r="D190" s="623" t="s">
        <v>908</v>
      </c>
      <c r="G190" s="614" t="s">
        <v>694</v>
      </c>
      <c r="H190" s="621" t="s">
        <v>839</v>
      </c>
      <c r="I190" s="621" t="s">
        <v>702</v>
      </c>
      <c r="J190" s="622">
        <v>42972</v>
      </c>
      <c r="K190" s="615">
        <v>1150</v>
      </c>
      <c r="L190" s="615">
        <v>510</v>
      </c>
      <c r="M190" s="615">
        <f t="shared" si="8"/>
        <v>640</v>
      </c>
      <c r="N190" s="616">
        <f t="shared" si="9"/>
        <v>0.55652173913043479</v>
      </c>
      <c r="O190" s="615">
        <f t="shared" si="10"/>
        <v>830</v>
      </c>
      <c r="P190" s="615">
        <f t="shared" si="11"/>
        <v>996</v>
      </c>
    </row>
    <row r="191" spans="1:16" x14ac:dyDescent="0.3">
      <c r="A191" s="614">
        <v>9</v>
      </c>
      <c r="B191" s="626" t="s">
        <v>1021</v>
      </c>
      <c r="C191" s="627" t="s">
        <v>1022</v>
      </c>
      <c r="D191" s="623" t="s">
        <v>821</v>
      </c>
      <c r="G191" s="614" t="s">
        <v>694</v>
      </c>
      <c r="H191" s="621" t="s">
        <v>739</v>
      </c>
      <c r="I191" s="621" t="s">
        <v>702</v>
      </c>
      <c r="J191" s="622">
        <v>44271</v>
      </c>
      <c r="K191" s="615">
        <v>1470</v>
      </c>
      <c r="L191" s="615">
        <v>1470</v>
      </c>
      <c r="M191" s="615">
        <f t="shared" si="8"/>
        <v>0</v>
      </c>
      <c r="N191" s="616">
        <f t="shared" si="9"/>
        <v>0</v>
      </c>
      <c r="O191" s="615">
        <f t="shared" si="10"/>
        <v>1470</v>
      </c>
      <c r="P191" s="615">
        <f t="shared" si="11"/>
        <v>1764</v>
      </c>
    </row>
    <row r="192" spans="1:16" x14ac:dyDescent="0.3">
      <c r="K192" s="615"/>
      <c r="M192" s="615"/>
      <c r="N192" s="616"/>
      <c r="O192" s="615"/>
      <c r="P192" s="615"/>
    </row>
    <row r="193" spans="1:16" x14ac:dyDescent="0.3">
      <c r="M193" s="615"/>
      <c r="N193" s="616"/>
      <c r="O193" s="615"/>
      <c r="P193" s="615"/>
    </row>
    <row r="194" spans="1:16" x14ac:dyDescent="0.3">
      <c r="A194" s="617"/>
      <c r="B194" s="617"/>
      <c r="C194" s="617" t="s">
        <v>1023</v>
      </c>
      <c r="D194" s="617"/>
      <c r="E194" s="617"/>
      <c r="F194" s="617"/>
      <c r="G194" s="617"/>
      <c r="H194" s="2345" t="s">
        <v>674</v>
      </c>
      <c r="I194" s="2345" t="s">
        <v>675</v>
      </c>
      <c r="J194" s="2345" t="s">
        <v>676</v>
      </c>
      <c r="K194" s="2345" t="s">
        <v>677</v>
      </c>
      <c r="L194" s="2345" t="s">
        <v>678</v>
      </c>
      <c r="M194" s="2345" t="s">
        <v>679</v>
      </c>
      <c r="N194" s="2345" t="s">
        <v>680</v>
      </c>
      <c r="O194" s="2345" t="s">
        <v>681</v>
      </c>
      <c r="P194" s="2345" t="s">
        <v>682</v>
      </c>
    </row>
    <row r="195" spans="1:16" x14ac:dyDescent="0.3">
      <c r="A195" s="618" t="s">
        <v>683</v>
      </c>
      <c r="B195" s="618" t="s">
        <v>684</v>
      </c>
      <c r="C195" s="618" t="s">
        <v>685</v>
      </c>
      <c r="D195" s="618" t="s">
        <v>686</v>
      </c>
      <c r="E195" s="618"/>
      <c r="F195" s="618" t="s">
        <v>688</v>
      </c>
      <c r="G195" s="618" t="s">
        <v>689</v>
      </c>
      <c r="H195" s="2345"/>
      <c r="I195" s="2345"/>
      <c r="J195" s="2345"/>
      <c r="K195" s="2345"/>
      <c r="L195" s="2345"/>
      <c r="M195" s="2345"/>
      <c r="N195" s="2345"/>
      <c r="O195" s="2345"/>
      <c r="P195" s="2345"/>
    </row>
    <row r="196" spans="1:16" ht="19.2" x14ac:dyDescent="0.45">
      <c r="A196" s="614">
        <v>1</v>
      </c>
      <c r="B196" s="626" t="s">
        <v>1024</v>
      </c>
      <c r="C196" s="627" t="s">
        <v>1025</v>
      </c>
      <c r="D196" s="623" t="s">
        <v>1026</v>
      </c>
      <c r="G196" s="614" t="s">
        <v>694</v>
      </c>
      <c r="H196" s="621" t="s">
        <v>928</v>
      </c>
      <c r="I196" s="621" t="s">
        <v>696</v>
      </c>
      <c r="J196" s="622">
        <v>43696</v>
      </c>
      <c r="K196" s="615">
        <v>38000</v>
      </c>
      <c r="L196" s="631">
        <v>14364</v>
      </c>
      <c r="M196" s="615">
        <f t="shared" si="8"/>
        <v>23636</v>
      </c>
      <c r="N196" s="616">
        <f t="shared" si="9"/>
        <v>0.622</v>
      </c>
      <c r="O196" s="615">
        <f t="shared" si="10"/>
        <v>26182</v>
      </c>
      <c r="P196" s="615">
        <f t="shared" si="11"/>
        <v>31418.399999999998</v>
      </c>
    </row>
    <row r="197" spans="1:16" x14ac:dyDescent="0.3">
      <c r="A197" s="614">
        <v>2</v>
      </c>
      <c r="B197" s="626" t="s">
        <v>1027</v>
      </c>
      <c r="C197" s="627" t="s">
        <v>1028</v>
      </c>
      <c r="D197" s="623" t="s">
        <v>1026</v>
      </c>
      <c r="G197" s="614" t="s">
        <v>694</v>
      </c>
      <c r="H197" s="621" t="s">
        <v>928</v>
      </c>
      <c r="I197" s="621" t="s">
        <v>696</v>
      </c>
      <c r="J197" s="622">
        <v>43013</v>
      </c>
      <c r="K197" s="615">
        <v>21000</v>
      </c>
      <c r="L197" s="615">
        <v>5880</v>
      </c>
      <c r="M197" s="615">
        <f t="shared" si="8"/>
        <v>15120</v>
      </c>
      <c r="N197" s="616">
        <f t="shared" si="9"/>
        <v>0.72</v>
      </c>
      <c r="O197" s="615">
        <f t="shared" si="10"/>
        <v>13440</v>
      </c>
      <c r="P197" s="615">
        <f t="shared" si="11"/>
        <v>16128</v>
      </c>
    </row>
    <row r="198" spans="1:16" x14ac:dyDescent="0.3">
      <c r="A198" s="614">
        <v>3</v>
      </c>
      <c r="B198" s="626" t="s">
        <v>1029</v>
      </c>
      <c r="C198" s="627" t="s">
        <v>1030</v>
      </c>
      <c r="D198" s="623" t="s">
        <v>1026</v>
      </c>
      <c r="G198" s="614" t="s">
        <v>694</v>
      </c>
      <c r="H198" s="621" t="s">
        <v>928</v>
      </c>
      <c r="I198" s="621" t="s">
        <v>696</v>
      </c>
      <c r="J198" s="622">
        <v>43013</v>
      </c>
      <c r="K198" s="615">
        <v>36000</v>
      </c>
      <c r="L198" s="615">
        <v>9996</v>
      </c>
      <c r="M198" s="615">
        <f t="shared" si="8"/>
        <v>26004</v>
      </c>
      <c r="N198" s="616">
        <f t="shared" si="9"/>
        <v>0.72233333333333338</v>
      </c>
      <c r="O198" s="615">
        <f t="shared" si="10"/>
        <v>22998</v>
      </c>
      <c r="P198" s="615">
        <f t="shared" si="11"/>
        <v>27597.599999999999</v>
      </c>
    </row>
    <row r="199" spans="1:16" x14ac:dyDescent="0.3">
      <c r="A199" s="614">
        <v>4</v>
      </c>
      <c r="B199" s="626" t="s">
        <v>1031</v>
      </c>
      <c r="C199" s="627" t="s">
        <v>1032</v>
      </c>
      <c r="D199" s="623" t="s">
        <v>1033</v>
      </c>
      <c r="G199" s="614" t="s">
        <v>694</v>
      </c>
      <c r="H199" s="621" t="s">
        <v>928</v>
      </c>
      <c r="I199" s="621" t="s">
        <v>696</v>
      </c>
      <c r="J199" s="622">
        <v>41498</v>
      </c>
      <c r="K199" s="615">
        <v>16800</v>
      </c>
      <c r="L199" s="615">
        <v>16800</v>
      </c>
      <c r="M199" s="615">
        <f t="shared" si="8"/>
        <v>0</v>
      </c>
      <c r="N199" s="616">
        <f t="shared" si="9"/>
        <v>0</v>
      </c>
      <c r="O199" s="615">
        <f t="shared" si="10"/>
        <v>16800</v>
      </c>
      <c r="P199" s="615">
        <f t="shared" si="11"/>
        <v>20160</v>
      </c>
    </row>
    <row r="200" spans="1:16" x14ac:dyDescent="0.3">
      <c r="A200" s="614">
        <v>5</v>
      </c>
      <c r="B200" s="626" t="s">
        <v>1034</v>
      </c>
      <c r="C200" s="627" t="s">
        <v>1035</v>
      </c>
      <c r="D200" s="623" t="s">
        <v>1026</v>
      </c>
      <c r="G200" s="614" t="s">
        <v>694</v>
      </c>
      <c r="H200" s="621" t="s">
        <v>928</v>
      </c>
      <c r="I200" s="621" t="s">
        <v>696</v>
      </c>
      <c r="J200" s="622">
        <v>43013</v>
      </c>
      <c r="K200" s="615">
        <v>11025</v>
      </c>
      <c r="L200" s="615">
        <v>2394</v>
      </c>
      <c r="M200" s="615">
        <f t="shared" si="8"/>
        <v>8631</v>
      </c>
      <c r="N200" s="616">
        <f t="shared" si="9"/>
        <v>0.78285714285714281</v>
      </c>
      <c r="O200" s="615">
        <f t="shared" si="10"/>
        <v>6709.5</v>
      </c>
      <c r="P200" s="615">
        <f t="shared" si="11"/>
        <v>8051.4</v>
      </c>
    </row>
    <row r="201" spans="1:16" x14ac:dyDescent="0.3">
      <c r="A201" s="614">
        <v>6</v>
      </c>
      <c r="B201" s="626" t="s">
        <v>1036</v>
      </c>
      <c r="C201" s="627" t="s">
        <v>1037</v>
      </c>
      <c r="D201" s="623" t="s">
        <v>1038</v>
      </c>
      <c r="G201" s="614" t="s">
        <v>694</v>
      </c>
      <c r="H201" s="621" t="s">
        <v>928</v>
      </c>
      <c r="I201" s="621" t="s">
        <v>966</v>
      </c>
      <c r="J201" s="622">
        <v>44230</v>
      </c>
      <c r="K201" s="615">
        <v>26000</v>
      </c>
      <c r="L201" s="615">
        <v>26000</v>
      </c>
      <c r="M201" s="615">
        <f t="shared" si="8"/>
        <v>0</v>
      </c>
      <c r="N201" s="616">
        <f t="shared" si="9"/>
        <v>0</v>
      </c>
      <c r="O201" s="615">
        <f t="shared" si="10"/>
        <v>26000</v>
      </c>
      <c r="P201" s="615">
        <f t="shared" si="11"/>
        <v>31200</v>
      </c>
    </row>
    <row r="202" spans="1:16" x14ac:dyDescent="0.3">
      <c r="A202" s="614">
        <v>7</v>
      </c>
      <c r="B202" s="626" t="s">
        <v>1039</v>
      </c>
      <c r="C202" s="627" t="s">
        <v>1040</v>
      </c>
      <c r="D202" s="623" t="s">
        <v>1026</v>
      </c>
      <c r="G202" s="614" t="s">
        <v>694</v>
      </c>
      <c r="H202" s="621" t="s">
        <v>928</v>
      </c>
      <c r="I202" s="621" t="s">
        <v>696</v>
      </c>
      <c r="J202" s="622">
        <v>42604</v>
      </c>
      <c r="K202" s="615">
        <v>19425</v>
      </c>
      <c r="L202" s="615">
        <v>19425</v>
      </c>
      <c r="M202" s="615">
        <f t="shared" si="8"/>
        <v>0</v>
      </c>
      <c r="N202" s="616">
        <f t="shared" si="9"/>
        <v>0</v>
      </c>
      <c r="O202" s="615">
        <f t="shared" si="10"/>
        <v>19425</v>
      </c>
      <c r="P202" s="615">
        <f t="shared" si="11"/>
        <v>23310</v>
      </c>
    </row>
    <row r="203" spans="1:16" x14ac:dyDescent="0.3">
      <c r="A203" s="614">
        <v>8</v>
      </c>
      <c r="B203" s="626" t="s">
        <v>1041</v>
      </c>
      <c r="C203" s="627" t="s">
        <v>1042</v>
      </c>
      <c r="D203" s="623" t="s">
        <v>1026</v>
      </c>
      <c r="G203" s="614" t="s">
        <v>694</v>
      </c>
      <c r="H203" s="621" t="s">
        <v>928</v>
      </c>
      <c r="I203" s="621" t="s">
        <v>696</v>
      </c>
      <c r="J203" s="622">
        <v>43013</v>
      </c>
      <c r="K203" s="615">
        <v>3150</v>
      </c>
      <c r="L203" s="615">
        <v>2079</v>
      </c>
      <c r="M203" s="615">
        <f t="shared" ref="M203:M209" si="12">K203-L203</f>
        <v>1071</v>
      </c>
      <c r="N203" s="616">
        <f t="shared" ref="N203:N210" si="13">M203/K203</f>
        <v>0.34</v>
      </c>
      <c r="O203" s="615">
        <f t="shared" ref="O203:O210" si="14">AVERAGE(K203,L203)</f>
        <v>2614.5</v>
      </c>
      <c r="P203" s="615">
        <f t="shared" ref="P203:P210" si="15">O203*1.2</f>
        <v>3137.4</v>
      </c>
    </row>
    <row r="204" spans="1:16" x14ac:dyDescent="0.3">
      <c r="A204" s="614">
        <v>9</v>
      </c>
      <c r="B204" s="626" t="s">
        <v>1043</v>
      </c>
      <c r="C204" s="627" t="s">
        <v>809</v>
      </c>
      <c r="D204" s="623" t="s">
        <v>1044</v>
      </c>
      <c r="G204" s="614" t="s">
        <v>694</v>
      </c>
      <c r="H204" s="621" t="s">
        <v>928</v>
      </c>
      <c r="I204" s="621" t="s">
        <v>696</v>
      </c>
      <c r="J204" s="622">
        <v>43914</v>
      </c>
      <c r="K204" s="615">
        <v>5565</v>
      </c>
      <c r="L204" s="615">
        <v>2020</v>
      </c>
      <c r="M204" s="615">
        <f t="shared" si="12"/>
        <v>3545</v>
      </c>
      <c r="N204" s="616">
        <f t="shared" si="13"/>
        <v>0.63701707097933513</v>
      </c>
      <c r="O204" s="615">
        <f t="shared" si="14"/>
        <v>3792.5</v>
      </c>
      <c r="P204" s="615">
        <f t="shared" si="15"/>
        <v>4551</v>
      </c>
    </row>
    <row r="205" spans="1:16" x14ac:dyDescent="0.3">
      <c r="A205" s="614">
        <v>10</v>
      </c>
      <c r="B205" s="626" t="s">
        <v>1045</v>
      </c>
      <c r="C205" s="627" t="s">
        <v>1046</v>
      </c>
      <c r="D205" s="623" t="s">
        <v>1026</v>
      </c>
      <c r="G205" s="614" t="s">
        <v>694</v>
      </c>
      <c r="H205" s="621" t="s">
        <v>928</v>
      </c>
      <c r="I205" s="621" t="s">
        <v>696</v>
      </c>
      <c r="J205" s="622">
        <v>42467</v>
      </c>
      <c r="K205" s="615">
        <v>11550</v>
      </c>
      <c r="L205" s="615">
        <v>2898</v>
      </c>
      <c r="M205" s="615">
        <f t="shared" si="12"/>
        <v>8652</v>
      </c>
      <c r="N205" s="616">
        <f t="shared" si="13"/>
        <v>0.74909090909090914</v>
      </c>
      <c r="O205" s="615">
        <f t="shared" si="14"/>
        <v>7224</v>
      </c>
      <c r="P205" s="615">
        <f t="shared" si="15"/>
        <v>8668.7999999999993</v>
      </c>
    </row>
    <row r="206" spans="1:16" x14ac:dyDescent="0.3">
      <c r="M206" s="615"/>
      <c r="N206" s="616"/>
      <c r="O206" s="615"/>
      <c r="P206" s="615"/>
    </row>
    <row r="207" spans="1:16" x14ac:dyDescent="0.3">
      <c r="A207" s="617"/>
      <c r="B207" s="617"/>
      <c r="C207" s="617" t="s">
        <v>1047</v>
      </c>
      <c r="D207" s="617"/>
      <c r="E207" s="617"/>
      <c r="F207" s="617"/>
      <c r="G207" s="617"/>
      <c r="H207" s="2345" t="s">
        <v>674</v>
      </c>
      <c r="I207" s="2345" t="s">
        <v>675</v>
      </c>
      <c r="J207" s="2345" t="s">
        <v>676</v>
      </c>
      <c r="K207" s="2345" t="s">
        <v>677</v>
      </c>
      <c r="L207" s="2345" t="s">
        <v>678</v>
      </c>
      <c r="M207" s="2345" t="s">
        <v>679</v>
      </c>
      <c r="N207" s="2345" t="s">
        <v>680</v>
      </c>
      <c r="O207" s="2345" t="s">
        <v>681</v>
      </c>
      <c r="P207" s="2345" t="s">
        <v>682</v>
      </c>
    </row>
    <row r="208" spans="1:16" x14ac:dyDescent="0.3">
      <c r="A208" s="618" t="s">
        <v>683</v>
      </c>
      <c r="B208" s="618" t="s">
        <v>684</v>
      </c>
      <c r="C208" s="618" t="s">
        <v>685</v>
      </c>
      <c r="D208" s="618" t="s">
        <v>686</v>
      </c>
      <c r="E208" s="618"/>
      <c r="F208" s="618" t="s">
        <v>688</v>
      </c>
      <c r="G208" s="618" t="s">
        <v>689</v>
      </c>
      <c r="H208" s="2345"/>
      <c r="I208" s="2345"/>
      <c r="J208" s="2345"/>
      <c r="K208" s="2345"/>
      <c r="L208" s="2345"/>
      <c r="M208" s="2345"/>
      <c r="N208" s="2345"/>
      <c r="O208" s="2345"/>
      <c r="P208" s="2345"/>
    </row>
    <row r="209" spans="1:16" x14ac:dyDescent="0.3">
      <c r="A209" s="614">
        <v>1</v>
      </c>
      <c r="B209" s="626" t="s">
        <v>1048</v>
      </c>
      <c r="C209" s="627" t="s">
        <v>914</v>
      </c>
      <c r="D209" s="623" t="s">
        <v>712</v>
      </c>
      <c r="G209" s="614" t="s">
        <v>694</v>
      </c>
      <c r="H209" s="621" t="s">
        <v>714</v>
      </c>
      <c r="I209" s="621" t="s">
        <v>696</v>
      </c>
      <c r="J209" s="622">
        <v>42486</v>
      </c>
      <c r="K209" s="615">
        <v>63000</v>
      </c>
      <c r="L209" s="615">
        <v>33495</v>
      </c>
      <c r="M209" s="615">
        <f t="shared" si="12"/>
        <v>29505</v>
      </c>
      <c r="N209" s="616">
        <f t="shared" si="13"/>
        <v>0.46833333333333332</v>
      </c>
      <c r="O209" s="615">
        <f t="shared" si="14"/>
        <v>48247.5</v>
      </c>
      <c r="P209" s="615">
        <f t="shared" si="15"/>
        <v>57897</v>
      </c>
    </row>
    <row r="210" spans="1:16" x14ac:dyDescent="0.3">
      <c r="A210" s="614">
        <v>2</v>
      </c>
      <c r="B210" s="626" t="s">
        <v>1049</v>
      </c>
      <c r="C210" s="627" t="s">
        <v>914</v>
      </c>
      <c r="D210" s="623" t="s">
        <v>712</v>
      </c>
      <c r="G210" s="614" t="s">
        <v>694</v>
      </c>
      <c r="H210" s="621" t="s">
        <v>714</v>
      </c>
      <c r="I210" s="621" t="s">
        <v>696</v>
      </c>
      <c r="J210" s="622">
        <v>43209</v>
      </c>
      <c r="K210" s="615">
        <v>62500</v>
      </c>
      <c r="L210" s="615">
        <v>21945</v>
      </c>
      <c r="M210" s="615">
        <f>K210-L210</f>
        <v>40555</v>
      </c>
      <c r="N210" s="616">
        <f t="shared" si="13"/>
        <v>0.64888000000000001</v>
      </c>
      <c r="O210" s="615">
        <f t="shared" si="14"/>
        <v>42222.5</v>
      </c>
      <c r="P210" s="615">
        <f t="shared" si="15"/>
        <v>50667</v>
      </c>
    </row>
    <row r="211" spans="1:16" x14ac:dyDescent="0.3">
      <c r="P211" s="615"/>
    </row>
    <row r="212" spans="1:16" x14ac:dyDescent="0.3">
      <c r="A212" s="617"/>
      <c r="B212" s="617"/>
      <c r="C212" s="617" t="s">
        <v>1050</v>
      </c>
      <c r="D212" s="617"/>
      <c r="E212" s="617"/>
      <c r="F212" s="617"/>
      <c r="G212" s="617"/>
      <c r="H212" s="2345" t="s">
        <v>674</v>
      </c>
      <c r="I212" s="2345" t="s">
        <v>675</v>
      </c>
      <c r="J212" s="2345" t="s">
        <v>676</v>
      </c>
      <c r="K212" s="2345" t="s">
        <v>677</v>
      </c>
      <c r="L212" s="2345" t="s">
        <v>678</v>
      </c>
      <c r="M212" s="2345" t="s">
        <v>679</v>
      </c>
      <c r="N212" s="2345" t="s">
        <v>680</v>
      </c>
      <c r="O212" s="2345" t="s">
        <v>681</v>
      </c>
      <c r="P212" s="2345" t="s">
        <v>682</v>
      </c>
    </row>
    <row r="213" spans="1:16" x14ac:dyDescent="0.3">
      <c r="A213" s="618" t="s">
        <v>683</v>
      </c>
      <c r="B213" s="618" t="s">
        <v>684</v>
      </c>
      <c r="C213" s="618" t="s">
        <v>685</v>
      </c>
      <c r="D213" s="618" t="s">
        <v>686</v>
      </c>
      <c r="E213" s="618"/>
      <c r="F213" s="618" t="s">
        <v>688</v>
      </c>
      <c r="G213" s="618" t="s">
        <v>689</v>
      </c>
      <c r="H213" s="2345"/>
      <c r="I213" s="2345"/>
      <c r="J213" s="2345"/>
      <c r="K213" s="2345"/>
      <c r="L213" s="2345"/>
      <c r="M213" s="2345"/>
      <c r="N213" s="2345"/>
      <c r="O213" s="2345"/>
      <c r="P213" s="2345"/>
    </row>
    <row r="214" spans="1:16" x14ac:dyDescent="0.3">
      <c r="A214" s="614">
        <v>1</v>
      </c>
      <c r="B214" s="626" t="s">
        <v>1051</v>
      </c>
      <c r="C214" s="627" t="s">
        <v>1052</v>
      </c>
      <c r="D214" s="623" t="s">
        <v>1053</v>
      </c>
      <c r="G214" s="614" t="s">
        <v>694</v>
      </c>
      <c r="H214" s="621" t="s">
        <v>928</v>
      </c>
      <c r="I214" s="621" t="s">
        <v>966</v>
      </c>
      <c r="J214" s="622"/>
      <c r="K214" s="615">
        <v>20000</v>
      </c>
      <c r="L214" s="615">
        <v>20000</v>
      </c>
      <c r="M214" s="615">
        <f>K214-L214</f>
        <v>0</v>
      </c>
      <c r="N214" s="616">
        <f t="shared" ref="N214:N220" si="16">M214/K214</f>
        <v>0</v>
      </c>
      <c r="O214" s="615">
        <f t="shared" ref="O214:O220" si="17">AVERAGE(K214,L214)</f>
        <v>20000</v>
      </c>
      <c r="P214" s="615">
        <f t="shared" ref="P214:P220" si="18">O214*1.2</f>
        <v>24000</v>
      </c>
    </row>
    <row r="215" spans="1:16" ht="18" x14ac:dyDescent="0.3">
      <c r="A215" s="614">
        <v>2</v>
      </c>
      <c r="B215" s="626" t="s">
        <v>1054</v>
      </c>
      <c r="C215" s="627" t="s">
        <v>1055</v>
      </c>
      <c r="D215" s="623" t="s">
        <v>1053</v>
      </c>
      <c r="G215" s="614" t="s">
        <v>694</v>
      </c>
      <c r="H215" s="621" t="s">
        <v>928</v>
      </c>
      <c r="I215" s="621" t="s">
        <v>966</v>
      </c>
      <c r="J215" s="622">
        <v>43893</v>
      </c>
      <c r="K215" s="615">
        <v>29400</v>
      </c>
      <c r="L215" s="615">
        <v>17304</v>
      </c>
      <c r="M215" s="615">
        <f t="shared" ref="M215:M219" si="19">K215-L215</f>
        <v>12096</v>
      </c>
      <c r="N215" s="616">
        <f t="shared" si="16"/>
        <v>0.41142857142857142</v>
      </c>
      <c r="O215" s="615">
        <f t="shared" si="17"/>
        <v>23352</v>
      </c>
      <c r="P215" s="615">
        <f t="shared" si="18"/>
        <v>28022.399999999998</v>
      </c>
    </row>
    <row r="216" spans="1:16" x14ac:dyDescent="0.3">
      <c r="A216" s="614">
        <v>3</v>
      </c>
      <c r="B216" s="626" t="s">
        <v>1056</v>
      </c>
      <c r="C216" s="627" t="s">
        <v>1057</v>
      </c>
      <c r="D216" s="623" t="s">
        <v>1058</v>
      </c>
      <c r="G216" s="614" t="s">
        <v>694</v>
      </c>
      <c r="H216" s="621" t="s">
        <v>723</v>
      </c>
      <c r="I216" s="621" t="s">
        <v>724</v>
      </c>
      <c r="J216" s="622">
        <v>43955</v>
      </c>
      <c r="K216" s="615">
        <v>693</v>
      </c>
      <c r="L216" s="615">
        <v>693</v>
      </c>
      <c r="M216" s="615">
        <f t="shared" si="19"/>
        <v>0</v>
      </c>
      <c r="N216" s="616">
        <f t="shared" si="16"/>
        <v>0</v>
      </c>
      <c r="O216" s="615">
        <f t="shared" si="17"/>
        <v>693</v>
      </c>
      <c r="P216" s="615">
        <f t="shared" si="18"/>
        <v>831.6</v>
      </c>
    </row>
    <row r="217" spans="1:16" x14ac:dyDescent="0.3">
      <c r="A217" s="614">
        <v>4</v>
      </c>
      <c r="B217" s="626" t="s">
        <v>1059</v>
      </c>
      <c r="C217" s="627" t="s">
        <v>1060</v>
      </c>
      <c r="D217" s="623" t="s">
        <v>1053</v>
      </c>
      <c r="G217" s="614" t="s">
        <v>694</v>
      </c>
      <c r="H217" s="621" t="s">
        <v>928</v>
      </c>
      <c r="I217" s="621" t="s">
        <v>966</v>
      </c>
      <c r="J217" s="622">
        <v>42388</v>
      </c>
      <c r="K217" s="615">
        <v>2310</v>
      </c>
      <c r="L217" s="615">
        <v>1890</v>
      </c>
      <c r="M217" s="615">
        <f t="shared" si="19"/>
        <v>420</v>
      </c>
      <c r="N217" s="616">
        <f t="shared" si="16"/>
        <v>0.18181818181818182</v>
      </c>
      <c r="O217" s="615">
        <f t="shared" si="17"/>
        <v>2100</v>
      </c>
      <c r="P217" s="615">
        <f t="shared" si="18"/>
        <v>2520</v>
      </c>
    </row>
    <row r="218" spans="1:16" ht="18" x14ac:dyDescent="0.3">
      <c r="A218" s="614">
        <v>5</v>
      </c>
      <c r="B218" s="626" t="s">
        <v>1061</v>
      </c>
      <c r="C218" s="627" t="s">
        <v>1062</v>
      </c>
      <c r="D218" s="623" t="s">
        <v>1053</v>
      </c>
      <c r="G218" s="614" t="s">
        <v>694</v>
      </c>
      <c r="H218" s="621" t="s">
        <v>928</v>
      </c>
      <c r="I218" s="621" t="s">
        <v>966</v>
      </c>
      <c r="J218" s="622">
        <v>43893</v>
      </c>
      <c r="K218" s="615">
        <v>5145</v>
      </c>
      <c r="L218" s="615">
        <v>5145</v>
      </c>
      <c r="M218" s="615">
        <f t="shared" si="19"/>
        <v>0</v>
      </c>
      <c r="N218" s="616">
        <f t="shared" si="16"/>
        <v>0</v>
      </c>
      <c r="O218" s="615">
        <f t="shared" si="17"/>
        <v>5145</v>
      </c>
      <c r="P218" s="615">
        <f t="shared" si="18"/>
        <v>6174</v>
      </c>
    </row>
    <row r="219" spans="1:16" x14ac:dyDescent="0.3">
      <c r="A219" s="614">
        <v>6</v>
      </c>
      <c r="B219" s="626" t="s">
        <v>1063</v>
      </c>
      <c r="C219" s="627" t="s">
        <v>1064</v>
      </c>
      <c r="D219" s="623" t="s">
        <v>1053</v>
      </c>
      <c r="G219" s="614" t="s">
        <v>694</v>
      </c>
      <c r="H219" s="621" t="s">
        <v>928</v>
      </c>
      <c r="I219" s="621" t="s">
        <v>966</v>
      </c>
      <c r="J219" s="622">
        <v>43927</v>
      </c>
      <c r="K219" s="615">
        <v>39900</v>
      </c>
      <c r="L219" s="615">
        <v>25750</v>
      </c>
      <c r="M219" s="615">
        <f t="shared" si="19"/>
        <v>14150</v>
      </c>
      <c r="N219" s="616">
        <f t="shared" si="16"/>
        <v>0.35463659147869675</v>
      </c>
      <c r="O219" s="615">
        <f t="shared" si="17"/>
        <v>32825</v>
      </c>
      <c r="P219" s="615">
        <f t="shared" si="18"/>
        <v>39390</v>
      </c>
    </row>
    <row r="220" spans="1:16" x14ac:dyDescent="0.3">
      <c r="A220" s="614">
        <v>7</v>
      </c>
      <c r="B220" s="626" t="s">
        <v>1065</v>
      </c>
      <c r="C220" s="627" t="s">
        <v>1052</v>
      </c>
      <c r="D220" s="623" t="s">
        <v>1053</v>
      </c>
      <c r="G220" s="614" t="s">
        <v>694</v>
      </c>
      <c r="H220" s="621" t="s">
        <v>928</v>
      </c>
      <c r="I220" s="621" t="s">
        <v>966</v>
      </c>
      <c r="J220" s="622"/>
      <c r="K220" s="615">
        <v>7000</v>
      </c>
      <c r="L220" s="615">
        <v>7000</v>
      </c>
      <c r="M220" s="615">
        <f>K220-L220</f>
        <v>0</v>
      </c>
      <c r="N220" s="616">
        <f t="shared" si="16"/>
        <v>0</v>
      </c>
      <c r="O220" s="615">
        <f t="shared" si="17"/>
        <v>7000</v>
      </c>
      <c r="P220" s="615">
        <f t="shared" si="18"/>
        <v>8400</v>
      </c>
    </row>
    <row r="221" spans="1:16" x14ac:dyDescent="0.3">
      <c r="I221" s="621"/>
    </row>
    <row r="222" spans="1:16" x14ac:dyDescent="0.3">
      <c r="A222" s="617"/>
      <c r="B222" s="617"/>
      <c r="C222" s="617" t="s">
        <v>1066</v>
      </c>
      <c r="D222" s="617"/>
      <c r="E222" s="617"/>
      <c r="F222" s="617"/>
      <c r="G222" s="617"/>
      <c r="H222" s="2345" t="s">
        <v>674</v>
      </c>
      <c r="I222" s="2345" t="s">
        <v>675</v>
      </c>
      <c r="J222" s="2345" t="s">
        <v>676</v>
      </c>
      <c r="K222" s="2345" t="s">
        <v>677</v>
      </c>
      <c r="L222" s="2345" t="s">
        <v>678</v>
      </c>
      <c r="M222" s="2345" t="s">
        <v>679</v>
      </c>
      <c r="N222" s="2345" t="s">
        <v>680</v>
      </c>
      <c r="O222" s="2345" t="s">
        <v>681</v>
      </c>
      <c r="P222" s="2345" t="s">
        <v>682</v>
      </c>
    </row>
    <row r="223" spans="1:16" x14ac:dyDescent="0.3">
      <c r="A223" s="618" t="s">
        <v>683</v>
      </c>
      <c r="B223" s="618" t="s">
        <v>684</v>
      </c>
      <c r="C223" s="618" t="s">
        <v>685</v>
      </c>
      <c r="D223" s="618" t="s">
        <v>686</v>
      </c>
      <c r="E223" s="618"/>
      <c r="F223" s="618" t="s">
        <v>688</v>
      </c>
      <c r="G223" s="618" t="s">
        <v>689</v>
      </c>
      <c r="H223" s="2345"/>
      <c r="I223" s="2345"/>
      <c r="J223" s="2345"/>
      <c r="K223" s="2345"/>
      <c r="L223" s="2345"/>
      <c r="M223" s="2345"/>
      <c r="N223" s="2345"/>
      <c r="O223" s="2345"/>
      <c r="P223" s="2345"/>
    </row>
    <row r="224" spans="1:16" x14ac:dyDescent="0.3">
      <c r="A224" s="614">
        <v>1</v>
      </c>
      <c r="B224" s="626" t="s">
        <v>1067</v>
      </c>
      <c r="C224" s="627" t="s">
        <v>1068</v>
      </c>
      <c r="D224" s="623" t="s">
        <v>1069</v>
      </c>
      <c r="G224" s="614" t="s">
        <v>694</v>
      </c>
      <c r="H224" s="621" t="s">
        <v>928</v>
      </c>
      <c r="I224" s="621" t="s">
        <v>1070</v>
      </c>
      <c r="J224" s="622">
        <v>43955</v>
      </c>
      <c r="K224" s="615">
        <v>7014</v>
      </c>
      <c r="L224" s="615">
        <v>3402</v>
      </c>
      <c r="M224" s="615">
        <f>K224-L224</f>
        <v>3612</v>
      </c>
      <c r="N224" s="616">
        <f t="shared" ref="N224:N225" si="20">M224/K224</f>
        <v>0.51497005988023947</v>
      </c>
      <c r="O224" s="615">
        <f t="shared" ref="O224:O225" si="21">AVERAGE(K224,L224)</f>
        <v>5208</v>
      </c>
      <c r="P224" s="615">
        <f t="shared" ref="P224:P225" si="22">O224*1.2</f>
        <v>6249.5999999999995</v>
      </c>
    </row>
    <row r="225" spans="1:16" x14ac:dyDescent="0.3">
      <c r="A225" s="614">
        <v>2</v>
      </c>
      <c r="B225" s="626" t="s">
        <v>1071</v>
      </c>
      <c r="C225" s="627" t="s">
        <v>1072</v>
      </c>
      <c r="D225" s="623" t="s">
        <v>1069</v>
      </c>
      <c r="G225" s="614" t="s">
        <v>694</v>
      </c>
      <c r="H225" s="621" t="s">
        <v>928</v>
      </c>
      <c r="I225" s="621" t="s">
        <v>1070</v>
      </c>
      <c r="J225" s="622">
        <v>44271</v>
      </c>
      <c r="K225" s="615">
        <v>13650</v>
      </c>
      <c r="L225" s="615">
        <v>4704</v>
      </c>
      <c r="M225" s="615">
        <f>K225-L225</f>
        <v>8946</v>
      </c>
      <c r="N225" s="616">
        <f t="shared" si="20"/>
        <v>0.65538461538461534</v>
      </c>
      <c r="O225" s="615">
        <f t="shared" si="21"/>
        <v>9177</v>
      </c>
      <c r="P225" s="615">
        <f t="shared" si="22"/>
        <v>11012.4</v>
      </c>
    </row>
    <row r="227" spans="1:16" x14ac:dyDescent="0.3">
      <c r="A227" s="617"/>
      <c r="B227" s="617"/>
      <c r="C227" s="617" t="s">
        <v>1073</v>
      </c>
      <c r="D227" s="617"/>
      <c r="E227" s="617"/>
      <c r="F227" s="617"/>
      <c r="G227" s="617"/>
      <c r="H227" s="2345" t="s">
        <v>674</v>
      </c>
      <c r="I227" s="2345" t="s">
        <v>675</v>
      </c>
      <c r="J227" s="2345" t="s">
        <v>676</v>
      </c>
      <c r="K227" s="2345" t="s">
        <v>677</v>
      </c>
      <c r="L227" s="2345" t="s">
        <v>678</v>
      </c>
      <c r="M227" s="2345" t="s">
        <v>679</v>
      </c>
      <c r="N227" s="2345" t="s">
        <v>680</v>
      </c>
      <c r="O227" s="2345" t="s">
        <v>681</v>
      </c>
      <c r="P227" s="2345" t="s">
        <v>682</v>
      </c>
    </row>
    <row r="228" spans="1:16" x14ac:dyDescent="0.3">
      <c r="A228" s="618" t="s">
        <v>683</v>
      </c>
      <c r="B228" s="618" t="s">
        <v>684</v>
      </c>
      <c r="C228" s="618" t="s">
        <v>685</v>
      </c>
      <c r="D228" s="618" t="s">
        <v>686</v>
      </c>
      <c r="E228" s="618"/>
      <c r="F228" s="618" t="s">
        <v>688</v>
      </c>
      <c r="G228" s="618" t="s">
        <v>689</v>
      </c>
      <c r="H228" s="2345"/>
      <c r="I228" s="2345"/>
      <c r="J228" s="2345"/>
      <c r="K228" s="2345"/>
      <c r="L228" s="2345"/>
      <c r="M228" s="2345"/>
      <c r="N228" s="2345"/>
      <c r="O228" s="2345"/>
      <c r="P228" s="2345"/>
    </row>
    <row r="229" spans="1:16" x14ac:dyDescent="0.3">
      <c r="A229" s="614">
        <v>1</v>
      </c>
      <c r="B229" s="626" t="s">
        <v>1074</v>
      </c>
      <c r="C229" s="627" t="s">
        <v>1075</v>
      </c>
      <c r="D229" s="623" t="s">
        <v>751</v>
      </c>
      <c r="G229" s="614" t="s">
        <v>694</v>
      </c>
      <c r="H229" s="621" t="s">
        <v>739</v>
      </c>
      <c r="I229" s="621" t="s">
        <v>702</v>
      </c>
      <c r="J229" s="622">
        <v>44302</v>
      </c>
      <c r="K229" s="615">
        <v>399</v>
      </c>
      <c r="L229" s="615">
        <v>168</v>
      </c>
      <c r="M229" s="615">
        <f>K229-L229</f>
        <v>231</v>
      </c>
      <c r="N229" s="616">
        <f t="shared" ref="N229:N244" si="23">M229/K229</f>
        <v>0.57894736842105265</v>
      </c>
      <c r="O229" s="615">
        <f t="shared" ref="O229:O244" si="24">AVERAGE(K229,L229)</f>
        <v>283.5</v>
      </c>
      <c r="P229" s="615">
        <f t="shared" ref="P229:P244" si="25">O229*1.2</f>
        <v>340.2</v>
      </c>
    </row>
    <row r="230" spans="1:16" x14ac:dyDescent="0.3">
      <c r="A230" s="614">
        <v>2</v>
      </c>
      <c r="B230" s="626" t="s">
        <v>1076</v>
      </c>
      <c r="C230" s="627" t="s">
        <v>1077</v>
      </c>
      <c r="D230" s="623" t="s">
        <v>1078</v>
      </c>
      <c r="G230" s="614" t="s">
        <v>694</v>
      </c>
      <c r="H230" s="621" t="s">
        <v>928</v>
      </c>
      <c r="I230" s="621" t="s">
        <v>794</v>
      </c>
      <c r="J230" s="622">
        <v>42388</v>
      </c>
      <c r="K230" s="615">
        <v>4200</v>
      </c>
      <c r="L230" s="615">
        <v>4200</v>
      </c>
      <c r="M230" s="615">
        <f t="shared" ref="M230:M244" si="26">K230-L230</f>
        <v>0</v>
      </c>
      <c r="N230" s="616">
        <f t="shared" si="23"/>
        <v>0</v>
      </c>
      <c r="O230" s="615">
        <f t="shared" si="24"/>
        <v>4200</v>
      </c>
      <c r="P230" s="615">
        <f t="shared" si="25"/>
        <v>5040</v>
      </c>
    </row>
    <row r="231" spans="1:16" x14ac:dyDescent="0.3">
      <c r="A231" s="614">
        <v>3</v>
      </c>
      <c r="B231" s="626" t="s">
        <v>1079</v>
      </c>
      <c r="C231" s="627" t="s">
        <v>1080</v>
      </c>
      <c r="D231" s="623" t="s">
        <v>751</v>
      </c>
      <c r="G231" s="614" t="s">
        <v>694</v>
      </c>
      <c r="H231" s="621" t="s">
        <v>739</v>
      </c>
      <c r="I231" s="621" t="s">
        <v>702</v>
      </c>
      <c r="J231" s="622">
        <v>43404</v>
      </c>
      <c r="K231" s="615">
        <v>840</v>
      </c>
      <c r="L231" s="615">
        <v>520</v>
      </c>
      <c r="M231" s="615">
        <f t="shared" si="26"/>
        <v>320</v>
      </c>
      <c r="N231" s="616">
        <f t="shared" si="23"/>
        <v>0.38095238095238093</v>
      </c>
      <c r="O231" s="615">
        <f t="shared" si="24"/>
        <v>680</v>
      </c>
      <c r="P231" s="615">
        <f t="shared" si="25"/>
        <v>816</v>
      </c>
    </row>
    <row r="232" spans="1:16" x14ac:dyDescent="0.3">
      <c r="A232" s="614">
        <v>4</v>
      </c>
      <c r="B232" s="626" t="s">
        <v>1081</v>
      </c>
      <c r="C232" s="627" t="s">
        <v>1082</v>
      </c>
      <c r="D232" s="623" t="s">
        <v>712</v>
      </c>
      <c r="G232" s="614" t="s">
        <v>694</v>
      </c>
      <c r="H232" s="621" t="s">
        <v>714</v>
      </c>
      <c r="I232" s="621" t="s">
        <v>696</v>
      </c>
      <c r="J232" s="622">
        <v>42388</v>
      </c>
      <c r="K232" s="615">
        <v>15000</v>
      </c>
      <c r="L232" s="615">
        <v>7350</v>
      </c>
      <c r="M232" s="615">
        <f t="shared" si="26"/>
        <v>7650</v>
      </c>
      <c r="N232" s="616">
        <f t="shared" si="23"/>
        <v>0.51</v>
      </c>
      <c r="O232" s="615">
        <f t="shared" si="24"/>
        <v>11175</v>
      </c>
      <c r="P232" s="615">
        <f t="shared" si="25"/>
        <v>13410</v>
      </c>
    </row>
    <row r="233" spans="1:16" x14ac:dyDescent="0.3">
      <c r="A233" s="614">
        <v>5</v>
      </c>
      <c r="B233" s="626" t="s">
        <v>1083</v>
      </c>
      <c r="C233" s="627" t="s">
        <v>1084</v>
      </c>
      <c r="D233" s="623" t="s">
        <v>699</v>
      </c>
      <c r="G233" s="614" t="s">
        <v>694</v>
      </c>
      <c r="H233" s="621" t="s">
        <v>739</v>
      </c>
      <c r="I233" s="621" t="s">
        <v>702</v>
      </c>
      <c r="J233" s="622">
        <v>43013</v>
      </c>
      <c r="K233" s="615">
        <v>2100</v>
      </c>
      <c r="L233" s="615">
        <v>399</v>
      </c>
      <c r="M233" s="615">
        <f t="shared" si="26"/>
        <v>1701</v>
      </c>
      <c r="N233" s="616">
        <f t="shared" si="23"/>
        <v>0.81</v>
      </c>
      <c r="O233" s="615">
        <f t="shared" si="24"/>
        <v>1249.5</v>
      </c>
      <c r="P233" s="615">
        <f t="shared" si="25"/>
        <v>1499.3999999999999</v>
      </c>
    </row>
    <row r="234" spans="1:16" x14ac:dyDescent="0.3">
      <c r="A234" s="614">
        <v>6</v>
      </c>
      <c r="B234" s="626" t="s">
        <v>1085</v>
      </c>
      <c r="C234" s="627" t="s">
        <v>1086</v>
      </c>
      <c r="D234" s="623" t="s">
        <v>751</v>
      </c>
      <c r="G234" s="614" t="s">
        <v>694</v>
      </c>
      <c r="H234" s="621" t="s">
        <v>739</v>
      </c>
      <c r="I234" s="621" t="s">
        <v>702</v>
      </c>
      <c r="J234" s="622">
        <v>43474</v>
      </c>
      <c r="K234" s="615">
        <v>1890</v>
      </c>
      <c r="L234" s="615">
        <v>987</v>
      </c>
      <c r="M234" s="615">
        <f t="shared" si="26"/>
        <v>903</v>
      </c>
      <c r="N234" s="616">
        <f t="shared" si="23"/>
        <v>0.4777777777777778</v>
      </c>
      <c r="O234" s="615">
        <f t="shared" si="24"/>
        <v>1438.5</v>
      </c>
      <c r="P234" s="615">
        <f t="shared" si="25"/>
        <v>1726.2</v>
      </c>
    </row>
    <row r="235" spans="1:16" x14ac:dyDescent="0.3">
      <c r="A235" s="614">
        <v>7</v>
      </c>
      <c r="B235" s="626" t="s">
        <v>1087</v>
      </c>
      <c r="C235" s="627" t="s">
        <v>1086</v>
      </c>
      <c r="D235" s="623" t="s">
        <v>699</v>
      </c>
      <c r="G235" s="614" t="s">
        <v>694</v>
      </c>
      <c r="H235" s="621" t="s">
        <v>739</v>
      </c>
      <c r="I235" s="621" t="s">
        <v>702</v>
      </c>
      <c r="J235" s="622">
        <v>42388</v>
      </c>
      <c r="K235" s="615">
        <v>399</v>
      </c>
      <c r="L235" s="615">
        <v>399</v>
      </c>
      <c r="M235" s="615">
        <f t="shared" si="26"/>
        <v>0</v>
      </c>
      <c r="N235" s="616">
        <f t="shared" si="23"/>
        <v>0</v>
      </c>
      <c r="O235" s="615">
        <f t="shared" si="24"/>
        <v>399</v>
      </c>
      <c r="P235" s="615">
        <f t="shared" si="25"/>
        <v>478.79999999999995</v>
      </c>
    </row>
    <row r="236" spans="1:16" x14ac:dyDescent="0.3">
      <c r="A236" s="614">
        <v>8</v>
      </c>
      <c r="B236" s="626" t="s">
        <v>1088</v>
      </c>
      <c r="C236" s="627" t="s">
        <v>1089</v>
      </c>
      <c r="D236" s="623" t="s">
        <v>1078</v>
      </c>
      <c r="G236" s="614" t="s">
        <v>694</v>
      </c>
      <c r="H236" s="621" t="s">
        <v>928</v>
      </c>
      <c r="I236" s="621" t="s">
        <v>794</v>
      </c>
      <c r="J236" s="622">
        <v>43175</v>
      </c>
      <c r="K236" s="615">
        <v>3360</v>
      </c>
      <c r="L236" s="615">
        <v>2982</v>
      </c>
      <c r="M236" s="615">
        <f t="shared" si="26"/>
        <v>378</v>
      </c>
      <c r="N236" s="616">
        <f t="shared" si="23"/>
        <v>0.1125</v>
      </c>
      <c r="O236" s="615">
        <f t="shared" si="24"/>
        <v>3171</v>
      </c>
      <c r="P236" s="615">
        <f t="shared" si="25"/>
        <v>3805.2</v>
      </c>
    </row>
    <row r="237" spans="1:16" x14ac:dyDescent="0.3">
      <c r="A237" s="614">
        <v>9</v>
      </c>
      <c r="B237" s="626" t="s">
        <v>1090</v>
      </c>
      <c r="C237" s="627" t="s">
        <v>1086</v>
      </c>
      <c r="D237" s="623" t="s">
        <v>699</v>
      </c>
      <c r="G237" s="614" t="s">
        <v>694</v>
      </c>
      <c r="H237" s="621" t="s">
        <v>739</v>
      </c>
      <c r="I237" s="621" t="s">
        <v>702</v>
      </c>
      <c r="J237" s="622">
        <v>42388</v>
      </c>
      <c r="K237" s="615">
        <v>420</v>
      </c>
      <c r="L237" s="615">
        <v>177</v>
      </c>
      <c r="M237" s="615">
        <f t="shared" si="26"/>
        <v>243</v>
      </c>
      <c r="N237" s="616">
        <f t="shared" si="23"/>
        <v>0.57857142857142863</v>
      </c>
      <c r="O237" s="615">
        <f t="shared" si="24"/>
        <v>298.5</v>
      </c>
      <c r="P237" s="615">
        <f t="shared" si="25"/>
        <v>358.2</v>
      </c>
    </row>
    <row r="238" spans="1:16" x14ac:dyDescent="0.3">
      <c r="A238" s="614">
        <v>10</v>
      </c>
      <c r="B238" s="626" t="s">
        <v>1091</v>
      </c>
      <c r="C238" s="627" t="s">
        <v>1089</v>
      </c>
      <c r="D238" s="623" t="s">
        <v>1092</v>
      </c>
      <c r="G238" s="614" t="s">
        <v>694</v>
      </c>
      <c r="H238" s="621" t="s">
        <v>928</v>
      </c>
      <c r="I238" s="621" t="s">
        <v>696</v>
      </c>
      <c r="J238" s="622">
        <v>43301</v>
      </c>
      <c r="K238" s="615">
        <v>29925</v>
      </c>
      <c r="L238" s="615">
        <v>21000</v>
      </c>
      <c r="M238" s="615">
        <f t="shared" si="26"/>
        <v>8925</v>
      </c>
      <c r="N238" s="616">
        <f t="shared" si="23"/>
        <v>0.2982456140350877</v>
      </c>
      <c r="O238" s="615">
        <f t="shared" si="24"/>
        <v>25462.5</v>
      </c>
      <c r="P238" s="615">
        <f t="shared" si="25"/>
        <v>30555</v>
      </c>
    </row>
    <row r="239" spans="1:16" x14ac:dyDescent="0.3">
      <c r="A239" s="614">
        <v>11</v>
      </c>
      <c r="B239" s="626" t="s">
        <v>1093</v>
      </c>
      <c r="C239" s="627" t="s">
        <v>1094</v>
      </c>
      <c r="D239" s="623" t="s">
        <v>821</v>
      </c>
      <c r="G239" s="614" t="s">
        <v>694</v>
      </c>
      <c r="H239" s="621" t="s">
        <v>739</v>
      </c>
      <c r="I239" s="621" t="s">
        <v>702</v>
      </c>
      <c r="J239" s="622">
        <v>42783</v>
      </c>
      <c r="K239" s="615">
        <v>800</v>
      </c>
      <c r="L239" s="615">
        <v>252</v>
      </c>
      <c r="M239" s="615">
        <f t="shared" si="26"/>
        <v>548</v>
      </c>
      <c r="N239" s="616">
        <f t="shared" si="23"/>
        <v>0.68500000000000005</v>
      </c>
      <c r="O239" s="615">
        <f t="shared" si="24"/>
        <v>526</v>
      </c>
      <c r="P239" s="615">
        <f t="shared" si="25"/>
        <v>631.19999999999993</v>
      </c>
    </row>
    <row r="240" spans="1:16" x14ac:dyDescent="0.3">
      <c r="A240" s="614">
        <v>12</v>
      </c>
      <c r="B240" s="626" t="s">
        <v>1095</v>
      </c>
      <c r="C240" s="627" t="s">
        <v>1096</v>
      </c>
      <c r="D240" s="623" t="s">
        <v>861</v>
      </c>
      <c r="G240" s="614" t="s">
        <v>694</v>
      </c>
      <c r="H240" s="621" t="s">
        <v>739</v>
      </c>
      <c r="I240" s="621" t="s">
        <v>702</v>
      </c>
      <c r="J240" s="622">
        <v>42486</v>
      </c>
      <c r="K240" s="615">
        <v>3045</v>
      </c>
      <c r="L240" s="615">
        <v>2793</v>
      </c>
      <c r="M240" s="615">
        <f t="shared" si="26"/>
        <v>252</v>
      </c>
      <c r="N240" s="616">
        <f t="shared" si="23"/>
        <v>8.2758620689655171E-2</v>
      </c>
      <c r="O240" s="615">
        <f t="shared" si="24"/>
        <v>2919</v>
      </c>
      <c r="P240" s="615">
        <f t="shared" si="25"/>
        <v>3502.7999999999997</v>
      </c>
    </row>
    <row r="241" spans="1:16" x14ac:dyDescent="0.3">
      <c r="A241" s="614">
        <v>13</v>
      </c>
      <c r="B241" s="626" t="s">
        <v>1097</v>
      </c>
      <c r="C241" s="627" t="s">
        <v>1098</v>
      </c>
      <c r="D241" s="623" t="s">
        <v>1078</v>
      </c>
      <c r="G241" s="614" t="s">
        <v>694</v>
      </c>
      <c r="H241" s="621" t="s">
        <v>928</v>
      </c>
      <c r="I241" s="621" t="s">
        <v>794</v>
      </c>
      <c r="J241" s="622">
        <v>42524</v>
      </c>
      <c r="K241" s="615">
        <v>3990</v>
      </c>
      <c r="L241" s="615">
        <v>3990</v>
      </c>
      <c r="M241" s="615">
        <f t="shared" si="26"/>
        <v>0</v>
      </c>
      <c r="N241" s="616">
        <f t="shared" si="23"/>
        <v>0</v>
      </c>
      <c r="O241" s="615">
        <f t="shared" si="24"/>
        <v>3990</v>
      </c>
      <c r="P241" s="615">
        <f t="shared" si="25"/>
        <v>4788</v>
      </c>
    </row>
    <row r="242" spans="1:16" x14ac:dyDescent="0.3">
      <c r="A242" s="614">
        <v>14</v>
      </c>
      <c r="B242" s="626" t="s">
        <v>1099</v>
      </c>
      <c r="C242" s="627" t="s">
        <v>1086</v>
      </c>
      <c r="D242" s="623" t="s">
        <v>861</v>
      </c>
      <c r="G242" s="614" t="s">
        <v>694</v>
      </c>
      <c r="H242" s="621" t="s">
        <v>739</v>
      </c>
      <c r="I242" s="621" t="s">
        <v>702</v>
      </c>
      <c r="J242" s="622">
        <v>42712</v>
      </c>
      <c r="K242" s="615">
        <v>1890</v>
      </c>
      <c r="L242" s="615">
        <v>756</v>
      </c>
      <c r="M242" s="615">
        <f t="shared" si="26"/>
        <v>1134</v>
      </c>
      <c r="N242" s="616">
        <f t="shared" si="23"/>
        <v>0.6</v>
      </c>
      <c r="O242" s="615">
        <f t="shared" si="24"/>
        <v>1323</v>
      </c>
      <c r="P242" s="615">
        <f t="shared" si="25"/>
        <v>1587.6</v>
      </c>
    </row>
    <row r="243" spans="1:16" x14ac:dyDescent="0.3">
      <c r="A243" s="614">
        <v>15</v>
      </c>
      <c r="B243" s="626" t="s">
        <v>1100</v>
      </c>
      <c r="C243" s="627" t="s">
        <v>1101</v>
      </c>
      <c r="D243" s="623" t="s">
        <v>766</v>
      </c>
      <c r="G243" s="614" t="s">
        <v>694</v>
      </c>
      <c r="H243" s="621" t="s">
        <v>739</v>
      </c>
      <c r="I243" s="621" t="s">
        <v>702</v>
      </c>
      <c r="J243" s="622">
        <v>41304</v>
      </c>
      <c r="K243" s="615">
        <v>525</v>
      </c>
      <c r="L243" s="615">
        <v>252</v>
      </c>
      <c r="M243" s="615">
        <f t="shared" si="26"/>
        <v>273</v>
      </c>
      <c r="N243" s="616">
        <f t="shared" si="23"/>
        <v>0.52</v>
      </c>
      <c r="O243" s="615">
        <f t="shared" si="24"/>
        <v>388.5</v>
      </c>
      <c r="P243" s="615">
        <f t="shared" si="25"/>
        <v>466.2</v>
      </c>
    </row>
    <row r="244" spans="1:16" x14ac:dyDescent="0.3">
      <c r="A244" s="614">
        <v>16</v>
      </c>
      <c r="B244" s="626" t="s">
        <v>1102</v>
      </c>
      <c r="C244" s="627" t="s">
        <v>1103</v>
      </c>
      <c r="D244" s="623" t="s">
        <v>712</v>
      </c>
      <c r="G244" s="614" t="s">
        <v>694</v>
      </c>
      <c r="H244" s="621" t="s">
        <v>714</v>
      </c>
      <c r="I244" s="621" t="s">
        <v>696</v>
      </c>
      <c r="J244" s="622">
        <v>41498</v>
      </c>
      <c r="K244" s="615">
        <v>28000</v>
      </c>
      <c r="L244" s="615">
        <v>28000</v>
      </c>
      <c r="M244" s="615">
        <f t="shared" si="26"/>
        <v>0</v>
      </c>
      <c r="N244" s="616">
        <f t="shared" si="23"/>
        <v>0</v>
      </c>
      <c r="O244" s="615">
        <f t="shared" si="24"/>
        <v>28000</v>
      </c>
      <c r="P244" s="615">
        <f t="shared" si="25"/>
        <v>33600</v>
      </c>
    </row>
    <row r="246" spans="1:16" x14ac:dyDescent="0.3">
      <c r="A246" s="617"/>
      <c r="B246" s="617"/>
      <c r="C246" s="617" t="s">
        <v>1104</v>
      </c>
      <c r="D246" s="617"/>
      <c r="E246" s="617"/>
      <c r="F246" s="617"/>
      <c r="G246" s="617"/>
      <c r="H246" s="2345" t="s">
        <v>674</v>
      </c>
      <c r="I246" s="2345" t="s">
        <v>675</v>
      </c>
      <c r="J246" s="2345" t="s">
        <v>676</v>
      </c>
      <c r="K246" s="2345" t="s">
        <v>677</v>
      </c>
      <c r="L246" s="2345" t="s">
        <v>678</v>
      </c>
      <c r="M246" s="2345" t="s">
        <v>679</v>
      </c>
      <c r="N246" s="2345" t="s">
        <v>680</v>
      </c>
      <c r="O246" s="2345" t="s">
        <v>681</v>
      </c>
      <c r="P246" s="2345" t="s">
        <v>682</v>
      </c>
    </row>
    <row r="247" spans="1:16" x14ac:dyDescent="0.3">
      <c r="A247" s="618" t="s">
        <v>683</v>
      </c>
      <c r="B247" s="618" t="s">
        <v>684</v>
      </c>
      <c r="C247" s="618" t="s">
        <v>685</v>
      </c>
      <c r="D247" s="618" t="s">
        <v>686</v>
      </c>
      <c r="E247" s="618"/>
      <c r="F247" s="618" t="s">
        <v>688</v>
      </c>
      <c r="G247" s="618" t="s">
        <v>689</v>
      </c>
      <c r="H247" s="2345"/>
      <c r="I247" s="2345"/>
      <c r="J247" s="2345"/>
      <c r="K247" s="2345"/>
      <c r="L247" s="2345"/>
      <c r="M247" s="2345"/>
      <c r="N247" s="2345"/>
      <c r="O247" s="2345"/>
      <c r="P247" s="2345"/>
    </row>
    <row r="248" spans="1:16" x14ac:dyDescent="0.3">
      <c r="A248" s="614">
        <v>1</v>
      </c>
      <c r="B248" s="626" t="s">
        <v>1105</v>
      </c>
      <c r="D248" s="623" t="s">
        <v>1106</v>
      </c>
      <c r="G248" s="614" t="s">
        <v>694</v>
      </c>
      <c r="H248" s="621" t="s">
        <v>928</v>
      </c>
      <c r="I248" s="621" t="s">
        <v>1107</v>
      </c>
      <c r="J248" s="622">
        <v>42926</v>
      </c>
      <c r="K248" s="615">
        <v>168000</v>
      </c>
      <c r="L248" s="615">
        <v>168000</v>
      </c>
      <c r="M248" s="615">
        <f t="shared" ref="M248:M260" si="27">K248-L248</f>
        <v>0</v>
      </c>
      <c r="N248" s="616">
        <f t="shared" ref="N248:N260" si="28">M248/K248</f>
        <v>0</v>
      </c>
      <c r="O248" s="615">
        <f t="shared" ref="O248:O260" si="29">AVERAGE(K248,L248)</f>
        <v>168000</v>
      </c>
      <c r="P248" s="615">
        <f t="shared" ref="P248:P260" si="30">O248*1.2</f>
        <v>201600</v>
      </c>
    </row>
    <row r="249" spans="1:16" x14ac:dyDescent="0.3">
      <c r="A249" s="614">
        <v>2</v>
      </c>
      <c r="B249" s="626" t="s">
        <v>1108</v>
      </c>
      <c r="D249" s="623" t="s">
        <v>1106</v>
      </c>
      <c r="G249" s="614" t="s">
        <v>694</v>
      </c>
      <c r="H249" s="621" t="s">
        <v>928</v>
      </c>
      <c r="I249" s="621" t="s">
        <v>1107</v>
      </c>
      <c r="J249" s="622">
        <v>43301</v>
      </c>
      <c r="K249" s="615">
        <v>168000</v>
      </c>
      <c r="L249" s="615">
        <v>154875</v>
      </c>
      <c r="M249" s="615">
        <f t="shared" si="27"/>
        <v>13125</v>
      </c>
      <c r="N249" s="616">
        <f t="shared" si="28"/>
        <v>7.8125E-2</v>
      </c>
      <c r="O249" s="615">
        <f t="shared" si="29"/>
        <v>161437.5</v>
      </c>
      <c r="P249" s="615">
        <f t="shared" si="30"/>
        <v>193725</v>
      </c>
    </row>
    <row r="250" spans="1:16" x14ac:dyDescent="0.3">
      <c r="A250" s="614">
        <v>3</v>
      </c>
      <c r="B250" s="626" t="s">
        <v>1109</v>
      </c>
      <c r="D250" s="623" t="s">
        <v>1106</v>
      </c>
      <c r="G250" s="614" t="s">
        <v>694</v>
      </c>
      <c r="H250" s="621" t="s">
        <v>928</v>
      </c>
      <c r="I250" s="621" t="s">
        <v>1107</v>
      </c>
      <c r="J250" s="622">
        <v>43130</v>
      </c>
      <c r="K250" s="615">
        <v>186000</v>
      </c>
      <c r="L250" s="615">
        <v>186000</v>
      </c>
      <c r="M250" s="615">
        <f t="shared" si="27"/>
        <v>0</v>
      </c>
      <c r="N250" s="616">
        <f t="shared" si="28"/>
        <v>0</v>
      </c>
      <c r="O250" s="615">
        <f t="shared" si="29"/>
        <v>186000</v>
      </c>
      <c r="P250" s="615">
        <f t="shared" si="30"/>
        <v>223200</v>
      </c>
    </row>
    <row r="251" spans="1:16" x14ac:dyDescent="0.3">
      <c r="A251" s="614">
        <v>4</v>
      </c>
      <c r="B251" s="626" t="s">
        <v>1110</v>
      </c>
      <c r="D251" s="623" t="s">
        <v>1106</v>
      </c>
      <c r="G251" s="614" t="s">
        <v>694</v>
      </c>
      <c r="H251" s="621" t="s">
        <v>928</v>
      </c>
      <c r="I251" s="621" t="s">
        <v>1107</v>
      </c>
      <c r="J251" s="622">
        <v>43175</v>
      </c>
      <c r="K251" s="615">
        <v>186000</v>
      </c>
      <c r="L251" s="615">
        <v>139986</v>
      </c>
      <c r="M251" s="615">
        <f t="shared" si="27"/>
        <v>46014</v>
      </c>
      <c r="N251" s="616">
        <f t="shared" si="28"/>
        <v>0.24738709677419354</v>
      </c>
      <c r="O251" s="615">
        <f t="shared" si="29"/>
        <v>162993</v>
      </c>
      <c r="P251" s="615">
        <f t="shared" si="30"/>
        <v>195591.6</v>
      </c>
    </row>
    <row r="252" spans="1:16" x14ac:dyDescent="0.3">
      <c r="A252" s="614">
        <v>5</v>
      </c>
      <c r="B252" s="626" t="s">
        <v>1111</v>
      </c>
      <c r="D252" s="623" t="s">
        <v>1106</v>
      </c>
      <c r="G252" s="614" t="s">
        <v>694</v>
      </c>
      <c r="H252" s="621" t="s">
        <v>928</v>
      </c>
      <c r="I252" s="621" t="s">
        <v>1107</v>
      </c>
      <c r="J252" s="622">
        <v>41551</v>
      </c>
      <c r="K252" s="615">
        <v>168000</v>
      </c>
      <c r="L252" s="615">
        <v>132888</v>
      </c>
      <c r="M252" s="615">
        <f t="shared" si="27"/>
        <v>35112</v>
      </c>
      <c r="N252" s="616">
        <f t="shared" si="28"/>
        <v>0.20899999999999999</v>
      </c>
      <c r="O252" s="615">
        <f t="shared" si="29"/>
        <v>150444</v>
      </c>
      <c r="P252" s="615">
        <f t="shared" si="30"/>
        <v>180532.8</v>
      </c>
    </row>
    <row r="253" spans="1:16" ht="30.75" customHeight="1" x14ac:dyDescent="0.3">
      <c r="A253" s="614">
        <v>6</v>
      </c>
      <c r="B253" s="626" t="s">
        <v>1112</v>
      </c>
      <c r="D253" s="623" t="s">
        <v>1113</v>
      </c>
      <c r="G253" s="614" t="s">
        <v>694</v>
      </c>
      <c r="H253" s="621" t="s">
        <v>928</v>
      </c>
      <c r="I253" s="621" t="s">
        <v>1114</v>
      </c>
      <c r="J253" s="622">
        <v>43381</v>
      </c>
      <c r="K253" s="615">
        <v>78000</v>
      </c>
      <c r="L253" s="615">
        <v>72996</v>
      </c>
      <c r="M253" s="615">
        <f t="shared" si="27"/>
        <v>5004</v>
      </c>
      <c r="N253" s="616">
        <f t="shared" si="28"/>
        <v>6.4153846153846159E-2</v>
      </c>
      <c r="O253" s="615">
        <f t="shared" si="29"/>
        <v>75498</v>
      </c>
      <c r="P253" s="615">
        <f t="shared" si="30"/>
        <v>90597.599999999991</v>
      </c>
    </row>
    <row r="254" spans="1:16" x14ac:dyDescent="0.3">
      <c r="A254" s="614">
        <v>7</v>
      </c>
      <c r="B254" s="626" t="s">
        <v>1115</v>
      </c>
      <c r="D254" s="623" t="s">
        <v>1113</v>
      </c>
      <c r="G254" s="614" t="s">
        <v>694</v>
      </c>
      <c r="H254" s="621" t="s">
        <v>928</v>
      </c>
      <c r="I254" s="621" t="s">
        <v>1114</v>
      </c>
      <c r="J254" s="622">
        <v>43381</v>
      </c>
      <c r="K254" s="615">
        <v>78000</v>
      </c>
      <c r="L254" s="615">
        <v>69489</v>
      </c>
      <c r="M254" s="615">
        <f t="shared" si="27"/>
        <v>8511</v>
      </c>
      <c r="N254" s="616">
        <f t="shared" si="28"/>
        <v>0.10911538461538461</v>
      </c>
      <c r="O254" s="615">
        <f t="shared" si="29"/>
        <v>73744.5</v>
      </c>
      <c r="P254" s="615">
        <f t="shared" si="30"/>
        <v>88493.4</v>
      </c>
    </row>
    <row r="255" spans="1:16" x14ac:dyDescent="0.3">
      <c r="A255" s="614">
        <v>8</v>
      </c>
      <c r="B255" s="626" t="s">
        <v>1116</v>
      </c>
      <c r="D255" s="623" t="s">
        <v>1113</v>
      </c>
      <c r="G255" s="614" t="s">
        <v>694</v>
      </c>
      <c r="H255" s="621" t="s">
        <v>928</v>
      </c>
      <c r="I255" s="621" t="s">
        <v>1114</v>
      </c>
      <c r="J255" s="622">
        <v>43381</v>
      </c>
      <c r="K255" s="615">
        <v>78000</v>
      </c>
      <c r="L255" s="615">
        <v>69489</v>
      </c>
      <c r="M255" s="615">
        <f t="shared" si="27"/>
        <v>8511</v>
      </c>
      <c r="N255" s="616">
        <f t="shared" si="28"/>
        <v>0.10911538461538461</v>
      </c>
      <c r="O255" s="615">
        <f t="shared" si="29"/>
        <v>73744.5</v>
      </c>
      <c r="P255" s="615">
        <f t="shared" si="30"/>
        <v>88493.4</v>
      </c>
    </row>
    <row r="256" spans="1:16" x14ac:dyDescent="0.3">
      <c r="A256" s="614">
        <v>9</v>
      </c>
      <c r="B256" s="626" t="s">
        <v>1117</v>
      </c>
      <c r="D256" s="623" t="s">
        <v>1118</v>
      </c>
      <c r="G256" s="614" t="s">
        <v>694</v>
      </c>
      <c r="H256" s="621" t="s">
        <v>928</v>
      </c>
      <c r="I256" s="621" t="s">
        <v>1107</v>
      </c>
      <c r="J256" s="622"/>
      <c r="K256" s="615">
        <v>156875</v>
      </c>
      <c r="L256" s="615">
        <v>156875</v>
      </c>
      <c r="M256" s="615">
        <f t="shared" si="27"/>
        <v>0</v>
      </c>
      <c r="N256" s="616">
        <f t="shared" si="28"/>
        <v>0</v>
      </c>
      <c r="O256" s="615">
        <f t="shared" si="29"/>
        <v>156875</v>
      </c>
      <c r="P256" s="615">
        <f t="shared" si="30"/>
        <v>188250</v>
      </c>
    </row>
    <row r="257" spans="1:16" x14ac:dyDescent="0.3">
      <c r="A257" s="614">
        <v>10</v>
      </c>
      <c r="B257" s="626" t="s">
        <v>1119</v>
      </c>
      <c r="D257" s="623" t="s">
        <v>1118</v>
      </c>
      <c r="G257" s="614" t="s">
        <v>694</v>
      </c>
      <c r="H257" s="621" t="s">
        <v>928</v>
      </c>
      <c r="I257" s="621" t="s">
        <v>1107</v>
      </c>
      <c r="J257" s="622"/>
      <c r="K257" s="615">
        <v>168000</v>
      </c>
      <c r="L257" s="615">
        <v>168000</v>
      </c>
      <c r="M257" s="615">
        <f t="shared" si="27"/>
        <v>0</v>
      </c>
      <c r="N257" s="616">
        <f t="shared" si="28"/>
        <v>0</v>
      </c>
      <c r="O257" s="615">
        <f t="shared" si="29"/>
        <v>168000</v>
      </c>
      <c r="P257" s="615">
        <f t="shared" si="30"/>
        <v>201600</v>
      </c>
    </row>
    <row r="258" spans="1:16" x14ac:dyDescent="0.3">
      <c r="A258" s="614">
        <v>11</v>
      </c>
      <c r="B258" s="626" t="s">
        <v>1120</v>
      </c>
      <c r="D258" s="623" t="s">
        <v>1118</v>
      </c>
      <c r="G258" s="614" t="s">
        <v>694</v>
      </c>
      <c r="H258" s="621" t="s">
        <v>928</v>
      </c>
      <c r="I258" s="621" t="s">
        <v>1107</v>
      </c>
      <c r="J258" s="622"/>
      <c r="K258" s="615">
        <v>168000</v>
      </c>
      <c r="L258" s="615">
        <v>168000</v>
      </c>
      <c r="M258" s="615">
        <f t="shared" si="27"/>
        <v>0</v>
      </c>
      <c r="N258" s="616">
        <f t="shared" si="28"/>
        <v>0</v>
      </c>
      <c r="O258" s="615">
        <f t="shared" si="29"/>
        <v>168000</v>
      </c>
      <c r="P258" s="615">
        <f t="shared" si="30"/>
        <v>201600</v>
      </c>
    </row>
    <row r="259" spans="1:16" x14ac:dyDescent="0.3">
      <c r="A259" s="614">
        <v>12</v>
      </c>
      <c r="B259" s="626" t="s">
        <v>1121</v>
      </c>
      <c r="D259" s="623" t="s">
        <v>1118</v>
      </c>
      <c r="G259" s="614" t="s">
        <v>694</v>
      </c>
      <c r="H259" s="621" t="s">
        <v>928</v>
      </c>
      <c r="I259" s="621" t="s">
        <v>1107</v>
      </c>
      <c r="J259" s="622"/>
      <c r="K259" s="615">
        <v>171450</v>
      </c>
      <c r="L259" s="615">
        <v>171450</v>
      </c>
      <c r="M259" s="615">
        <f t="shared" si="27"/>
        <v>0</v>
      </c>
      <c r="N259" s="616">
        <f t="shared" si="28"/>
        <v>0</v>
      </c>
      <c r="O259" s="615">
        <f t="shared" si="29"/>
        <v>171450</v>
      </c>
      <c r="P259" s="615">
        <f t="shared" si="30"/>
        <v>205740</v>
      </c>
    </row>
    <row r="260" spans="1:16" x14ac:dyDescent="0.3">
      <c r="A260" s="614">
        <v>13</v>
      </c>
      <c r="B260" s="626" t="s">
        <v>1122</v>
      </c>
      <c r="D260" s="623" t="s">
        <v>1118</v>
      </c>
      <c r="G260" s="614" t="s">
        <v>694</v>
      </c>
      <c r="H260" s="621" t="s">
        <v>928</v>
      </c>
      <c r="I260" s="621" t="s">
        <v>1107</v>
      </c>
      <c r="J260" s="622"/>
      <c r="K260" s="615">
        <v>168000</v>
      </c>
      <c r="L260" s="615">
        <v>144900</v>
      </c>
      <c r="M260" s="615">
        <f t="shared" si="27"/>
        <v>23100</v>
      </c>
      <c r="N260" s="616">
        <f t="shared" si="28"/>
        <v>0.13750000000000001</v>
      </c>
      <c r="O260" s="615">
        <f t="shared" si="29"/>
        <v>156450</v>
      </c>
      <c r="P260" s="615">
        <f t="shared" si="30"/>
        <v>187740</v>
      </c>
    </row>
    <row r="261" spans="1:16" x14ac:dyDescent="0.3">
      <c r="A261" s="614"/>
    </row>
    <row r="262" spans="1:16" x14ac:dyDescent="0.3">
      <c r="A262" s="617"/>
      <c r="B262" s="617"/>
      <c r="C262" s="617" t="s">
        <v>1123</v>
      </c>
      <c r="D262" s="617"/>
      <c r="E262" s="617"/>
      <c r="F262" s="617"/>
      <c r="G262" s="617"/>
      <c r="H262" s="2345" t="s">
        <v>674</v>
      </c>
      <c r="I262" s="2345" t="s">
        <v>675</v>
      </c>
      <c r="J262" s="2345" t="s">
        <v>676</v>
      </c>
      <c r="K262" s="2345" t="s">
        <v>677</v>
      </c>
      <c r="L262" s="2345" t="s">
        <v>678</v>
      </c>
      <c r="M262" s="2345" t="s">
        <v>679</v>
      </c>
      <c r="N262" s="2345" t="s">
        <v>680</v>
      </c>
      <c r="O262" s="2345" t="s">
        <v>681</v>
      </c>
      <c r="P262" s="2345" t="s">
        <v>682</v>
      </c>
    </row>
    <row r="263" spans="1:16" x14ac:dyDescent="0.3">
      <c r="A263" s="618" t="s">
        <v>683</v>
      </c>
      <c r="B263" s="618" t="s">
        <v>684</v>
      </c>
      <c r="C263" s="618" t="s">
        <v>685</v>
      </c>
      <c r="D263" s="618" t="s">
        <v>686</v>
      </c>
      <c r="E263" s="618"/>
      <c r="F263" s="618" t="s">
        <v>688</v>
      </c>
      <c r="G263" s="618" t="s">
        <v>689</v>
      </c>
      <c r="H263" s="2345"/>
      <c r="I263" s="2345"/>
      <c r="J263" s="2345"/>
      <c r="K263" s="2345"/>
      <c r="L263" s="2345"/>
      <c r="M263" s="2345"/>
      <c r="N263" s="2345"/>
      <c r="O263" s="2345"/>
      <c r="P263" s="2345"/>
    </row>
    <row r="264" spans="1:16" x14ac:dyDescent="0.3">
      <c r="A264" s="614">
        <v>1</v>
      </c>
      <c r="B264" s="626" t="s">
        <v>1124</v>
      </c>
      <c r="C264" s="627" t="s">
        <v>1125</v>
      </c>
      <c r="D264" s="623" t="s">
        <v>815</v>
      </c>
      <c r="G264" s="614" t="s">
        <v>694</v>
      </c>
      <c r="H264" s="621" t="s">
        <v>695</v>
      </c>
      <c r="I264" s="621" t="s">
        <v>696</v>
      </c>
      <c r="J264" s="622">
        <v>44103</v>
      </c>
      <c r="K264" s="615">
        <v>500000</v>
      </c>
      <c r="L264" s="615">
        <v>500000</v>
      </c>
      <c r="M264" s="615">
        <f t="shared" ref="M264:M303" si="31">K264-L264</f>
        <v>0</v>
      </c>
      <c r="N264" s="616">
        <f t="shared" ref="N264:N303" si="32">M264/K264</f>
        <v>0</v>
      </c>
      <c r="O264" s="615">
        <f t="shared" ref="O264:O303" si="33">AVERAGE(K264,L264)</f>
        <v>500000</v>
      </c>
      <c r="P264" s="615">
        <f t="shared" ref="P264:P303" si="34">O264*1.2</f>
        <v>600000</v>
      </c>
    </row>
    <row r="265" spans="1:16" x14ac:dyDescent="0.3">
      <c r="A265" s="614">
        <v>2</v>
      </c>
      <c r="B265" s="626" t="s">
        <v>1126</v>
      </c>
      <c r="C265" s="627" t="s">
        <v>1127</v>
      </c>
      <c r="D265" s="623" t="s">
        <v>815</v>
      </c>
      <c r="G265" s="614" t="s">
        <v>694</v>
      </c>
      <c r="H265" s="621" t="s">
        <v>695</v>
      </c>
      <c r="I265" s="621" t="s">
        <v>794</v>
      </c>
      <c r="J265" s="622">
        <v>44085</v>
      </c>
      <c r="K265" s="615">
        <v>21000</v>
      </c>
      <c r="L265" s="615">
        <v>21000</v>
      </c>
      <c r="M265" s="615">
        <f t="shared" si="31"/>
        <v>0</v>
      </c>
      <c r="N265" s="616">
        <f t="shared" si="32"/>
        <v>0</v>
      </c>
      <c r="O265" s="615">
        <f t="shared" si="33"/>
        <v>21000</v>
      </c>
      <c r="P265" s="615">
        <f t="shared" si="34"/>
        <v>25200</v>
      </c>
    </row>
    <row r="266" spans="1:16" x14ac:dyDescent="0.3">
      <c r="A266" s="614">
        <v>3</v>
      </c>
      <c r="B266" s="626" t="s">
        <v>1128</v>
      </c>
      <c r="C266" s="627" t="s">
        <v>1129</v>
      </c>
      <c r="D266" s="623" t="s">
        <v>1130</v>
      </c>
      <c r="G266" s="614" t="s">
        <v>694</v>
      </c>
      <c r="H266" s="621" t="s">
        <v>695</v>
      </c>
      <c r="I266" s="621" t="s">
        <v>696</v>
      </c>
      <c r="J266" s="622">
        <v>43545</v>
      </c>
      <c r="K266" s="615">
        <v>840000</v>
      </c>
      <c r="L266" s="615">
        <v>404985</v>
      </c>
      <c r="M266" s="615">
        <f t="shared" si="31"/>
        <v>435015</v>
      </c>
      <c r="N266" s="616">
        <f t="shared" si="32"/>
        <v>0.51787499999999997</v>
      </c>
      <c r="O266" s="615">
        <f t="shared" si="33"/>
        <v>622492.5</v>
      </c>
      <c r="P266" s="615">
        <f t="shared" si="34"/>
        <v>746991</v>
      </c>
    </row>
    <row r="267" spans="1:16" x14ac:dyDescent="0.3">
      <c r="A267" s="614">
        <v>4</v>
      </c>
      <c r="B267" s="626" t="s">
        <v>1131</v>
      </c>
      <c r="C267" s="627" t="s">
        <v>1132</v>
      </c>
      <c r="D267" s="623" t="s">
        <v>712</v>
      </c>
      <c r="G267" s="614" t="s">
        <v>694</v>
      </c>
      <c r="H267" s="621" t="s">
        <v>714</v>
      </c>
      <c r="I267" s="621" t="s">
        <v>696</v>
      </c>
      <c r="J267" s="622">
        <v>43545</v>
      </c>
      <c r="K267" s="615">
        <v>504000</v>
      </c>
      <c r="L267" s="615">
        <v>420000</v>
      </c>
      <c r="M267" s="615">
        <f t="shared" si="31"/>
        <v>84000</v>
      </c>
      <c r="N267" s="616">
        <f t="shared" si="32"/>
        <v>0.16666666666666666</v>
      </c>
      <c r="O267" s="615">
        <f t="shared" si="33"/>
        <v>462000</v>
      </c>
      <c r="P267" s="615">
        <f t="shared" si="34"/>
        <v>554400</v>
      </c>
    </row>
    <row r="268" spans="1:16" x14ac:dyDescent="0.3">
      <c r="A268" s="614">
        <v>5</v>
      </c>
      <c r="B268" s="626" t="s">
        <v>1133</v>
      </c>
      <c r="C268" s="627" t="s">
        <v>1134</v>
      </c>
      <c r="D268" s="623" t="s">
        <v>815</v>
      </c>
      <c r="G268" s="614" t="s">
        <v>694</v>
      </c>
      <c r="H268" s="621" t="s">
        <v>695</v>
      </c>
      <c r="I268" s="621" t="s">
        <v>696</v>
      </c>
      <c r="J268" s="622">
        <v>43545</v>
      </c>
      <c r="K268" s="615">
        <v>59850</v>
      </c>
      <c r="L268" s="615">
        <v>27489</v>
      </c>
      <c r="M268" s="615">
        <f t="shared" si="31"/>
        <v>32361</v>
      </c>
      <c r="N268" s="616">
        <f t="shared" si="32"/>
        <v>0.54070175438596491</v>
      </c>
      <c r="O268" s="615">
        <f t="shared" si="33"/>
        <v>43669.5</v>
      </c>
      <c r="P268" s="615">
        <f t="shared" si="34"/>
        <v>52403.4</v>
      </c>
    </row>
    <row r="269" spans="1:16" x14ac:dyDescent="0.3">
      <c r="A269" s="614">
        <v>6</v>
      </c>
      <c r="B269" s="626" t="s">
        <v>1135</v>
      </c>
      <c r="C269" s="627" t="s">
        <v>1134</v>
      </c>
      <c r="D269" s="623" t="s">
        <v>815</v>
      </c>
      <c r="G269" s="614" t="s">
        <v>694</v>
      </c>
      <c r="H269" s="621" t="s">
        <v>695</v>
      </c>
      <c r="I269" s="621" t="s">
        <v>696</v>
      </c>
      <c r="J269" s="622">
        <v>43545</v>
      </c>
      <c r="K269" s="615">
        <v>147000</v>
      </c>
      <c r="L269" s="615">
        <v>47901</v>
      </c>
      <c r="M269" s="615">
        <f t="shared" si="31"/>
        <v>99099</v>
      </c>
      <c r="N269" s="616">
        <f t="shared" si="32"/>
        <v>0.67414285714285715</v>
      </c>
      <c r="O269" s="615">
        <f t="shared" si="33"/>
        <v>97450.5</v>
      </c>
      <c r="P269" s="615">
        <f t="shared" si="34"/>
        <v>116940.59999999999</v>
      </c>
    </row>
    <row r="270" spans="1:16" x14ac:dyDescent="0.3">
      <c r="A270" s="614">
        <v>7</v>
      </c>
      <c r="B270" s="626" t="s">
        <v>1136</v>
      </c>
      <c r="C270" s="627" t="s">
        <v>1137</v>
      </c>
      <c r="D270" s="623" t="s">
        <v>1138</v>
      </c>
      <c r="G270" s="614" t="s">
        <v>694</v>
      </c>
      <c r="H270" s="621" t="s">
        <v>695</v>
      </c>
      <c r="I270" s="621" t="s">
        <v>696</v>
      </c>
      <c r="J270" s="622">
        <v>42881</v>
      </c>
      <c r="K270" s="615">
        <v>915000</v>
      </c>
      <c r="L270" s="615">
        <v>248850</v>
      </c>
      <c r="M270" s="615">
        <f t="shared" si="31"/>
        <v>666150</v>
      </c>
      <c r="N270" s="616">
        <f t="shared" si="32"/>
        <v>0.72803278688524586</v>
      </c>
      <c r="O270" s="615">
        <f t="shared" si="33"/>
        <v>581925</v>
      </c>
      <c r="P270" s="615">
        <f t="shared" si="34"/>
        <v>698310</v>
      </c>
    </row>
    <row r="271" spans="1:16" x14ac:dyDescent="0.3">
      <c r="A271" s="614">
        <v>8</v>
      </c>
      <c r="B271" s="626" t="s">
        <v>1139</v>
      </c>
      <c r="C271" s="627" t="s">
        <v>1137</v>
      </c>
      <c r="D271" s="623" t="s">
        <v>1138</v>
      </c>
      <c r="G271" s="614" t="s">
        <v>694</v>
      </c>
      <c r="H271" s="621" t="s">
        <v>695</v>
      </c>
      <c r="I271" s="621" t="s">
        <v>696</v>
      </c>
      <c r="J271" s="622">
        <v>42926</v>
      </c>
      <c r="K271" s="615">
        <v>609000</v>
      </c>
      <c r="L271" s="615">
        <v>243999</v>
      </c>
      <c r="M271" s="615">
        <f t="shared" si="31"/>
        <v>365001</v>
      </c>
      <c r="N271" s="616">
        <f t="shared" si="32"/>
        <v>0.59934482758620689</v>
      </c>
      <c r="O271" s="615">
        <f t="shared" si="33"/>
        <v>426499.5</v>
      </c>
      <c r="P271" s="615">
        <f t="shared" si="34"/>
        <v>511799.39999999997</v>
      </c>
    </row>
    <row r="272" spans="1:16" x14ac:dyDescent="0.3">
      <c r="A272" s="614">
        <v>9</v>
      </c>
      <c r="B272" s="626" t="s">
        <v>1140</v>
      </c>
      <c r="C272" s="627" t="s">
        <v>1141</v>
      </c>
      <c r="D272" s="623" t="s">
        <v>712</v>
      </c>
      <c r="G272" s="614" t="s">
        <v>694</v>
      </c>
      <c r="H272" s="621" t="s">
        <v>714</v>
      </c>
      <c r="I272" s="621" t="s">
        <v>696</v>
      </c>
      <c r="J272" s="622">
        <v>43301</v>
      </c>
      <c r="K272" s="615">
        <v>580000</v>
      </c>
      <c r="L272" s="615">
        <v>409500</v>
      </c>
      <c r="M272" s="615">
        <f t="shared" si="31"/>
        <v>170500</v>
      </c>
      <c r="N272" s="616">
        <f t="shared" si="32"/>
        <v>0.29396551724137931</v>
      </c>
      <c r="O272" s="615">
        <f t="shared" si="33"/>
        <v>494750</v>
      </c>
      <c r="P272" s="615">
        <f t="shared" si="34"/>
        <v>593700</v>
      </c>
    </row>
    <row r="273" spans="1:16" x14ac:dyDescent="0.3">
      <c r="A273" s="614">
        <v>10</v>
      </c>
      <c r="B273" s="626" t="s">
        <v>1142</v>
      </c>
      <c r="C273" s="627" t="s">
        <v>1129</v>
      </c>
      <c r="D273" s="623" t="s">
        <v>1130</v>
      </c>
      <c r="G273" s="614" t="s">
        <v>694</v>
      </c>
      <c r="H273" s="621" t="s">
        <v>695</v>
      </c>
      <c r="I273" s="621" t="s">
        <v>696</v>
      </c>
      <c r="J273" s="622">
        <v>43545</v>
      </c>
      <c r="K273" s="615">
        <v>350700</v>
      </c>
      <c r="L273" s="615">
        <v>328860</v>
      </c>
      <c r="M273" s="615">
        <f t="shared" si="31"/>
        <v>21840</v>
      </c>
      <c r="N273" s="616">
        <f t="shared" si="32"/>
        <v>6.2275449101796408E-2</v>
      </c>
      <c r="O273" s="615">
        <f t="shared" si="33"/>
        <v>339780</v>
      </c>
      <c r="P273" s="615">
        <f t="shared" si="34"/>
        <v>407736</v>
      </c>
    </row>
    <row r="274" spans="1:16" x14ac:dyDescent="0.3">
      <c r="A274" s="614">
        <v>11</v>
      </c>
      <c r="B274" s="626" t="s">
        <v>1143</v>
      </c>
      <c r="C274" s="627" t="s">
        <v>1144</v>
      </c>
      <c r="D274" s="623" t="s">
        <v>1130</v>
      </c>
      <c r="G274" s="614" t="s">
        <v>694</v>
      </c>
      <c r="H274" s="621" t="s">
        <v>695</v>
      </c>
      <c r="I274" s="621" t="s">
        <v>696</v>
      </c>
      <c r="J274" s="622">
        <v>43404</v>
      </c>
      <c r="K274" s="615">
        <v>85000</v>
      </c>
      <c r="L274" s="615">
        <v>78750</v>
      </c>
      <c r="M274" s="615">
        <f t="shared" si="31"/>
        <v>6250</v>
      </c>
      <c r="N274" s="616">
        <f t="shared" si="32"/>
        <v>7.3529411764705885E-2</v>
      </c>
      <c r="O274" s="615">
        <f t="shared" si="33"/>
        <v>81875</v>
      </c>
      <c r="P274" s="615">
        <f t="shared" si="34"/>
        <v>98250</v>
      </c>
    </row>
    <row r="275" spans="1:16" x14ac:dyDescent="0.3">
      <c r="A275" s="614">
        <v>12</v>
      </c>
      <c r="B275" s="626" t="s">
        <v>1145</v>
      </c>
      <c r="C275" s="627" t="s">
        <v>1146</v>
      </c>
      <c r="D275" s="623" t="s">
        <v>1138</v>
      </c>
      <c r="G275" s="614" t="s">
        <v>694</v>
      </c>
      <c r="H275" s="621" t="s">
        <v>695</v>
      </c>
      <c r="I275" s="621" t="s">
        <v>696</v>
      </c>
      <c r="J275" s="622">
        <v>42972</v>
      </c>
      <c r="K275" s="615">
        <v>1480000</v>
      </c>
      <c r="L275" s="615">
        <v>1470000</v>
      </c>
      <c r="M275" s="615">
        <f t="shared" si="31"/>
        <v>10000</v>
      </c>
      <c r="N275" s="616">
        <f t="shared" si="32"/>
        <v>6.7567567567567571E-3</v>
      </c>
      <c r="O275" s="615">
        <f t="shared" si="33"/>
        <v>1475000</v>
      </c>
      <c r="P275" s="615">
        <f t="shared" si="34"/>
        <v>1770000</v>
      </c>
    </row>
    <row r="276" spans="1:16" x14ac:dyDescent="0.3">
      <c r="A276" s="614">
        <v>13</v>
      </c>
      <c r="B276" s="626" t="s">
        <v>1147</v>
      </c>
      <c r="C276" s="627" t="s">
        <v>1146</v>
      </c>
      <c r="D276" s="623" t="s">
        <v>712</v>
      </c>
      <c r="G276" s="614" t="s">
        <v>694</v>
      </c>
      <c r="H276" s="621" t="s">
        <v>714</v>
      </c>
      <c r="I276" s="621" t="s">
        <v>696</v>
      </c>
      <c r="J276" s="622">
        <v>42926</v>
      </c>
      <c r="K276" s="615">
        <v>1250000</v>
      </c>
      <c r="L276" s="615">
        <v>1250000</v>
      </c>
      <c r="M276" s="615">
        <f t="shared" si="31"/>
        <v>0</v>
      </c>
      <c r="N276" s="616">
        <f t="shared" si="32"/>
        <v>0</v>
      </c>
      <c r="O276" s="615">
        <f t="shared" si="33"/>
        <v>1250000</v>
      </c>
      <c r="P276" s="615">
        <f t="shared" si="34"/>
        <v>1500000</v>
      </c>
    </row>
    <row r="277" spans="1:16" x14ac:dyDescent="0.3">
      <c r="A277" s="614">
        <v>14</v>
      </c>
      <c r="B277" s="626" t="s">
        <v>1148</v>
      </c>
      <c r="C277" s="627" t="s">
        <v>1149</v>
      </c>
      <c r="D277" s="623" t="s">
        <v>1130</v>
      </c>
      <c r="G277" s="614" t="s">
        <v>694</v>
      </c>
      <c r="H277" s="621" t="s">
        <v>695</v>
      </c>
      <c r="I277" s="621" t="s">
        <v>696</v>
      </c>
      <c r="J277" s="622">
        <v>43293</v>
      </c>
      <c r="K277" s="615">
        <v>525000</v>
      </c>
      <c r="L277" s="615">
        <v>313950</v>
      </c>
      <c r="M277" s="615">
        <f t="shared" si="31"/>
        <v>211050</v>
      </c>
      <c r="N277" s="616">
        <f t="shared" si="32"/>
        <v>0.40200000000000002</v>
      </c>
      <c r="O277" s="615">
        <f t="shared" si="33"/>
        <v>419475</v>
      </c>
      <c r="P277" s="615">
        <f t="shared" si="34"/>
        <v>503370</v>
      </c>
    </row>
    <row r="278" spans="1:16" x14ac:dyDescent="0.3">
      <c r="A278" s="614">
        <v>15</v>
      </c>
      <c r="B278" s="626" t="s">
        <v>1150</v>
      </c>
      <c r="C278" s="627" t="s">
        <v>1151</v>
      </c>
      <c r="D278" s="623" t="s">
        <v>1130</v>
      </c>
      <c r="G278" s="614" t="s">
        <v>694</v>
      </c>
      <c r="H278" s="621" t="s">
        <v>695</v>
      </c>
      <c r="I278" s="621" t="s">
        <v>696</v>
      </c>
      <c r="J278" s="622">
        <v>43082</v>
      </c>
      <c r="K278" s="615">
        <v>1260000</v>
      </c>
      <c r="L278" s="615">
        <v>779982</v>
      </c>
      <c r="M278" s="615">
        <f t="shared" si="31"/>
        <v>480018</v>
      </c>
      <c r="N278" s="616">
        <f t="shared" si="32"/>
        <v>0.38096666666666668</v>
      </c>
      <c r="O278" s="615">
        <f t="shared" si="33"/>
        <v>1019991</v>
      </c>
      <c r="P278" s="615">
        <f t="shared" si="34"/>
        <v>1223989.2</v>
      </c>
    </row>
    <row r="279" spans="1:16" x14ac:dyDescent="0.3">
      <c r="A279" s="614">
        <v>16</v>
      </c>
      <c r="B279" s="626" t="s">
        <v>1152</v>
      </c>
      <c r="C279" s="627" t="s">
        <v>1153</v>
      </c>
      <c r="D279" s="623" t="s">
        <v>815</v>
      </c>
      <c r="G279" s="614" t="s">
        <v>694</v>
      </c>
      <c r="H279" s="621" t="s">
        <v>695</v>
      </c>
      <c r="I279" s="621" t="s">
        <v>696</v>
      </c>
      <c r="J279" s="622">
        <v>43082</v>
      </c>
      <c r="K279" s="615">
        <v>140000</v>
      </c>
      <c r="L279" s="615">
        <v>128499</v>
      </c>
      <c r="M279" s="615">
        <f t="shared" si="31"/>
        <v>11501</v>
      </c>
      <c r="N279" s="616">
        <f t="shared" si="32"/>
        <v>8.2150000000000001E-2</v>
      </c>
      <c r="O279" s="615">
        <f t="shared" si="33"/>
        <v>134249.5</v>
      </c>
      <c r="P279" s="615">
        <f t="shared" si="34"/>
        <v>161099.4</v>
      </c>
    </row>
    <row r="280" spans="1:16" x14ac:dyDescent="0.3">
      <c r="A280" s="614">
        <v>17</v>
      </c>
      <c r="B280" s="626" t="s">
        <v>1154</v>
      </c>
      <c r="C280" s="627" t="s">
        <v>1155</v>
      </c>
      <c r="D280" s="623" t="s">
        <v>815</v>
      </c>
      <c r="G280" s="614" t="s">
        <v>694</v>
      </c>
      <c r="H280" s="621" t="s">
        <v>695</v>
      </c>
      <c r="I280" s="621" t="s">
        <v>696</v>
      </c>
      <c r="J280" s="622">
        <v>43259</v>
      </c>
      <c r="K280" s="615">
        <v>385000</v>
      </c>
      <c r="L280" s="615">
        <v>179886</v>
      </c>
      <c r="M280" s="615">
        <f t="shared" si="31"/>
        <v>205114</v>
      </c>
      <c r="N280" s="616">
        <f t="shared" si="32"/>
        <v>0.53276363636363633</v>
      </c>
      <c r="O280" s="615">
        <f t="shared" si="33"/>
        <v>282443</v>
      </c>
      <c r="P280" s="615">
        <f t="shared" si="34"/>
        <v>338931.6</v>
      </c>
    </row>
    <row r="281" spans="1:16" x14ac:dyDescent="0.3">
      <c r="A281" s="614">
        <v>18</v>
      </c>
      <c r="B281" s="626" t="s">
        <v>1156</v>
      </c>
      <c r="C281" s="627" t="s">
        <v>1155</v>
      </c>
      <c r="D281" s="623" t="s">
        <v>815</v>
      </c>
      <c r="G281" s="614" t="s">
        <v>694</v>
      </c>
      <c r="H281" s="621" t="s">
        <v>695</v>
      </c>
      <c r="I281" s="621" t="s">
        <v>696</v>
      </c>
      <c r="J281" s="622">
        <v>43013</v>
      </c>
      <c r="K281" s="615">
        <v>90000</v>
      </c>
      <c r="L281" s="615">
        <v>83580</v>
      </c>
      <c r="M281" s="615">
        <f t="shared" si="31"/>
        <v>6420</v>
      </c>
      <c r="N281" s="616">
        <f t="shared" si="32"/>
        <v>7.1333333333333332E-2</v>
      </c>
      <c r="O281" s="615">
        <f t="shared" si="33"/>
        <v>86790</v>
      </c>
      <c r="P281" s="615">
        <f t="shared" si="34"/>
        <v>104148</v>
      </c>
    </row>
    <row r="282" spans="1:16" x14ac:dyDescent="0.3">
      <c r="A282" s="614">
        <v>19</v>
      </c>
      <c r="B282" s="626" t="s">
        <v>1157</v>
      </c>
      <c r="C282" s="627" t="s">
        <v>1146</v>
      </c>
      <c r="D282" s="623" t="s">
        <v>1138</v>
      </c>
      <c r="G282" s="614" t="s">
        <v>694</v>
      </c>
      <c r="H282" s="621" t="s">
        <v>695</v>
      </c>
      <c r="I282" s="621" t="s">
        <v>696</v>
      </c>
      <c r="J282" s="622">
        <v>42871</v>
      </c>
      <c r="K282" s="615">
        <v>609000</v>
      </c>
      <c r="L282" s="615">
        <v>394000</v>
      </c>
      <c r="M282" s="615">
        <f t="shared" si="31"/>
        <v>215000</v>
      </c>
      <c r="N282" s="616">
        <f t="shared" si="32"/>
        <v>0.35303776683087029</v>
      </c>
      <c r="O282" s="615">
        <f t="shared" si="33"/>
        <v>501500</v>
      </c>
      <c r="P282" s="615">
        <f t="shared" si="34"/>
        <v>601800</v>
      </c>
    </row>
    <row r="283" spans="1:16" x14ac:dyDescent="0.3">
      <c r="A283" s="614">
        <v>20</v>
      </c>
      <c r="B283" s="626" t="s">
        <v>1158</v>
      </c>
      <c r="C283" s="627" t="s">
        <v>1159</v>
      </c>
      <c r="D283" s="623" t="s">
        <v>815</v>
      </c>
      <c r="G283" s="614" t="s">
        <v>694</v>
      </c>
      <c r="H283" s="621" t="s">
        <v>695</v>
      </c>
      <c r="I283" s="621" t="s">
        <v>696</v>
      </c>
      <c r="J283" s="622">
        <v>42871</v>
      </c>
      <c r="K283" s="615">
        <v>336000</v>
      </c>
      <c r="L283" s="615">
        <v>159978</v>
      </c>
      <c r="M283" s="615">
        <f t="shared" si="31"/>
        <v>176022</v>
      </c>
      <c r="N283" s="616">
        <f t="shared" si="32"/>
        <v>0.52387499999999998</v>
      </c>
      <c r="O283" s="615">
        <f t="shared" si="33"/>
        <v>247989</v>
      </c>
      <c r="P283" s="615">
        <f t="shared" si="34"/>
        <v>297586.8</v>
      </c>
    </row>
    <row r="284" spans="1:16" x14ac:dyDescent="0.3">
      <c r="A284" s="614">
        <v>21</v>
      </c>
      <c r="B284" s="626" t="s">
        <v>1160</v>
      </c>
      <c r="C284" s="627" t="s">
        <v>1159</v>
      </c>
      <c r="D284" s="623" t="s">
        <v>815</v>
      </c>
      <c r="G284" s="614" t="s">
        <v>694</v>
      </c>
      <c r="H284" s="621" t="s">
        <v>695</v>
      </c>
      <c r="I284" s="621" t="s">
        <v>696</v>
      </c>
      <c r="J284" s="622">
        <v>42871</v>
      </c>
      <c r="K284" s="615">
        <v>749994</v>
      </c>
      <c r="L284" s="615">
        <v>213990</v>
      </c>
      <c r="M284" s="615">
        <f t="shared" si="31"/>
        <v>536004</v>
      </c>
      <c r="N284" s="616">
        <f t="shared" si="32"/>
        <v>0.71467771742173936</v>
      </c>
      <c r="O284" s="615">
        <f t="shared" si="33"/>
        <v>481992</v>
      </c>
      <c r="P284" s="615">
        <f t="shared" si="34"/>
        <v>578390.4</v>
      </c>
    </row>
    <row r="285" spans="1:16" x14ac:dyDescent="0.3">
      <c r="A285" s="614">
        <v>22</v>
      </c>
      <c r="B285" s="626" t="s">
        <v>1161</v>
      </c>
      <c r="C285" s="627" t="s">
        <v>1162</v>
      </c>
      <c r="D285" s="623" t="s">
        <v>712</v>
      </c>
      <c r="G285" s="614" t="s">
        <v>694</v>
      </c>
      <c r="H285" s="621" t="s">
        <v>714</v>
      </c>
      <c r="I285" s="621" t="s">
        <v>696</v>
      </c>
      <c r="J285" s="622">
        <v>44323</v>
      </c>
      <c r="K285" s="615">
        <v>90000</v>
      </c>
      <c r="L285" s="615">
        <v>38997</v>
      </c>
      <c r="M285" s="615">
        <f t="shared" si="31"/>
        <v>51003</v>
      </c>
      <c r="N285" s="616">
        <f t="shared" si="32"/>
        <v>0.56669999999999998</v>
      </c>
      <c r="O285" s="615">
        <f t="shared" si="33"/>
        <v>64498.5</v>
      </c>
      <c r="P285" s="615">
        <f t="shared" si="34"/>
        <v>77398.2</v>
      </c>
    </row>
    <row r="286" spans="1:16" x14ac:dyDescent="0.3">
      <c r="A286" s="614">
        <v>23</v>
      </c>
      <c r="B286" s="626" t="s">
        <v>1163</v>
      </c>
      <c r="C286" s="627" t="s">
        <v>1162</v>
      </c>
      <c r="D286" s="623" t="s">
        <v>712</v>
      </c>
      <c r="G286" s="614" t="s">
        <v>694</v>
      </c>
      <c r="H286" s="621" t="s">
        <v>714</v>
      </c>
      <c r="I286" s="621" t="s">
        <v>696</v>
      </c>
      <c r="J286" s="622">
        <v>44386</v>
      </c>
      <c r="K286" s="615">
        <v>150150</v>
      </c>
      <c r="L286" s="615">
        <v>68796</v>
      </c>
      <c r="M286" s="615">
        <f t="shared" si="31"/>
        <v>81354</v>
      </c>
      <c r="N286" s="616">
        <f t="shared" si="32"/>
        <v>0.54181818181818187</v>
      </c>
      <c r="O286" s="615">
        <f t="shared" si="33"/>
        <v>109473</v>
      </c>
      <c r="P286" s="615">
        <f t="shared" si="34"/>
        <v>131367.6</v>
      </c>
    </row>
    <row r="287" spans="1:16" x14ac:dyDescent="0.3">
      <c r="A287" s="614">
        <v>24</v>
      </c>
      <c r="B287" s="626" t="s">
        <v>1164</v>
      </c>
      <c r="C287" s="627" t="s">
        <v>1165</v>
      </c>
      <c r="D287" s="623" t="s">
        <v>815</v>
      </c>
      <c r="G287" s="614" t="s">
        <v>694</v>
      </c>
      <c r="H287" s="621" t="s">
        <v>695</v>
      </c>
      <c r="I287" s="621" t="s">
        <v>696</v>
      </c>
      <c r="J287" s="622">
        <v>42871</v>
      </c>
      <c r="K287" s="615">
        <v>1260000</v>
      </c>
      <c r="L287" s="615">
        <v>754950</v>
      </c>
      <c r="M287" s="615">
        <f t="shared" si="31"/>
        <v>505050</v>
      </c>
      <c r="N287" s="616">
        <f t="shared" si="32"/>
        <v>0.40083333333333332</v>
      </c>
      <c r="O287" s="615">
        <f t="shared" si="33"/>
        <v>1007475</v>
      </c>
      <c r="P287" s="615">
        <f t="shared" si="34"/>
        <v>1208970</v>
      </c>
    </row>
    <row r="288" spans="1:16" x14ac:dyDescent="0.3">
      <c r="A288" s="614">
        <v>25</v>
      </c>
      <c r="B288" s="626" t="s">
        <v>1166</v>
      </c>
      <c r="C288" s="627" t="s">
        <v>1167</v>
      </c>
      <c r="D288" s="623" t="s">
        <v>815</v>
      </c>
      <c r="G288" s="614" t="s">
        <v>694</v>
      </c>
      <c r="H288" s="621" t="s">
        <v>695</v>
      </c>
      <c r="I288" s="621" t="s">
        <v>696</v>
      </c>
      <c r="J288" s="622">
        <v>43013</v>
      </c>
      <c r="K288" s="615">
        <v>76000</v>
      </c>
      <c r="L288" s="615">
        <v>65982</v>
      </c>
      <c r="M288" s="615">
        <f t="shared" si="31"/>
        <v>10018</v>
      </c>
      <c r="N288" s="616">
        <f t="shared" si="32"/>
        <v>0.13181578947368422</v>
      </c>
      <c r="O288" s="615">
        <f t="shared" si="33"/>
        <v>70991</v>
      </c>
      <c r="P288" s="615">
        <f t="shared" si="34"/>
        <v>85189.2</v>
      </c>
    </row>
    <row r="289" spans="1:16" x14ac:dyDescent="0.3">
      <c r="A289" s="614">
        <v>26</v>
      </c>
      <c r="B289" s="626" t="s">
        <v>1168</v>
      </c>
      <c r="C289" s="627" t="s">
        <v>1153</v>
      </c>
      <c r="D289" s="623" t="s">
        <v>815</v>
      </c>
      <c r="G289" s="614" t="s">
        <v>694</v>
      </c>
      <c r="H289" s="621" t="s">
        <v>695</v>
      </c>
      <c r="I289" s="621" t="s">
        <v>696</v>
      </c>
      <c r="J289" s="622">
        <v>43259</v>
      </c>
      <c r="K289" s="615">
        <v>380000</v>
      </c>
      <c r="L289" s="615">
        <v>378000</v>
      </c>
      <c r="M289" s="615">
        <f t="shared" si="31"/>
        <v>2000</v>
      </c>
      <c r="N289" s="616">
        <f t="shared" si="32"/>
        <v>5.263157894736842E-3</v>
      </c>
      <c r="O289" s="615">
        <f t="shared" si="33"/>
        <v>379000</v>
      </c>
      <c r="P289" s="615">
        <f t="shared" si="34"/>
        <v>454800</v>
      </c>
    </row>
    <row r="290" spans="1:16" x14ac:dyDescent="0.3">
      <c r="A290" s="614">
        <v>27</v>
      </c>
      <c r="B290" s="626" t="s">
        <v>1169</v>
      </c>
      <c r="C290" s="627" t="s">
        <v>1159</v>
      </c>
      <c r="D290" s="623" t="s">
        <v>815</v>
      </c>
      <c r="G290" s="614" t="s">
        <v>694</v>
      </c>
      <c r="H290" s="621" t="s">
        <v>695</v>
      </c>
      <c r="I290" s="621" t="s">
        <v>696</v>
      </c>
      <c r="J290" s="622">
        <v>42712</v>
      </c>
      <c r="K290" s="615">
        <v>3675000</v>
      </c>
      <c r="L290" s="615">
        <v>1680000</v>
      </c>
      <c r="M290" s="615">
        <f t="shared" si="31"/>
        <v>1995000</v>
      </c>
      <c r="N290" s="616">
        <f t="shared" si="32"/>
        <v>0.54285714285714282</v>
      </c>
      <c r="O290" s="615">
        <f t="shared" si="33"/>
        <v>2677500</v>
      </c>
      <c r="P290" s="615">
        <f t="shared" si="34"/>
        <v>3213000</v>
      </c>
    </row>
    <row r="291" spans="1:16" x14ac:dyDescent="0.3">
      <c r="A291" s="614">
        <v>28</v>
      </c>
      <c r="B291" s="626" t="s">
        <v>1170</v>
      </c>
      <c r="C291" s="627" t="s">
        <v>1159</v>
      </c>
      <c r="D291" s="623" t="s">
        <v>815</v>
      </c>
      <c r="G291" s="614" t="s">
        <v>694</v>
      </c>
      <c r="H291" s="621" t="s">
        <v>695</v>
      </c>
      <c r="I291" s="621" t="s">
        <v>696</v>
      </c>
      <c r="J291" s="622">
        <v>42926</v>
      </c>
      <c r="K291" s="615">
        <v>1890000</v>
      </c>
      <c r="L291" s="615">
        <v>1259937</v>
      </c>
      <c r="M291" s="615">
        <f t="shared" si="31"/>
        <v>630063</v>
      </c>
      <c r="N291" s="616">
        <f t="shared" si="32"/>
        <v>0.33336666666666664</v>
      </c>
      <c r="O291" s="615">
        <f t="shared" si="33"/>
        <v>1574968.5</v>
      </c>
      <c r="P291" s="615">
        <f t="shared" si="34"/>
        <v>1889962.2</v>
      </c>
    </row>
    <row r="292" spans="1:16" x14ac:dyDescent="0.3">
      <c r="A292" s="614">
        <v>29</v>
      </c>
      <c r="B292" s="626" t="s">
        <v>1171</v>
      </c>
      <c r="C292" s="627" t="s">
        <v>1159</v>
      </c>
      <c r="D292" s="623" t="s">
        <v>815</v>
      </c>
      <c r="G292" s="614" t="s">
        <v>694</v>
      </c>
      <c r="H292" s="621" t="s">
        <v>695</v>
      </c>
      <c r="I292" s="621" t="s">
        <v>696</v>
      </c>
      <c r="J292" s="622">
        <v>42712</v>
      </c>
      <c r="K292" s="615">
        <v>1979250</v>
      </c>
      <c r="L292" s="615">
        <v>577490</v>
      </c>
      <c r="M292" s="615">
        <f t="shared" si="31"/>
        <v>1401760</v>
      </c>
      <c r="N292" s="616">
        <f t="shared" si="32"/>
        <v>0.7082278640899331</v>
      </c>
      <c r="O292" s="615">
        <f t="shared" si="33"/>
        <v>1278370</v>
      </c>
      <c r="P292" s="615">
        <f t="shared" si="34"/>
        <v>1534044</v>
      </c>
    </row>
    <row r="293" spans="1:16" x14ac:dyDescent="0.3">
      <c r="A293" s="614">
        <v>30</v>
      </c>
      <c r="B293" s="626" t="s">
        <v>1172</v>
      </c>
      <c r="C293" s="627" t="s">
        <v>1173</v>
      </c>
      <c r="D293" s="623" t="s">
        <v>815</v>
      </c>
      <c r="G293" s="614" t="s">
        <v>694</v>
      </c>
      <c r="H293" s="621" t="s">
        <v>695</v>
      </c>
      <c r="I293" s="621" t="s">
        <v>696</v>
      </c>
      <c r="J293" s="622">
        <v>43013</v>
      </c>
      <c r="K293" s="615">
        <v>60000</v>
      </c>
      <c r="L293" s="615">
        <v>42000</v>
      </c>
      <c r="M293" s="615">
        <f t="shared" si="31"/>
        <v>18000</v>
      </c>
      <c r="N293" s="616">
        <f t="shared" si="32"/>
        <v>0.3</v>
      </c>
      <c r="O293" s="615">
        <f t="shared" si="33"/>
        <v>51000</v>
      </c>
      <c r="P293" s="615">
        <f t="shared" si="34"/>
        <v>61200</v>
      </c>
    </row>
    <row r="294" spans="1:16" x14ac:dyDescent="0.3">
      <c r="A294" s="614">
        <v>31</v>
      </c>
      <c r="B294" s="626" t="s">
        <v>1174</v>
      </c>
      <c r="C294" s="627" t="s">
        <v>1173</v>
      </c>
      <c r="D294" s="623" t="s">
        <v>815</v>
      </c>
      <c r="G294" s="614" t="s">
        <v>694</v>
      </c>
      <c r="H294" s="621" t="s">
        <v>695</v>
      </c>
      <c r="I294" s="621" t="s">
        <v>696</v>
      </c>
      <c r="J294" s="622">
        <v>42783</v>
      </c>
      <c r="K294" s="615">
        <v>36000</v>
      </c>
      <c r="L294" s="615">
        <v>26250</v>
      </c>
      <c r="M294" s="615">
        <f t="shared" si="31"/>
        <v>9750</v>
      </c>
      <c r="N294" s="616">
        <f t="shared" si="32"/>
        <v>0.27083333333333331</v>
      </c>
      <c r="O294" s="615">
        <f t="shared" si="33"/>
        <v>31125</v>
      </c>
      <c r="P294" s="615">
        <f t="shared" si="34"/>
        <v>37350</v>
      </c>
    </row>
    <row r="295" spans="1:16" x14ac:dyDescent="0.3">
      <c r="A295" s="614">
        <v>32</v>
      </c>
      <c r="B295" s="626" t="s">
        <v>1175</v>
      </c>
      <c r="C295" s="627" t="s">
        <v>1176</v>
      </c>
      <c r="D295" s="623" t="s">
        <v>815</v>
      </c>
      <c r="G295" s="614" t="s">
        <v>694</v>
      </c>
      <c r="H295" s="621" t="s">
        <v>695</v>
      </c>
      <c r="I295" s="621" t="s">
        <v>696</v>
      </c>
      <c r="J295" s="622">
        <v>42787</v>
      </c>
      <c r="K295" s="615">
        <v>120000</v>
      </c>
      <c r="L295" s="615">
        <v>83895</v>
      </c>
      <c r="M295" s="615">
        <f t="shared" si="31"/>
        <v>36105</v>
      </c>
      <c r="N295" s="616">
        <f t="shared" si="32"/>
        <v>0.300875</v>
      </c>
      <c r="O295" s="615">
        <f t="shared" si="33"/>
        <v>101947.5</v>
      </c>
      <c r="P295" s="615">
        <f t="shared" si="34"/>
        <v>122337</v>
      </c>
    </row>
    <row r="296" spans="1:16" x14ac:dyDescent="0.3">
      <c r="A296" s="614">
        <v>33</v>
      </c>
      <c r="B296" s="626" t="s">
        <v>1177</v>
      </c>
      <c r="C296" s="627" t="s">
        <v>1129</v>
      </c>
      <c r="D296" s="623" t="s">
        <v>1130</v>
      </c>
      <c r="G296" s="614" t="s">
        <v>694</v>
      </c>
      <c r="H296" s="621" t="s">
        <v>695</v>
      </c>
      <c r="I296" s="621" t="s">
        <v>696</v>
      </c>
      <c r="J296" s="622">
        <v>42486</v>
      </c>
      <c r="K296" s="615">
        <v>1050000</v>
      </c>
      <c r="L296" s="615">
        <v>630000</v>
      </c>
      <c r="M296" s="615">
        <f t="shared" si="31"/>
        <v>420000</v>
      </c>
      <c r="N296" s="616">
        <f t="shared" si="32"/>
        <v>0.4</v>
      </c>
      <c r="O296" s="615">
        <f t="shared" si="33"/>
        <v>840000</v>
      </c>
      <c r="P296" s="615">
        <f t="shared" si="34"/>
        <v>1008000</v>
      </c>
    </row>
    <row r="297" spans="1:16" x14ac:dyDescent="0.3">
      <c r="A297" s="614">
        <v>34</v>
      </c>
      <c r="B297" s="626" t="s">
        <v>1178</v>
      </c>
      <c r="C297" s="627" t="s">
        <v>1179</v>
      </c>
      <c r="D297" s="623" t="s">
        <v>712</v>
      </c>
      <c r="G297" s="614" t="s">
        <v>694</v>
      </c>
      <c r="H297" s="621" t="s">
        <v>714</v>
      </c>
      <c r="I297" s="621" t="s">
        <v>696</v>
      </c>
      <c r="J297" s="622">
        <v>42514</v>
      </c>
      <c r="K297" s="615">
        <v>420000</v>
      </c>
      <c r="L297" s="615">
        <v>420000</v>
      </c>
      <c r="M297" s="615">
        <f t="shared" si="31"/>
        <v>0</v>
      </c>
      <c r="N297" s="616">
        <f t="shared" si="32"/>
        <v>0</v>
      </c>
      <c r="O297" s="615">
        <f t="shared" si="33"/>
        <v>420000</v>
      </c>
      <c r="P297" s="615">
        <f t="shared" si="34"/>
        <v>504000</v>
      </c>
    </row>
    <row r="298" spans="1:16" x14ac:dyDescent="0.3">
      <c r="A298" s="614">
        <v>35</v>
      </c>
      <c r="B298" s="626" t="s">
        <v>1180</v>
      </c>
      <c r="C298" s="627" t="s">
        <v>1179</v>
      </c>
      <c r="D298" s="623" t="s">
        <v>712</v>
      </c>
      <c r="G298" s="614" t="s">
        <v>694</v>
      </c>
      <c r="H298" s="621" t="s">
        <v>714</v>
      </c>
      <c r="I298" s="621" t="s">
        <v>696</v>
      </c>
      <c r="J298" s="622">
        <v>41842</v>
      </c>
      <c r="K298" s="615">
        <v>1450000</v>
      </c>
      <c r="L298" s="615">
        <v>1450000</v>
      </c>
      <c r="M298" s="615">
        <f t="shared" si="31"/>
        <v>0</v>
      </c>
      <c r="N298" s="616">
        <f t="shared" si="32"/>
        <v>0</v>
      </c>
      <c r="O298" s="615">
        <f t="shared" si="33"/>
        <v>1450000</v>
      </c>
      <c r="P298" s="615">
        <f t="shared" si="34"/>
        <v>1740000</v>
      </c>
    </row>
    <row r="299" spans="1:16" x14ac:dyDescent="0.3">
      <c r="A299" s="614">
        <v>36</v>
      </c>
      <c r="B299" s="626" t="s">
        <v>1181</v>
      </c>
      <c r="C299" s="627" t="s">
        <v>1182</v>
      </c>
      <c r="D299" s="623" t="s">
        <v>1130</v>
      </c>
      <c r="G299" s="614" t="s">
        <v>694</v>
      </c>
      <c r="H299" s="621" t="s">
        <v>695</v>
      </c>
      <c r="I299" s="621" t="s">
        <v>696</v>
      </c>
      <c r="J299" s="622">
        <v>41960</v>
      </c>
      <c r="K299" s="615">
        <v>190000</v>
      </c>
      <c r="L299" s="615">
        <v>115395</v>
      </c>
      <c r="M299" s="615">
        <f t="shared" si="31"/>
        <v>74605</v>
      </c>
      <c r="N299" s="616">
        <f t="shared" si="32"/>
        <v>0.39265789473684209</v>
      </c>
      <c r="O299" s="615">
        <f t="shared" si="33"/>
        <v>152697.5</v>
      </c>
      <c r="P299" s="615">
        <f t="shared" si="34"/>
        <v>183237</v>
      </c>
    </row>
    <row r="300" spans="1:16" x14ac:dyDescent="0.3">
      <c r="A300" s="614">
        <v>37</v>
      </c>
      <c r="B300" s="626" t="s">
        <v>1183</v>
      </c>
      <c r="C300" s="627" t="s">
        <v>1184</v>
      </c>
      <c r="D300" s="623" t="s">
        <v>712</v>
      </c>
      <c r="G300" s="614" t="s">
        <v>694</v>
      </c>
      <c r="H300" s="621" t="s">
        <v>714</v>
      </c>
      <c r="I300" s="621" t="s">
        <v>696</v>
      </c>
      <c r="J300" s="622">
        <v>42395</v>
      </c>
      <c r="K300" s="615">
        <v>2310000</v>
      </c>
      <c r="L300" s="615">
        <v>1848000</v>
      </c>
      <c r="M300" s="615">
        <f t="shared" si="31"/>
        <v>462000</v>
      </c>
      <c r="N300" s="616">
        <f t="shared" si="32"/>
        <v>0.2</v>
      </c>
      <c r="O300" s="615">
        <f t="shared" si="33"/>
        <v>2079000</v>
      </c>
      <c r="P300" s="615">
        <f t="shared" si="34"/>
        <v>2494800</v>
      </c>
    </row>
    <row r="301" spans="1:16" x14ac:dyDescent="0.3">
      <c r="A301" s="614">
        <v>38</v>
      </c>
      <c r="B301" s="626" t="s">
        <v>1185</v>
      </c>
      <c r="C301" s="627" t="s">
        <v>1186</v>
      </c>
      <c r="D301" s="623" t="s">
        <v>815</v>
      </c>
      <c r="G301" s="614" t="s">
        <v>694</v>
      </c>
      <c r="H301" s="621" t="s">
        <v>695</v>
      </c>
      <c r="I301" s="621" t="s">
        <v>696</v>
      </c>
      <c r="J301" s="622">
        <v>41960</v>
      </c>
      <c r="K301" s="615">
        <v>336000</v>
      </c>
      <c r="L301" s="615">
        <v>259980</v>
      </c>
      <c r="M301" s="615">
        <f t="shared" si="31"/>
        <v>76020</v>
      </c>
      <c r="N301" s="616">
        <f t="shared" si="32"/>
        <v>0.22625000000000001</v>
      </c>
      <c r="O301" s="615">
        <f t="shared" si="33"/>
        <v>297990</v>
      </c>
      <c r="P301" s="615">
        <f t="shared" si="34"/>
        <v>357588</v>
      </c>
    </row>
    <row r="302" spans="1:16" x14ac:dyDescent="0.3">
      <c r="A302" s="614">
        <v>39</v>
      </c>
      <c r="B302" s="626" t="s">
        <v>1187</v>
      </c>
      <c r="C302" s="627" t="s">
        <v>1186</v>
      </c>
      <c r="D302" s="623" t="s">
        <v>815</v>
      </c>
      <c r="G302" s="614" t="s">
        <v>694</v>
      </c>
      <c r="H302" s="621" t="s">
        <v>695</v>
      </c>
      <c r="I302" s="621" t="s">
        <v>696</v>
      </c>
      <c r="J302" s="622">
        <v>42514</v>
      </c>
      <c r="K302" s="615">
        <v>168000</v>
      </c>
      <c r="L302" s="615">
        <v>133980</v>
      </c>
      <c r="M302" s="615">
        <f t="shared" si="31"/>
        <v>34020</v>
      </c>
      <c r="N302" s="616">
        <f t="shared" si="32"/>
        <v>0.20250000000000001</v>
      </c>
      <c r="O302" s="615">
        <f t="shared" si="33"/>
        <v>150990</v>
      </c>
      <c r="P302" s="615">
        <f t="shared" si="34"/>
        <v>181188</v>
      </c>
    </row>
    <row r="303" spans="1:16" x14ac:dyDescent="0.3">
      <c r="A303" s="614">
        <v>40</v>
      </c>
      <c r="B303" s="626" t="s">
        <v>1188</v>
      </c>
      <c r="C303" s="627" t="s">
        <v>1189</v>
      </c>
      <c r="D303" s="623" t="s">
        <v>1130</v>
      </c>
      <c r="G303" s="614" t="s">
        <v>694</v>
      </c>
      <c r="H303" s="621" t="s">
        <v>695</v>
      </c>
      <c r="I303" s="621" t="s">
        <v>696</v>
      </c>
      <c r="J303" s="622">
        <v>43209</v>
      </c>
      <c r="K303" s="615">
        <v>606375</v>
      </c>
      <c r="L303" s="615">
        <v>383250</v>
      </c>
      <c r="M303" s="615">
        <f t="shared" si="31"/>
        <v>223125</v>
      </c>
      <c r="N303" s="616">
        <f t="shared" si="32"/>
        <v>0.36796536796536794</v>
      </c>
      <c r="O303" s="615">
        <f t="shared" si="33"/>
        <v>494812.5</v>
      </c>
      <c r="P303" s="615">
        <f t="shared" si="34"/>
        <v>593775</v>
      </c>
    </row>
    <row r="307" spans="2:5" x14ac:dyDescent="0.3">
      <c r="B307" s="8" t="s">
        <v>1190</v>
      </c>
      <c r="C307" s="8">
        <f>COUNTIF(G5:G303,"x")</f>
        <v>198</v>
      </c>
      <c r="D307" s="8" t="s">
        <v>1191</v>
      </c>
      <c r="E307" s="8" t="s">
        <v>1192</v>
      </c>
    </row>
    <row r="308" spans="2:5" x14ac:dyDescent="0.3">
      <c r="B308" s="8" t="s">
        <v>1193</v>
      </c>
      <c r="C308" s="8">
        <f>COUNTIFS(D5:D303,"*Rắn",G5:G303,"x")</f>
        <v>82</v>
      </c>
      <c r="D308" s="632">
        <f>C308/C307</f>
        <v>0.41414141414141414</v>
      </c>
      <c r="E308" s="633">
        <f>C308/(C308+C309)</f>
        <v>0.41836734693877553</v>
      </c>
    </row>
    <row r="309" spans="2:5" x14ac:dyDescent="0.3">
      <c r="B309" s="8" t="s">
        <v>1194</v>
      </c>
      <c r="C309" s="8">
        <f>COUNTIFS(D5:D303,"*Lỏng",G5:G303,"x")</f>
        <v>114</v>
      </c>
      <c r="D309" s="632">
        <f>C309/C307</f>
        <v>0.5757575757575758</v>
      </c>
      <c r="E309" s="633">
        <f>C309/(C308+C309)</f>
        <v>0.58163265306122447</v>
      </c>
    </row>
    <row r="310" spans="2:5" x14ac:dyDescent="0.3">
      <c r="B310" s="8" t="s">
        <v>1195</v>
      </c>
      <c r="C310" s="8">
        <f>COUNTIFS(D5:D303,"*Mỡ",G5:G303,"x")</f>
        <v>2</v>
      </c>
      <c r="D310" s="632">
        <f>C310/C307</f>
        <v>1.0101010101010102E-2</v>
      </c>
      <c r="E310" s="8"/>
    </row>
    <row r="312" spans="2:5" x14ac:dyDescent="0.3">
      <c r="B312" s="8" t="s">
        <v>1196</v>
      </c>
      <c r="C312" s="8">
        <f>COUNTA(B5:B63)</f>
        <v>59</v>
      </c>
      <c r="D312" s="8" t="s">
        <v>1197</v>
      </c>
      <c r="E312" s="8" t="s">
        <v>1198</v>
      </c>
    </row>
    <row r="313" spans="2:5" x14ac:dyDescent="0.3">
      <c r="B313" s="8" t="s">
        <v>1199</v>
      </c>
      <c r="C313" s="8">
        <f>COUNTIFS($E$5:$E$63,"Cephalosporins*",$D$5:$D$63,"*Lỏng")</f>
        <v>15</v>
      </c>
      <c r="D313" s="8">
        <v>7.5</v>
      </c>
      <c r="E313" s="633">
        <f>AVERAGE((C313/(C313+C314)),(D313/(D313+D314)))</f>
        <v>0.50979262672811054</v>
      </c>
    </row>
    <row r="314" spans="2:5" x14ac:dyDescent="0.3">
      <c r="B314" s="8" t="s">
        <v>1200</v>
      </c>
      <c r="C314" s="8">
        <f>COUNTIFS($E$5:$E$63,"Cephalosporins*",$D$5:$D$63,"*Rắn")</f>
        <v>13</v>
      </c>
      <c r="D314" s="8">
        <v>8</v>
      </c>
      <c r="E314" s="633">
        <f>AVERAGE((C314/(C314+C313)),(D314/(D314+D313)))</f>
        <v>0.4902073732718894</v>
      </c>
    </row>
    <row r="315" spans="2:5" x14ac:dyDescent="0.3">
      <c r="B315" s="8" t="s">
        <v>1201</v>
      </c>
      <c r="C315" s="8">
        <f>COUNTIFS($E$5:$E$63,"Penicillins*",$D$5:$D$63,"*Lỏng")</f>
        <v>7</v>
      </c>
      <c r="D315" s="2346">
        <v>3.5</v>
      </c>
      <c r="E315" s="633">
        <f>C315/(C315+C316)</f>
        <v>0.63636363636363635</v>
      </c>
    </row>
    <row r="316" spans="2:5" x14ac:dyDescent="0.3">
      <c r="B316" s="8" t="s">
        <v>1202</v>
      </c>
      <c r="C316" s="8">
        <f>COUNTIFS($E$5:$E$63,"Penicillins*",$D$5:$D$63,"*Rắn")</f>
        <v>4</v>
      </c>
      <c r="D316" s="2346"/>
      <c r="E316" s="633">
        <f>C316/(C316+C315)</f>
        <v>0.36363636363636365</v>
      </c>
    </row>
    <row r="317" spans="2:5" x14ac:dyDescent="0.3">
      <c r="D317" s="634"/>
      <c r="E317" s="635"/>
    </row>
    <row r="318" spans="2:5" x14ac:dyDescent="0.3">
      <c r="B318" s="8"/>
      <c r="C318" s="8" t="s">
        <v>1203</v>
      </c>
      <c r="D318" s="8" t="s">
        <v>1204</v>
      </c>
      <c r="E318" s="8"/>
    </row>
    <row r="319" spans="2:5" x14ac:dyDescent="0.3">
      <c r="B319" s="8" t="s">
        <v>1205</v>
      </c>
      <c r="C319" s="636">
        <f>AVERAGE(P5:P63)</f>
        <v>26712.28474576271</v>
      </c>
      <c r="D319" s="636">
        <f>AVERAGE(O5:O63)</f>
        <v>22260.237288135595</v>
      </c>
      <c r="E319" s="8">
        <f>C319/D319</f>
        <v>1.1999999999999997</v>
      </c>
    </row>
    <row r="320" spans="2:5" x14ac:dyDescent="0.3">
      <c r="B320" s="8" t="s">
        <v>1206</v>
      </c>
      <c r="C320" s="636">
        <f>AVERAGE(P67:P68)</f>
        <v>6129.9</v>
      </c>
      <c r="D320" s="636">
        <f>AVERAGE(O67:O68)</f>
        <v>5108.25</v>
      </c>
      <c r="E320" s="8">
        <f>C320/D320</f>
        <v>1.2</v>
      </c>
    </row>
    <row r="321" spans="2:5" x14ac:dyDescent="0.3">
      <c r="B321" s="8" t="s">
        <v>1207</v>
      </c>
      <c r="C321" s="636">
        <f>AVERAGE(P72:P89)</f>
        <v>3895.7666666666669</v>
      </c>
      <c r="D321" s="636">
        <f>AVERAGE(O72:O89)</f>
        <v>3246.4722222222222</v>
      </c>
      <c r="E321" s="8">
        <f t="shared" ref="E321:E338" si="35">C321/D321</f>
        <v>1.2000000000000002</v>
      </c>
    </row>
    <row r="322" spans="2:5" x14ac:dyDescent="0.3">
      <c r="B322" s="8" t="s">
        <v>1208</v>
      </c>
      <c r="C322" s="636">
        <f>AVERAGE(P93:P97)</f>
        <v>28657.8</v>
      </c>
      <c r="D322" s="636">
        <f>AVERAGE(O93:O97)</f>
        <v>23881.5</v>
      </c>
      <c r="E322" s="8">
        <f t="shared" si="35"/>
        <v>1.2</v>
      </c>
    </row>
    <row r="323" spans="2:5" x14ac:dyDescent="0.3">
      <c r="B323" s="8" t="s">
        <v>1209</v>
      </c>
      <c r="C323" s="636">
        <f>AVERAGE(P101:P119)</f>
        <v>12641.273684210528</v>
      </c>
      <c r="D323" s="636">
        <f>AVERAGE(O101:O119)</f>
        <v>10534.394736842105</v>
      </c>
      <c r="E323" s="8">
        <f t="shared" si="35"/>
        <v>1.2000000000000002</v>
      </c>
    </row>
    <row r="324" spans="2:5" x14ac:dyDescent="0.3">
      <c r="B324" s="8" t="s">
        <v>1210</v>
      </c>
      <c r="C324" s="636">
        <f>AVERAGE(P123:P127)</f>
        <v>15978.960000000001</v>
      </c>
      <c r="D324" s="636">
        <f>AVERAGE(O123:O127)</f>
        <v>13315.8</v>
      </c>
      <c r="E324" s="8">
        <f t="shared" si="35"/>
        <v>1.2000000000000002</v>
      </c>
    </row>
    <row r="325" spans="2:5" x14ac:dyDescent="0.3">
      <c r="B325" s="8" t="s">
        <v>1211</v>
      </c>
      <c r="C325" s="636">
        <f>AVERAGE(P131:P135)</f>
        <v>1390.92</v>
      </c>
      <c r="D325" s="636">
        <f>AVERAGE(O131:O135)</f>
        <v>1159.0999999999999</v>
      </c>
      <c r="E325" s="8">
        <f t="shared" si="35"/>
        <v>1.2000000000000002</v>
      </c>
    </row>
    <row r="326" spans="2:5" x14ac:dyDescent="0.3">
      <c r="B326" s="8" t="s">
        <v>1212</v>
      </c>
      <c r="C326" s="636">
        <f>AVERAGE(P139:P143)</f>
        <v>4436.7599999999993</v>
      </c>
      <c r="D326" s="636">
        <f>AVERAGE(O139:O143)</f>
        <v>3697.3</v>
      </c>
      <c r="E326" s="8">
        <f t="shared" si="35"/>
        <v>1.1999999999999997</v>
      </c>
    </row>
    <row r="327" spans="2:5" x14ac:dyDescent="0.3">
      <c r="B327" s="8" t="s">
        <v>1213</v>
      </c>
      <c r="C327" s="636">
        <f>AVERAGE(P147:P167)</f>
        <v>36213.942857142858</v>
      </c>
      <c r="D327" s="636">
        <f>AVERAGE(O147:O167)</f>
        <v>30178.285714285714</v>
      </c>
      <c r="E327" s="8">
        <f t="shared" si="35"/>
        <v>1.2</v>
      </c>
    </row>
    <row r="328" spans="2:5" x14ac:dyDescent="0.3">
      <c r="B328" s="8" t="s">
        <v>1214</v>
      </c>
      <c r="C328" s="636">
        <f>AVERAGE(P171:P173)</f>
        <v>3011</v>
      </c>
      <c r="D328" s="636">
        <f>AVERAGE(O171:O173)</f>
        <v>2509.1666666666665</v>
      </c>
      <c r="E328" s="8">
        <f t="shared" si="35"/>
        <v>1.2000000000000002</v>
      </c>
    </row>
    <row r="329" spans="2:5" x14ac:dyDescent="0.3">
      <c r="B329" s="8" t="s">
        <v>1215</v>
      </c>
      <c r="C329" s="636">
        <f>AVERAGE(P177:P179)</f>
        <v>1215.3999999999999</v>
      </c>
      <c r="D329" s="636">
        <f>AVERAGE(O177:O179)</f>
        <v>1012.8333333333334</v>
      </c>
      <c r="E329" s="8">
        <f t="shared" si="35"/>
        <v>1.1999999999999997</v>
      </c>
    </row>
    <row r="330" spans="2:5" x14ac:dyDescent="0.3">
      <c r="B330" s="8" t="s">
        <v>1216</v>
      </c>
      <c r="C330" s="636">
        <f>AVERAGE(P183:P191)</f>
        <v>5562.8666666666659</v>
      </c>
      <c r="D330" s="636">
        <f>AVERAGE(O183:O191)</f>
        <v>4635.7222222222226</v>
      </c>
      <c r="E330" s="8">
        <f t="shared" si="35"/>
        <v>1.1999999999999997</v>
      </c>
    </row>
    <row r="331" spans="2:5" x14ac:dyDescent="0.3">
      <c r="B331" s="8" t="s">
        <v>1217</v>
      </c>
      <c r="C331" s="636">
        <f>AVERAGE(P196:P205)</f>
        <v>17422.259999999998</v>
      </c>
      <c r="D331" s="636">
        <f>AVERAGE(O196:O205)</f>
        <v>14518.55</v>
      </c>
      <c r="E331" s="8">
        <f t="shared" si="35"/>
        <v>1.2</v>
      </c>
    </row>
    <row r="332" spans="2:5" x14ac:dyDescent="0.3">
      <c r="B332" s="8" t="s">
        <v>1218</v>
      </c>
      <c r="C332" s="636">
        <f>AVERAGE(P209:P210)</f>
        <v>54282</v>
      </c>
      <c r="D332" s="636">
        <f>AVERAGE(O209:O210)</f>
        <v>45235</v>
      </c>
      <c r="E332" s="8">
        <f t="shared" si="35"/>
        <v>1.2</v>
      </c>
    </row>
    <row r="333" spans="2:5" x14ac:dyDescent="0.3">
      <c r="B333" s="8" t="s">
        <v>1219</v>
      </c>
      <c r="C333" s="636">
        <f>AVERAGE(P214:P220)</f>
        <v>15619.714285714286</v>
      </c>
      <c r="D333" s="636">
        <f>AVERAGE(O214:O220)</f>
        <v>13016.428571428571</v>
      </c>
      <c r="E333" s="8">
        <f t="shared" si="35"/>
        <v>1.2000000000000002</v>
      </c>
    </row>
    <row r="334" spans="2:5" x14ac:dyDescent="0.3">
      <c r="B334" s="8" t="s">
        <v>1220</v>
      </c>
      <c r="C334" s="636">
        <f>AVERAGE(P224:P225)</f>
        <v>8631</v>
      </c>
      <c r="D334" s="636">
        <f>AVERAGE(O224:O225)</f>
        <v>7192.5</v>
      </c>
      <c r="E334" s="8">
        <f t="shared" si="35"/>
        <v>1.2</v>
      </c>
    </row>
    <row r="335" spans="2:5" x14ac:dyDescent="0.3">
      <c r="B335" s="8" t="s">
        <v>1221</v>
      </c>
      <c r="C335" s="636">
        <f>AVERAGE(P229:P244)</f>
        <v>6412.8</v>
      </c>
      <c r="D335" s="636">
        <f>AVERAGE(O229:O244)</f>
        <v>5344</v>
      </c>
      <c r="E335" s="8">
        <f t="shared" si="35"/>
        <v>1.2</v>
      </c>
    </row>
    <row r="336" spans="2:5" x14ac:dyDescent="0.3">
      <c r="B336" s="8" t="s">
        <v>1222</v>
      </c>
      <c r="C336" s="636">
        <f>AVERAGE(P248:P260)</f>
        <v>172858.75384615382</v>
      </c>
      <c r="D336" s="636">
        <f>AVERAGE(O248:O260)</f>
        <v>144048.96153846153</v>
      </c>
      <c r="E336" s="8">
        <f t="shared" si="35"/>
        <v>1.2</v>
      </c>
    </row>
    <row r="337" spans="2:5" x14ac:dyDescent="0.3">
      <c r="B337" s="8" t="s">
        <v>1223</v>
      </c>
      <c r="C337" s="636">
        <f>AVERAGE(P264:P303)</f>
        <v>684081.3</v>
      </c>
      <c r="D337" s="636">
        <f>AVERAGE(O264:O303)</f>
        <v>570067.75</v>
      </c>
      <c r="E337" s="8">
        <f t="shared" si="35"/>
        <v>1.2000000000000002</v>
      </c>
    </row>
    <row r="338" spans="2:5" x14ac:dyDescent="0.3">
      <c r="B338" s="8" t="s">
        <v>1224</v>
      </c>
      <c r="C338" s="636">
        <f>AVERAGE(C319:C337)</f>
        <v>58166.036986964078</v>
      </c>
      <c r="D338" s="636">
        <f>AVERAGE(D319:D337)</f>
        <v>48471.697489136735</v>
      </c>
      <c r="E338" s="8">
        <f t="shared" si="35"/>
        <v>1.2</v>
      </c>
    </row>
    <row r="340" spans="2:5" x14ac:dyDescent="0.3">
      <c r="B340" s="8" t="s">
        <v>1225</v>
      </c>
      <c r="C340" s="636">
        <f>AVERAGEIFS($L$5:$L$303,$H$5:$H$303,"(01)")</f>
        <v>251813.8</v>
      </c>
      <c r="D340" s="636">
        <f t="array" ref="D340">AVERAGE(IF($H$5:$H$303="(1)",$L$5:$L$303,""))</f>
        <v>251813.8</v>
      </c>
      <c r="E340" s="636">
        <f>D340-C340</f>
        <v>0</v>
      </c>
    </row>
    <row r="341" spans="2:5" x14ac:dyDescent="0.3">
      <c r="B341" s="8" t="s">
        <v>1226</v>
      </c>
      <c r="C341" s="636">
        <f>AVERAGEIFS($L$5:$L$303,$H$5:$H$303,"(02)")</f>
        <v>889.43661971830988</v>
      </c>
      <c r="D341" s="636">
        <f t="array" ref="D341">AVERAGE(IF($H$5:$H$303="(2)",$L$5:$L$303,""))</f>
        <v>889.43661971830988</v>
      </c>
      <c r="E341" s="636">
        <f t="shared" ref="E341:E346" si="36">D341-C341</f>
        <v>0</v>
      </c>
    </row>
    <row r="342" spans="2:5" x14ac:dyDescent="0.3">
      <c r="B342" s="8" t="s">
        <v>1227</v>
      </c>
      <c r="C342" s="636">
        <f>AVERAGEIFS($L$5:$L$303,$H$5:$H$303,"(03)")</f>
        <v>2668.375</v>
      </c>
      <c r="D342" s="636">
        <f t="array" ref="D342">AVERAGE(IF($H$5:$H$303="(3)",$L$5:$L$303,""))</f>
        <v>2668.375</v>
      </c>
      <c r="E342" s="636">
        <f t="shared" si="36"/>
        <v>0</v>
      </c>
    </row>
    <row r="343" spans="2:5" x14ac:dyDescent="0.3">
      <c r="B343" s="8" t="s">
        <v>1228</v>
      </c>
      <c r="C343" s="636">
        <f>AVERAGEIFS($L$5:$L$303,$H$5:$H$303,"(04)")</f>
        <v>2168.5555555555557</v>
      </c>
      <c r="D343" s="636">
        <f t="array" ref="D343">AVERAGE(IF($H$5:$H$303="(4)",$L$5:$L$303,""))</f>
        <v>2168.5555555555557</v>
      </c>
      <c r="E343" s="636">
        <f t="shared" si="36"/>
        <v>0</v>
      </c>
    </row>
    <row r="344" spans="2:5" x14ac:dyDescent="0.3">
      <c r="B344" s="8" t="s">
        <v>1229</v>
      </c>
      <c r="C344" s="636">
        <f>AVERAGEIFS($L$5:$L$303,$H$5:$H$303,"(05)")</f>
        <v>54412.57894736842</v>
      </c>
      <c r="D344" s="636">
        <f t="array" ref="D344">AVERAGE(IF($H$5:$H$303="(5)",$L$5:$L$303,""))</f>
        <v>54412.57894736842</v>
      </c>
      <c r="E344" s="636">
        <f t="shared" si="36"/>
        <v>0</v>
      </c>
    </row>
    <row r="345" spans="2:5" x14ac:dyDescent="0.3">
      <c r="B345" s="8" t="s">
        <v>1230</v>
      </c>
      <c r="C345" s="636">
        <f>AVERAGEIFS($L$5:$L$303,$H$5:$H$303,"(06)")</f>
        <v>1422.5263157894738</v>
      </c>
      <c r="D345" s="636">
        <f t="array" ref="D345">AVERAGE(IF($H$5:$H$303="(6)",$L$5:$L$303,""))</f>
        <v>1422.5263157894738</v>
      </c>
      <c r="E345" s="636">
        <f t="shared" si="36"/>
        <v>0</v>
      </c>
    </row>
    <row r="346" spans="2:5" x14ac:dyDescent="0.3">
      <c r="B346" s="8" t="s">
        <v>1231</v>
      </c>
      <c r="C346" s="636">
        <f>AVERAGEIFS($L$5:$L$303,$H$5:$H$303,"(07)")</f>
        <v>204522.81818181818</v>
      </c>
      <c r="D346" s="636">
        <f t="array" ref="D346">AVERAGE(IF($H$5:$H$303="(7)",$L$5:$L$303,""))</f>
        <v>204522.81818181818</v>
      </c>
      <c r="E346" s="636">
        <f t="shared" si="36"/>
        <v>0</v>
      </c>
    </row>
    <row r="347" spans="2:5" x14ac:dyDescent="0.3">
      <c r="C347" s="637">
        <f>AVERAGE(C340:C346)</f>
        <v>73985.441517178566</v>
      </c>
      <c r="D347" s="636">
        <f t="array" ref="D347">AVERAGE(IF($H$5:$H$303="(1)",$L$5:$L$303,""))</f>
        <v>251813.8</v>
      </c>
      <c r="E347" s="637"/>
    </row>
    <row r="348" spans="2:5" x14ac:dyDescent="0.3">
      <c r="C348" s="637"/>
      <c r="D348" s="637"/>
      <c r="E348" s="637"/>
    </row>
    <row r="349" spans="2:5" ht="15" customHeight="1" x14ac:dyDescent="0.3">
      <c r="B349" s="8" t="s">
        <v>1232</v>
      </c>
      <c r="C349" s="636">
        <f>AVERAGEIFS($L$5:$L$63,$D$5:$D$63,"*Rắn")</f>
        <v>2052.1999999999998</v>
      </c>
      <c r="D349" s="2347" t="s">
        <v>1233</v>
      </c>
      <c r="E349" s="2348"/>
    </row>
    <row r="350" spans="2:5" x14ac:dyDescent="0.3">
      <c r="B350" s="8" t="s">
        <v>1234</v>
      </c>
      <c r="C350" s="636">
        <f>AVERAGEIFS($L$5:$L$63,$D$5:$D$63,"*Lỏng")</f>
        <v>30669.137931034482</v>
      </c>
      <c r="D350" s="2347"/>
      <c r="E350" s="2348"/>
    </row>
    <row r="351" spans="2:5" x14ac:dyDescent="0.3">
      <c r="B351" s="8" t="s">
        <v>1235</v>
      </c>
      <c r="C351" s="13">
        <f>C350/C349</f>
        <v>14.944517069990491</v>
      </c>
      <c r="D351" s="2347"/>
      <c r="E351" s="2348"/>
    </row>
    <row r="352" spans="2:5" x14ac:dyDescent="0.3">
      <c r="C352" s="637"/>
      <c r="D352" s="637"/>
      <c r="E352" s="637"/>
    </row>
    <row r="353" spans="2:5" x14ac:dyDescent="0.3">
      <c r="B353" s="8" t="s">
        <v>1236</v>
      </c>
      <c r="C353" s="636">
        <f>AVERAGE(L264:L303)</f>
        <v>448052.52500000002</v>
      </c>
    </row>
    <row r="354" spans="2:5" x14ac:dyDescent="0.3">
      <c r="B354" s="8" t="s">
        <v>1237</v>
      </c>
      <c r="C354" s="636">
        <f>C353/C351</f>
        <v>29981.064152264717</v>
      </c>
    </row>
    <row r="355" spans="2:5" x14ac:dyDescent="0.3">
      <c r="B355" s="8" t="s">
        <v>1238</v>
      </c>
      <c r="C355" s="636">
        <f>C353*C363</f>
        <v>1344342.676124444</v>
      </c>
    </row>
    <row r="356" spans="2:5" x14ac:dyDescent="0.3">
      <c r="B356" s="8" t="s">
        <v>1239</v>
      </c>
      <c r="C356" s="636">
        <f>C354*C363</f>
        <v>89955.578345449976</v>
      </c>
    </row>
    <row r="358" spans="2:5" ht="14.4" customHeight="1" x14ac:dyDescent="0.3">
      <c r="B358" s="8" t="s">
        <v>1240</v>
      </c>
      <c r="C358" s="636">
        <f>AVERAGEIFS($L$5:$L$63,$D$5:$D$63,"*Rắn",$G$5:$G$63,"x")</f>
        <v>1277.2307692307693</v>
      </c>
      <c r="D358" s="2347" t="s">
        <v>1241</v>
      </c>
      <c r="E358" s="2348"/>
    </row>
    <row r="359" spans="2:5" x14ac:dyDescent="0.3">
      <c r="B359" s="8" t="s">
        <v>1242</v>
      </c>
      <c r="C359" s="636">
        <f>AVERAGEIFS($L$5:$L$63,$D$5:$D$63,"*Lỏng",$G$5:$G$63,"x")</f>
        <v>104417.25</v>
      </c>
      <c r="D359" s="2347"/>
      <c r="E359" s="2348"/>
    </row>
    <row r="361" spans="2:5" x14ac:dyDescent="0.3">
      <c r="B361" s="8" t="s">
        <v>1243</v>
      </c>
      <c r="C361" s="636">
        <v>15931712784105.947</v>
      </c>
    </row>
    <row r="362" spans="2:5" x14ac:dyDescent="0.3">
      <c r="B362" s="8" t="s">
        <v>1244</v>
      </c>
      <c r="C362" s="636">
        <v>47801720120718</v>
      </c>
    </row>
    <row r="363" spans="2:5" x14ac:dyDescent="0.3">
      <c r="B363" s="8" t="s">
        <v>1235</v>
      </c>
      <c r="C363" s="638">
        <f>C362/C361</f>
        <v>3.0004131237167875</v>
      </c>
    </row>
    <row r="365" spans="2:5" x14ac:dyDescent="0.3">
      <c r="B365" s="8" t="s">
        <v>1245</v>
      </c>
      <c r="C365" s="636">
        <f>AVERAGEIFS($L$5:$L$63,$E$5:$E$63,"Cephalosporins*",$D$5:$D$63,"*Lỏng")</f>
        <v>12148.333333333334</v>
      </c>
    </row>
    <row r="366" spans="2:5" x14ac:dyDescent="0.3">
      <c r="B366" s="8" t="s">
        <v>1246</v>
      </c>
      <c r="C366" s="636">
        <f>AVERAGEIFS($L$5:$L$63,$E$5:$E$63,"Cephalosporins*",$D$5:$D$63,"*Rắn")</f>
        <v>3047.6153846153848</v>
      </c>
    </row>
    <row r="367" spans="2:5" x14ac:dyDescent="0.3">
      <c r="B367" s="8" t="s">
        <v>1247</v>
      </c>
      <c r="C367" s="636">
        <f>AVERAGEIFS($L$5:$L$63,$E$5:$E$63,"Penicillins*",$D$5:$D$63,"*Lỏng")</f>
        <v>20445.714285714286</v>
      </c>
    </row>
    <row r="368" spans="2:5" x14ac:dyDescent="0.3">
      <c r="B368" s="8" t="s">
        <v>1248</v>
      </c>
      <c r="C368" s="636">
        <f>AVERAGEIFS($L$5:$L$63,$E$5:$E$63,"Penicillins*",$D$5:$D$63,"*Rắn")</f>
        <v>1335.75</v>
      </c>
    </row>
    <row r="370" spans="2:3" x14ac:dyDescent="0.3">
      <c r="B370" s="19" t="s">
        <v>1249</v>
      </c>
      <c r="C370" s="636">
        <v>47795410654817.797</v>
      </c>
    </row>
    <row r="371" spans="2:3" x14ac:dyDescent="0.3">
      <c r="B371" s="19" t="s">
        <v>1250</v>
      </c>
      <c r="C371" s="636">
        <f>47801720120718</f>
        <v>47801720120718</v>
      </c>
    </row>
  </sheetData>
  <mergeCells count="165">
    <mergeCell ref="N65:N66"/>
    <mergeCell ref="O65:O66"/>
    <mergeCell ref="P65:P66"/>
    <mergeCell ref="H70:H71"/>
    <mergeCell ref="I70:I71"/>
    <mergeCell ref="J70:J71"/>
    <mergeCell ref="K70:K71"/>
    <mergeCell ref="L70:L71"/>
    <mergeCell ref="M70:M71"/>
    <mergeCell ref="N70:N71"/>
    <mergeCell ref="H65:H66"/>
    <mergeCell ref="I65:I66"/>
    <mergeCell ref="J65:J66"/>
    <mergeCell ref="K65:K66"/>
    <mergeCell ref="L65:L66"/>
    <mergeCell ref="M65:M66"/>
    <mergeCell ref="O70:O71"/>
    <mergeCell ref="P70:P71"/>
    <mergeCell ref="H91:H92"/>
    <mergeCell ref="I91:I92"/>
    <mergeCell ref="J91:J92"/>
    <mergeCell ref="K91:K92"/>
    <mergeCell ref="L91:L92"/>
    <mergeCell ref="M91:M92"/>
    <mergeCell ref="N91:N92"/>
    <mergeCell ref="O91:O92"/>
    <mergeCell ref="P91:P92"/>
    <mergeCell ref="H99:H100"/>
    <mergeCell ref="I99:I100"/>
    <mergeCell ref="J99:J100"/>
    <mergeCell ref="K99:K100"/>
    <mergeCell ref="L99:L100"/>
    <mergeCell ref="M99:M100"/>
    <mergeCell ref="N99:N100"/>
    <mergeCell ref="O99:O100"/>
    <mergeCell ref="P99:P100"/>
    <mergeCell ref="N121:N122"/>
    <mergeCell ref="O121:O122"/>
    <mergeCell ref="P121:P122"/>
    <mergeCell ref="H129:H130"/>
    <mergeCell ref="I129:I130"/>
    <mergeCell ref="J129:J130"/>
    <mergeCell ref="K129:K130"/>
    <mergeCell ref="L129:L130"/>
    <mergeCell ref="M129:M130"/>
    <mergeCell ref="N129:N130"/>
    <mergeCell ref="H121:H122"/>
    <mergeCell ref="I121:I122"/>
    <mergeCell ref="J121:J122"/>
    <mergeCell ref="K121:K122"/>
    <mergeCell ref="L121:L122"/>
    <mergeCell ref="M121:M122"/>
    <mergeCell ref="O129:O130"/>
    <mergeCell ref="P129:P130"/>
    <mergeCell ref="H137:H138"/>
    <mergeCell ref="I137:I138"/>
    <mergeCell ref="J137:J138"/>
    <mergeCell ref="K137:K138"/>
    <mergeCell ref="L137:L138"/>
    <mergeCell ref="M137:M138"/>
    <mergeCell ref="N137:N138"/>
    <mergeCell ref="O137:O138"/>
    <mergeCell ref="P137:P138"/>
    <mergeCell ref="H145:H146"/>
    <mergeCell ref="I145:I146"/>
    <mergeCell ref="J145:J146"/>
    <mergeCell ref="K145:K146"/>
    <mergeCell ref="L145:L146"/>
    <mergeCell ref="M145:M146"/>
    <mergeCell ref="N145:N146"/>
    <mergeCell ref="O145:O146"/>
    <mergeCell ref="P145:P146"/>
    <mergeCell ref="N169:N170"/>
    <mergeCell ref="O169:O170"/>
    <mergeCell ref="P169:P170"/>
    <mergeCell ref="H175:H176"/>
    <mergeCell ref="I175:I176"/>
    <mergeCell ref="J175:J176"/>
    <mergeCell ref="K175:K176"/>
    <mergeCell ref="L175:L176"/>
    <mergeCell ref="M175:M176"/>
    <mergeCell ref="N175:N176"/>
    <mergeCell ref="H169:H170"/>
    <mergeCell ref="I169:I170"/>
    <mergeCell ref="J169:J170"/>
    <mergeCell ref="K169:K170"/>
    <mergeCell ref="L169:L170"/>
    <mergeCell ref="M169:M170"/>
    <mergeCell ref="O175:O176"/>
    <mergeCell ref="P175:P176"/>
    <mergeCell ref="H181:H182"/>
    <mergeCell ref="I181:I182"/>
    <mergeCell ref="J181:J182"/>
    <mergeCell ref="K181:K182"/>
    <mergeCell ref="L181:L182"/>
    <mergeCell ref="M181:M182"/>
    <mergeCell ref="N181:N182"/>
    <mergeCell ref="O181:O182"/>
    <mergeCell ref="P181:P182"/>
    <mergeCell ref="H194:H195"/>
    <mergeCell ref="I194:I195"/>
    <mergeCell ref="J194:J195"/>
    <mergeCell ref="K194:K195"/>
    <mergeCell ref="L194:L195"/>
    <mergeCell ref="M194:M195"/>
    <mergeCell ref="N194:N195"/>
    <mergeCell ref="O194:O195"/>
    <mergeCell ref="P194:P195"/>
    <mergeCell ref="N207:N208"/>
    <mergeCell ref="O207:O208"/>
    <mergeCell ref="P207:P208"/>
    <mergeCell ref="H212:H213"/>
    <mergeCell ref="I212:I213"/>
    <mergeCell ref="J212:J213"/>
    <mergeCell ref="K212:K213"/>
    <mergeCell ref="L212:L213"/>
    <mergeCell ref="M212:M213"/>
    <mergeCell ref="N212:N213"/>
    <mergeCell ref="H207:H208"/>
    <mergeCell ref="I207:I208"/>
    <mergeCell ref="J207:J208"/>
    <mergeCell ref="K207:K208"/>
    <mergeCell ref="L207:L208"/>
    <mergeCell ref="M207:M208"/>
    <mergeCell ref="O212:O213"/>
    <mergeCell ref="P212:P213"/>
    <mergeCell ref="H222:H223"/>
    <mergeCell ref="I222:I223"/>
    <mergeCell ref="J222:J223"/>
    <mergeCell ref="K222:K223"/>
    <mergeCell ref="L222:L223"/>
    <mergeCell ref="M222:M223"/>
    <mergeCell ref="N222:N223"/>
    <mergeCell ref="O222:O223"/>
    <mergeCell ref="P222:P223"/>
    <mergeCell ref="H227:H228"/>
    <mergeCell ref="I227:I228"/>
    <mergeCell ref="J227:J228"/>
    <mergeCell ref="K227:K228"/>
    <mergeCell ref="L227:L228"/>
    <mergeCell ref="M227:M228"/>
    <mergeCell ref="N227:N228"/>
    <mergeCell ref="O227:O228"/>
    <mergeCell ref="P227:P228"/>
    <mergeCell ref="O262:O263"/>
    <mergeCell ref="P262:P263"/>
    <mergeCell ref="D315:D316"/>
    <mergeCell ref="D349:E351"/>
    <mergeCell ref="D358:E359"/>
    <mergeCell ref="N246:N247"/>
    <mergeCell ref="O246:O247"/>
    <mergeCell ref="P246:P247"/>
    <mergeCell ref="H262:H263"/>
    <mergeCell ref="I262:I263"/>
    <mergeCell ref="J262:J263"/>
    <mergeCell ref="K262:K263"/>
    <mergeCell ref="L262:L263"/>
    <mergeCell ref="M262:M263"/>
    <mergeCell ref="N262:N263"/>
    <mergeCell ref="H246:H247"/>
    <mergeCell ref="I246:I247"/>
    <mergeCell ref="J246:J247"/>
    <mergeCell ref="K246:K247"/>
    <mergeCell ref="L246:L247"/>
    <mergeCell ref="M246:M247"/>
  </mergeCells>
  <hyperlinks>
    <hyperlink ref="C9" r:id="rId1" tooltip="Thuốc Colistimethat natri là gì" display="https://www.thuocbietduoc.com.vn/thuoc-goc-1046/colistimethat-natri.aspx" xr:uid="{6CA64261-D2AE-4ABE-B176-EA0E3A6906E7}"/>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141F3-8284-4153-836E-A881E282A6DC}">
  <dimension ref="A1:BF422"/>
  <sheetViews>
    <sheetView topLeftCell="E1" zoomScale="58" zoomScaleNormal="58" workbookViewId="0">
      <pane ySplit="3" topLeftCell="A4" activePane="bottomLeft" state="frozen"/>
      <selection pane="bottomLeft" activeCell="V343" sqref="V343"/>
    </sheetView>
  </sheetViews>
  <sheetFormatPr defaultColWidth="9.109375" defaultRowHeight="13.8" x14ac:dyDescent="0.25"/>
  <cols>
    <col min="1" max="1" width="5.33203125" style="817" customWidth="1"/>
    <col min="2" max="2" width="87.88671875" style="821" bestFit="1" customWidth="1"/>
    <col min="3" max="3" width="16.5546875" style="821" customWidth="1"/>
    <col min="4" max="4" width="17.6640625" style="821" customWidth="1"/>
    <col min="5" max="5" width="13.5546875" style="821" bestFit="1" customWidth="1"/>
    <col min="6" max="7" width="11" style="821" customWidth="1"/>
    <col min="8" max="11" width="9.109375" style="821"/>
    <col min="12" max="15" width="12.44140625" style="821" customWidth="1"/>
    <col min="16" max="16" width="17" style="1040" bestFit="1" customWidth="1"/>
    <col min="17" max="17" width="13.109375" style="1039" customWidth="1"/>
    <col min="18" max="18" width="13.6640625" style="1039" customWidth="1"/>
    <col min="19" max="19" width="11.6640625" style="1039" customWidth="1"/>
    <col min="20" max="20" width="16.44140625" style="1039" customWidth="1"/>
    <col min="21" max="21" width="14.109375" style="1039" customWidth="1"/>
    <col min="22" max="22" width="13.109375" style="821" bestFit="1" customWidth="1"/>
    <col min="23" max="23" width="14.5546875" style="821" customWidth="1"/>
    <col min="24" max="24" width="14" style="821" customWidth="1"/>
    <col min="25" max="25" width="15.6640625" style="821" customWidth="1"/>
    <col min="26" max="26" width="14.5546875" style="821" customWidth="1"/>
    <col min="27" max="27" width="13.44140625" style="821" customWidth="1"/>
    <col min="28" max="28" width="12.88671875" style="821" customWidth="1"/>
    <col min="29" max="29" width="16.44140625" style="821" customWidth="1"/>
    <col min="30" max="30" width="13.109375" style="821" customWidth="1"/>
    <col min="31" max="31" width="157.6640625" style="821" customWidth="1"/>
    <col min="32" max="42" width="11.6640625" style="821" hidden="1" customWidth="1"/>
    <col min="43" max="43" width="49" style="821" customWidth="1"/>
    <col min="44" max="44" width="2.88671875" style="821" customWidth="1"/>
    <col min="45" max="54" width="11.33203125" style="821" hidden="1" customWidth="1"/>
    <col min="55" max="55" width="17.6640625" style="821" customWidth="1"/>
    <col min="56" max="56" width="24.44140625" style="821" customWidth="1"/>
    <col min="57" max="16384" width="9.109375" style="821"/>
  </cols>
  <sheetData>
    <row r="1" spans="1:56" s="800" customFormat="1" x14ac:dyDescent="0.25">
      <c r="A1" s="799"/>
      <c r="Q1" s="801">
        <v>1</v>
      </c>
      <c r="R1" s="802">
        <v>2</v>
      </c>
      <c r="S1" s="801">
        <v>3</v>
      </c>
      <c r="T1" s="803">
        <v>4</v>
      </c>
      <c r="U1" s="803">
        <v>5</v>
      </c>
      <c r="V1" s="803">
        <v>6</v>
      </c>
      <c r="W1" s="803">
        <v>7</v>
      </c>
      <c r="X1" s="803">
        <v>8</v>
      </c>
      <c r="Y1" s="803">
        <v>9</v>
      </c>
      <c r="Z1" s="803">
        <v>10</v>
      </c>
      <c r="AA1" s="803">
        <v>11</v>
      </c>
      <c r="AB1" s="803">
        <v>12</v>
      </c>
      <c r="AC1" s="803">
        <v>13</v>
      </c>
      <c r="AD1" s="803">
        <v>14</v>
      </c>
      <c r="AE1" s="803">
        <v>15</v>
      </c>
      <c r="AF1" s="803">
        <v>16</v>
      </c>
      <c r="AG1" s="803">
        <v>17</v>
      </c>
      <c r="AH1" s="803">
        <v>18</v>
      </c>
      <c r="AI1" s="803">
        <v>19</v>
      </c>
      <c r="AJ1" s="803">
        <v>20</v>
      </c>
      <c r="AK1" s="803">
        <v>21</v>
      </c>
      <c r="AL1" s="803">
        <v>22</v>
      </c>
      <c r="AM1" s="803">
        <v>23</v>
      </c>
      <c r="AN1" s="803">
        <v>24</v>
      </c>
      <c r="AO1" s="803">
        <v>25</v>
      </c>
      <c r="AP1" s="803">
        <v>26</v>
      </c>
      <c r="AQ1" s="803">
        <v>27</v>
      </c>
      <c r="AR1" s="803">
        <v>28</v>
      </c>
      <c r="AS1" s="803">
        <v>29</v>
      </c>
      <c r="AT1" s="803">
        <v>30</v>
      </c>
      <c r="AU1" s="803">
        <v>31</v>
      </c>
      <c r="AV1" s="803">
        <v>32</v>
      </c>
      <c r="AW1" s="803">
        <v>33</v>
      </c>
      <c r="AX1" s="803">
        <v>34</v>
      </c>
      <c r="AY1" s="803">
        <v>35</v>
      </c>
      <c r="AZ1" s="803">
        <v>36</v>
      </c>
      <c r="BA1" s="803">
        <v>37</v>
      </c>
      <c r="BB1" s="803">
        <v>38</v>
      </c>
      <c r="BC1" s="803">
        <v>39</v>
      </c>
      <c r="BD1" s="803">
        <v>40</v>
      </c>
    </row>
    <row r="2" spans="1:56" s="801" customFormat="1" x14ac:dyDescent="0.25">
      <c r="E2" s="801" t="str">
        <f t="shared" ref="E2:BD2" ca="1" si="0">IF(TODAY()&lt;E3,"Proj","")</f>
        <v/>
      </c>
      <c r="F2" s="801" t="str">
        <f t="shared" ca="1" si="0"/>
        <v/>
      </c>
      <c r="I2" s="801" t="str">
        <f t="shared" ca="1" si="0"/>
        <v/>
      </c>
      <c r="J2" s="801" t="str">
        <f t="shared" ca="1" si="0"/>
        <v/>
      </c>
      <c r="K2" s="801" t="str">
        <f t="shared" ca="1" si="0"/>
        <v/>
      </c>
      <c r="L2" s="801" t="str">
        <f t="shared" ca="1" si="0"/>
        <v/>
      </c>
      <c r="M2" s="801" t="str">
        <f t="shared" ca="1" si="0"/>
        <v/>
      </c>
      <c r="N2" s="801" t="str">
        <f t="shared" ca="1" si="0"/>
        <v/>
      </c>
      <c r="O2" s="801" t="str">
        <f t="shared" ca="1" si="0"/>
        <v/>
      </c>
      <c r="P2" s="801" t="str">
        <f t="shared" ca="1" si="0"/>
        <v/>
      </c>
      <c r="Q2" s="801" t="str">
        <f t="shared" ca="1" si="0"/>
        <v/>
      </c>
      <c r="R2" s="804" t="str">
        <f t="shared" ca="1" si="0"/>
        <v/>
      </c>
      <c r="S2" s="801" t="str">
        <f t="shared" ca="1" si="0"/>
        <v/>
      </c>
      <c r="T2" s="805" t="str">
        <f t="shared" ca="1" si="0"/>
        <v/>
      </c>
      <c r="U2" s="805" t="str">
        <f t="shared" ca="1" si="0"/>
        <v/>
      </c>
      <c r="V2" s="805" t="str">
        <f t="shared" ca="1" si="0"/>
        <v/>
      </c>
      <c r="W2" s="805" t="str">
        <f t="shared" ca="1" si="0"/>
        <v>Proj</v>
      </c>
      <c r="X2" s="805" t="str">
        <f t="shared" ca="1" si="0"/>
        <v>Proj</v>
      </c>
      <c r="Y2" s="805" t="str">
        <f t="shared" ca="1" si="0"/>
        <v>Proj</v>
      </c>
      <c r="Z2" s="805" t="str">
        <f t="shared" ca="1" si="0"/>
        <v>Proj</v>
      </c>
      <c r="AA2" s="805" t="str">
        <f t="shared" ca="1" si="0"/>
        <v>Proj</v>
      </c>
      <c r="AB2" s="805" t="str">
        <f t="shared" ca="1" si="0"/>
        <v>Proj</v>
      </c>
      <c r="AC2" s="805" t="str">
        <f t="shared" ca="1" si="0"/>
        <v>Proj</v>
      </c>
      <c r="AD2" s="805" t="str">
        <f t="shared" ca="1" si="0"/>
        <v>Proj</v>
      </c>
      <c r="AE2" s="805" t="str">
        <f t="shared" ca="1" si="0"/>
        <v>Proj</v>
      </c>
      <c r="AF2" s="805" t="str">
        <f t="shared" ca="1" si="0"/>
        <v>Proj</v>
      </c>
      <c r="AG2" s="805" t="str">
        <f t="shared" ca="1" si="0"/>
        <v>Proj</v>
      </c>
      <c r="AH2" s="805" t="str">
        <f t="shared" ca="1" si="0"/>
        <v>Proj</v>
      </c>
      <c r="AI2" s="805" t="str">
        <f t="shared" ca="1" si="0"/>
        <v>Proj</v>
      </c>
      <c r="AJ2" s="805" t="str">
        <f t="shared" ca="1" si="0"/>
        <v>Proj</v>
      </c>
      <c r="AK2" s="805" t="str">
        <f t="shared" ca="1" si="0"/>
        <v>Proj</v>
      </c>
      <c r="AL2" s="805" t="str">
        <f t="shared" ca="1" si="0"/>
        <v>Proj</v>
      </c>
      <c r="AM2" s="805" t="str">
        <f t="shared" ca="1" si="0"/>
        <v>Proj</v>
      </c>
      <c r="AN2" s="805" t="str">
        <f t="shared" ca="1" si="0"/>
        <v>Proj</v>
      </c>
      <c r="AO2" s="805" t="str">
        <f t="shared" ca="1" si="0"/>
        <v>Proj</v>
      </c>
      <c r="AP2" s="805" t="str">
        <f t="shared" ca="1" si="0"/>
        <v>Proj</v>
      </c>
      <c r="AQ2" s="805" t="str">
        <f t="shared" ca="1" si="0"/>
        <v>Proj</v>
      </c>
      <c r="AR2" s="805" t="str">
        <f t="shared" ca="1" si="0"/>
        <v>Proj</v>
      </c>
      <c r="AS2" s="805" t="str">
        <f t="shared" ca="1" si="0"/>
        <v>Proj</v>
      </c>
      <c r="AT2" s="805" t="str">
        <f t="shared" ca="1" si="0"/>
        <v>Proj</v>
      </c>
      <c r="AU2" s="805" t="str">
        <f t="shared" ca="1" si="0"/>
        <v>Proj</v>
      </c>
      <c r="AV2" s="805" t="str">
        <f t="shared" ca="1" si="0"/>
        <v>Proj</v>
      </c>
      <c r="AW2" s="805" t="str">
        <f t="shared" ca="1" si="0"/>
        <v>Proj</v>
      </c>
      <c r="AX2" s="805" t="str">
        <f t="shared" ca="1" si="0"/>
        <v>Proj</v>
      </c>
      <c r="AY2" s="805" t="str">
        <f t="shared" ca="1" si="0"/>
        <v>Proj</v>
      </c>
      <c r="AZ2" s="805" t="str">
        <f t="shared" ca="1" si="0"/>
        <v>Proj</v>
      </c>
      <c r="BA2" s="805" t="str">
        <f t="shared" ca="1" si="0"/>
        <v>Proj</v>
      </c>
      <c r="BB2" s="805" t="str">
        <f t="shared" ca="1" si="0"/>
        <v>Proj</v>
      </c>
      <c r="BC2" s="805" t="str">
        <f t="shared" ca="1" si="0"/>
        <v>Proj</v>
      </c>
      <c r="BD2" s="805" t="str">
        <f t="shared" ca="1" si="0"/>
        <v>Proj</v>
      </c>
    </row>
    <row r="3" spans="1:56" s="806" customFormat="1" ht="14.4" thickBot="1" x14ac:dyDescent="0.3">
      <c r="B3" s="807"/>
      <c r="C3" s="807"/>
      <c r="D3" s="807"/>
      <c r="E3" s="807"/>
      <c r="F3" s="808">
        <v>39813</v>
      </c>
      <c r="G3" s="809">
        <f>DATE(YEAR(F3),MONTH(F3)+13,0)</f>
        <v>40178</v>
      </c>
      <c r="H3" s="809">
        <f t="shared" ref="H3:BD3" si="1">DATE(YEAR(G3),MONTH(G3)+13,0)</f>
        <v>40543</v>
      </c>
      <c r="I3" s="809">
        <f t="shared" si="1"/>
        <v>40908</v>
      </c>
      <c r="J3" s="809">
        <f t="shared" si="1"/>
        <v>41274</v>
      </c>
      <c r="K3" s="809">
        <f t="shared" si="1"/>
        <v>41639</v>
      </c>
      <c r="L3" s="809">
        <f t="shared" si="1"/>
        <v>42004</v>
      </c>
      <c r="M3" s="809">
        <f t="shared" si="1"/>
        <v>42369</v>
      </c>
      <c r="N3" s="809">
        <f t="shared" si="1"/>
        <v>42735</v>
      </c>
      <c r="O3" s="809">
        <f t="shared" si="1"/>
        <v>43100</v>
      </c>
      <c r="P3" s="809">
        <f t="shared" si="1"/>
        <v>43465</v>
      </c>
      <c r="Q3" s="810">
        <f t="shared" si="1"/>
        <v>43830</v>
      </c>
      <c r="R3" s="809">
        <f t="shared" si="1"/>
        <v>44196</v>
      </c>
      <c r="S3" s="811">
        <f t="shared" si="1"/>
        <v>44561</v>
      </c>
      <c r="T3" s="812">
        <f t="shared" si="1"/>
        <v>44926</v>
      </c>
      <c r="U3" s="812">
        <f t="shared" si="1"/>
        <v>45291</v>
      </c>
      <c r="V3" s="812">
        <f t="shared" si="1"/>
        <v>45657</v>
      </c>
      <c r="W3" s="812">
        <f t="shared" si="1"/>
        <v>46022</v>
      </c>
      <c r="X3" s="812">
        <f t="shared" si="1"/>
        <v>46387</v>
      </c>
      <c r="Y3" s="812">
        <f t="shared" si="1"/>
        <v>46752</v>
      </c>
      <c r="Z3" s="812">
        <f t="shared" si="1"/>
        <v>47118</v>
      </c>
      <c r="AA3" s="812">
        <f t="shared" si="1"/>
        <v>47483</v>
      </c>
      <c r="AB3" s="812">
        <f t="shared" si="1"/>
        <v>47848</v>
      </c>
      <c r="AC3" s="812">
        <f t="shared" si="1"/>
        <v>48213</v>
      </c>
      <c r="AD3" s="812">
        <f t="shared" si="1"/>
        <v>48579</v>
      </c>
      <c r="AE3" s="812">
        <f t="shared" si="1"/>
        <v>48944</v>
      </c>
      <c r="AF3" s="812">
        <f t="shared" si="1"/>
        <v>49309</v>
      </c>
      <c r="AG3" s="812">
        <f t="shared" si="1"/>
        <v>49674</v>
      </c>
      <c r="AH3" s="812">
        <f t="shared" si="1"/>
        <v>50040</v>
      </c>
      <c r="AI3" s="812">
        <f t="shared" si="1"/>
        <v>50405</v>
      </c>
      <c r="AJ3" s="812">
        <f t="shared" si="1"/>
        <v>50770</v>
      </c>
      <c r="AK3" s="812">
        <f t="shared" si="1"/>
        <v>51135</v>
      </c>
      <c r="AL3" s="812">
        <f t="shared" si="1"/>
        <v>51501</v>
      </c>
      <c r="AM3" s="812">
        <f t="shared" si="1"/>
        <v>51866</v>
      </c>
      <c r="AN3" s="812">
        <f t="shared" si="1"/>
        <v>52231</v>
      </c>
      <c r="AO3" s="812">
        <f t="shared" si="1"/>
        <v>52596</v>
      </c>
      <c r="AP3" s="812">
        <f t="shared" si="1"/>
        <v>52962</v>
      </c>
      <c r="AQ3" s="812">
        <f t="shared" si="1"/>
        <v>53327</v>
      </c>
      <c r="AR3" s="812">
        <f t="shared" si="1"/>
        <v>53692</v>
      </c>
      <c r="AS3" s="812">
        <f t="shared" si="1"/>
        <v>54057</v>
      </c>
      <c r="AT3" s="812">
        <f t="shared" si="1"/>
        <v>54423</v>
      </c>
      <c r="AU3" s="812">
        <f t="shared" si="1"/>
        <v>54788</v>
      </c>
      <c r="AV3" s="812">
        <f t="shared" si="1"/>
        <v>55153</v>
      </c>
      <c r="AW3" s="812">
        <f t="shared" si="1"/>
        <v>55518</v>
      </c>
      <c r="AX3" s="812">
        <f t="shared" si="1"/>
        <v>55884</v>
      </c>
      <c r="AY3" s="812">
        <f t="shared" si="1"/>
        <v>56249</v>
      </c>
      <c r="AZ3" s="812">
        <f t="shared" si="1"/>
        <v>56614</v>
      </c>
      <c r="BA3" s="812">
        <f t="shared" si="1"/>
        <v>56979</v>
      </c>
      <c r="BB3" s="812">
        <f t="shared" si="1"/>
        <v>57345</v>
      </c>
      <c r="BC3" s="812">
        <f t="shared" si="1"/>
        <v>57710</v>
      </c>
      <c r="BD3" s="812">
        <f t="shared" si="1"/>
        <v>58075</v>
      </c>
    </row>
    <row r="4" spans="1:56" s="813" customFormat="1" ht="14.4" thickTop="1" x14ac:dyDescent="0.25">
      <c r="E4" s="814"/>
      <c r="F4" s="815"/>
      <c r="G4" s="815"/>
      <c r="H4" s="815"/>
      <c r="I4" s="815"/>
      <c r="J4" s="815"/>
      <c r="K4" s="815"/>
      <c r="L4" s="815"/>
      <c r="M4" s="815"/>
      <c r="N4" s="815"/>
      <c r="O4" s="815"/>
      <c r="P4" s="815"/>
      <c r="Q4" s="815"/>
      <c r="R4" s="815"/>
      <c r="S4" s="816"/>
      <c r="T4" s="815"/>
      <c r="U4" s="815"/>
      <c r="V4" s="815"/>
      <c r="W4" s="815"/>
      <c r="X4" s="815"/>
      <c r="Y4" s="815"/>
      <c r="Z4" s="815"/>
      <c r="AA4" s="815"/>
      <c r="AB4" s="815"/>
      <c r="AC4" s="815"/>
      <c r="AD4" s="815"/>
      <c r="AE4" s="815"/>
      <c r="AF4" s="815"/>
      <c r="AG4" s="815"/>
      <c r="AH4" s="815"/>
      <c r="AI4" s="815"/>
      <c r="AJ4" s="815"/>
      <c r="AK4" s="815"/>
      <c r="AL4" s="815"/>
      <c r="AM4" s="815"/>
      <c r="AN4" s="815"/>
      <c r="AO4" s="815"/>
      <c r="AP4" s="815"/>
      <c r="AQ4" s="815"/>
      <c r="AR4" s="815"/>
      <c r="AS4" s="815"/>
      <c r="AT4" s="815"/>
      <c r="AU4" s="815"/>
      <c r="AV4" s="815"/>
      <c r="AW4" s="815"/>
      <c r="AX4" s="815"/>
      <c r="AY4" s="815"/>
      <c r="AZ4" s="815"/>
      <c r="BA4" s="815"/>
      <c r="BB4" s="815"/>
      <c r="BC4" s="815"/>
      <c r="BD4" s="815"/>
    </row>
    <row r="5" spans="1:56" s="813" customFormat="1" ht="12" customHeight="1" x14ac:dyDescent="0.25">
      <c r="E5" s="814"/>
      <c r="F5" s="815"/>
      <c r="G5" s="815"/>
      <c r="H5" s="815"/>
      <c r="I5" s="815"/>
      <c r="J5" s="815"/>
      <c r="K5" s="815"/>
      <c r="L5" s="815"/>
      <c r="M5" s="815"/>
      <c r="N5" s="815"/>
      <c r="O5" s="815"/>
      <c r="P5" s="815"/>
      <c r="Q5" s="815"/>
      <c r="R5" s="815"/>
      <c r="S5" s="816"/>
      <c r="T5" s="815"/>
      <c r="U5" s="815"/>
      <c r="V5" s="815"/>
      <c r="W5" s="815"/>
      <c r="X5" s="815"/>
      <c r="Y5" s="815"/>
      <c r="Z5" s="815"/>
      <c r="AA5" s="815"/>
      <c r="AB5" s="815"/>
      <c r="AC5" s="815"/>
      <c r="AD5" s="815"/>
      <c r="AE5" s="815"/>
      <c r="AF5" s="815"/>
      <c r="AG5" s="815"/>
      <c r="AH5" s="815"/>
      <c r="AI5" s="815"/>
      <c r="AJ5" s="815"/>
      <c r="AK5" s="815"/>
      <c r="AL5" s="815"/>
      <c r="AM5" s="815"/>
      <c r="AN5" s="815"/>
      <c r="AO5" s="815"/>
      <c r="AP5" s="815"/>
      <c r="AQ5" s="815"/>
      <c r="AR5" s="815"/>
      <c r="AS5" s="815"/>
      <c r="AT5" s="815"/>
      <c r="AU5" s="815"/>
      <c r="AV5" s="815"/>
      <c r="AW5" s="815"/>
      <c r="AX5" s="815"/>
      <c r="AY5" s="815"/>
      <c r="AZ5" s="815"/>
      <c r="BA5" s="815"/>
      <c r="BB5" s="815"/>
      <c r="BC5" s="815"/>
      <c r="BD5" s="815"/>
    </row>
    <row r="6" spans="1:56" x14ac:dyDescent="0.25">
      <c r="B6" s="818" t="s">
        <v>1398</v>
      </c>
      <c r="C6" s="818"/>
      <c r="D6" s="818"/>
      <c r="E6" s="819"/>
      <c r="F6" s="819"/>
      <c r="G6" s="819"/>
      <c r="H6" s="819"/>
      <c r="I6" s="819"/>
      <c r="J6" s="819"/>
      <c r="K6" s="819"/>
      <c r="L6" s="819"/>
      <c r="M6" s="819"/>
      <c r="N6" s="819"/>
      <c r="O6" s="819"/>
      <c r="P6" s="820"/>
      <c r="Q6" s="819"/>
      <c r="R6" s="819"/>
      <c r="S6" s="820"/>
      <c r="T6" s="819"/>
      <c r="U6" s="819"/>
      <c r="V6" s="819"/>
      <c r="W6" s="819"/>
      <c r="X6" s="819"/>
      <c r="Y6" s="819"/>
      <c r="Z6" s="819"/>
      <c r="AA6" s="819"/>
      <c r="AB6" s="819"/>
      <c r="AC6" s="819"/>
      <c r="AD6" s="819"/>
      <c r="AE6" s="819"/>
      <c r="AF6" s="819"/>
      <c r="AG6" s="819"/>
      <c r="AH6" s="819"/>
      <c r="AI6" s="819"/>
      <c r="AJ6" s="819"/>
      <c r="AK6" s="819"/>
      <c r="AL6" s="819"/>
      <c r="AM6" s="819"/>
      <c r="AN6" s="819"/>
      <c r="AO6" s="819"/>
      <c r="AP6" s="819"/>
      <c r="AQ6" s="819"/>
      <c r="AR6" s="819"/>
      <c r="AS6" s="819"/>
      <c r="AT6" s="819"/>
      <c r="AU6" s="819"/>
      <c r="AV6" s="819"/>
      <c r="AW6" s="819"/>
      <c r="AX6" s="819"/>
      <c r="AY6" s="819"/>
      <c r="AZ6" s="819"/>
      <c r="BA6" s="819"/>
      <c r="BB6" s="819"/>
      <c r="BC6" s="819"/>
      <c r="BD6" s="819"/>
    </row>
    <row r="7" spans="1:56" x14ac:dyDescent="0.25">
      <c r="P7" s="821"/>
      <c r="Q7" s="821"/>
      <c r="R7" s="821"/>
      <c r="S7" s="822"/>
      <c r="T7" s="821"/>
      <c r="U7" s="821"/>
    </row>
    <row r="8" spans="1:56" s="825" customFormat="1" x14ac:dyDescent="0.25">
      <c r="A8" s="823">
        <v>1</v>
      </c>
      <c r="B8" s="824" t="s">
        <v>1399</v>
      </c>
      <c r="C8" s="824"/>
      <c r="D8" s="824"/>
      <c r="K8" s="826"/>
      <c r="L8" s="826"/>
      <c r="M8" s="826"/>
      <c r="N8" s="826"/>
      <c r="O8" s="826"/>
      <c r="P8" s="826"/>
      <c r="Q8" s="826"/>
      <c r="R8" s="826"/>
      <c r="S8" s="827"/>
      <c r="T8" s="826"/>
      <c r="U8" s="826"/>
    </row>
    <row r="9" spans="1:56" s="800" customFormat="1" x14ac:dyDescent="0.25">
      <c r="A9" s="799"/>
      <c r="B9" s="828" t="s">
        <v>1400</v>
      </c>
      <c r="C9" s="829" t="s">
        <v>714</v>
      </c>
      <c r="D9" s="829" t="s">
        <v>1401</v>
      </c>
      <c r="E9" s="830"/>
      <c r="K9" s="831"/>
      <c r="L9" s="831"/>
      <c r="M9" s="831"/>
      <c r="N9" s="831"/>
      <c r="O9" s="832"/>
      <c r="P9" s="832"/>
      <c r="Q9" s="833"/>
      <c r="R9" s="833">
        <f>R192*R219/1000</f>
        <v>2819.1864341759997</v>
      </c>
      <c r="S9" s="830">
        <f t="shared" ref="S9:AD9" si="2">S192*S219/1000</f>
        <v>2819.1864341759997</v>
      </c>
      <c r="T9" s="1052">
        <f t="shared" si="2"/>
        <v>2905.4880597119991</v>
      </c>
      <c r="U9" s="1052">
        <f t="shared" si="2"/>
        <v>2934.5429403091198</v>
      </c>
      <c r="V9" s="1052">
        <f t="shared" si="2"/>
        <v>2963.888369712211</v>
      </c>
      <c r="W9" s="1052">
        <f t="shared" si="2"/>
        <v>2993.5272534093338</v>
      </c>
      <c r="X9" s="1052">
        <f t="shared" si="2"/>
        <v>3023.4625259434265</v>
      </c>
      <c r="Y9" s="1052">
        <f t="shared" si="2"/>
        <v>3053.6971512028604</v>
      </c>
      <c r="Z9" s="1052">
        <f t="shared" si="2"/>
        <v>3084.2341227148891</v>
      </c>
      <c r="AA9" s="1052">
        <f t="shared" si="2"/>
        <v>3115.0764639420386</v>
      </c>
      <c r="AB9" s="1052">
        <f t="shared" si="2"/>
        <v>3146.2272285814593</v>
      </c>
      <c r="AC9" s="1052">
        <f t="shared" si="2"/>
        <v>3177.6895008672736</v>
      </c>
      <c r="AD9" s="1052">
        <f t="shared" si="2"/>
        <v>3209.4663958759456</v>
      </c>
      <c r="AE9" s="834"/>
      <c r="AF9" s="834"/>
      <c r="AG9" s="834"/>
      <c r="AH9" s="834"/>
      <c r="AI9" s="834"/>
      <c r="AJ9" s="834"/>
      <c r="AK9" s="834"/>
      <c r="AL9" s="834"/>
      <c r="AM9" s="834"/>
      <c r="AN9" s="834"/>
      <c r="AO9" s="834"/>
      <c r="AP9" s="834"/>
      <c r="AQ9" s="834"/>
      <c r="AR9" s="834"/>
      <c r="AS9" s="834"/>
      <c r="AT9" s="834"/>
      <c r="AU9" s="834"/>
      <c r="AV9" s="834"/>
      <c r="AW9" s="834"/>
      <c r="AX9" s="834"/>
      <c r="AY9" s="834"/>
      <c r="AZ9" s="834"/>
      <c r="BA9" s="834"/>
      <c r="BB9" s="834"/>
      <c r="BC9" s="834"/>
      <c r="BD9" s="834"/>
    </row>
    <row r="10" spans="1:56" s="833" customFormat="1" x14ac:dyDescent="0.25">
      <c r="A10" s="835"/>
      <c r="B10" s="828" t="s">
        <v>1402</v>
      </c>
      <c r="C10" s="829" t="s">
        <v>739</v>
      </c>
      <c r="D10" s="829" t="s">
        <v>1401</v>
      </c>
      <c r="E10" s="830"/>
      <c r="O10" s="836"/>
      <c r="P10" s="837"/>
      <c r="R10" s="833">
        <f>R193*R220/1000</f>
        <v>196.99242253521126</v>
      </c>
      <c r="S10" s="830">
        <f t="shared" ref="S10:AD10" si="3">S193*S220/1000</f>
        <v>196.99242253521126</v>
      </c>
      <c r="T10" s="1052">
        <f t="shared" si="3"/>
        <v>203.02280281690145</v>
      </c>
      <c r="U10" s="1052">
        <f t="shared" si="3"/>
        <v>205.05303084507045</v>
      </c>
      <c r="V10" s="1052">
        <f t="shared" si="3"/>
        <v>207.10356115352116</v>
      </c>
      <c r="W10" s="1052">
        <f t="shared" si="3"/>
        <v>209.17459676505638</v>
      </c>
      <c r="X10" s="1052">
        <f t="shared" si="3"/>
        <v>211.26634273270696</v>
      </c>
      <c r="Y10" s="1052">
        <f t="shared" si="3"/>
        <v>213.37900616003404</v>
      </c>
      <c r="Z10" s="1052">
        <f t="shared" si="3"/>
        <v>215.51279622163437</v>
      </c>
      <c r="AA10" s="1052">
        <f t="shared" si="3"/>
        <v>217.66792418385069</v>
      </c>
      <c r="AB10" s="1052">
        <f t="shared" si="3"/>
        <v>219.84460342568923</v>
      </c>
      <c r="AC10" s="1052">
        <f t="shared" si="3"/>
        <v>222.0430494599461</v>
      </c>
      <c r="AD10" s="1052">
        <f t="shared" si="3"/>
        <v>224.26347995454557</v>
      </c>
      <c r="AE10" s="838"/>
      <c r="AF10" s="838"/>
      <c r="AG10" s="838"/>
      <c r="AH10" s="838"/>
      <c r="AI10" s="838"/>
      <c r="AJ10" s="838"/>
      <c r="AK10" s="838"/>
      <c r="AL10" s="838"/>
      <c r="AM10" s="838"/>
      <c r="AN10" s="838"/>
      <c r="AO10" s="838"/>
      <c r="AP10" s="838"/>
      <c r="AQ10" s="838"/>
      <c r="AR10" s="838"/>
      <c r="AS10" s="838"/>
      <c r="AT10" s="838"/>
      <c r="AU10" s="838"/>
      <c r="AV10" s="838"/>
      <c r="AW10" s="838"/>
      <c r="AX10" s="838"/>
      <c r="AY10" s="838"/>
      <c r="AZ10" s="838"/>
      <c r="BA10" s="838"/>
      <c r="BB10" s="838"/>
      <c r="BC10" s="838"/>
      <c r="BD10" s="838"/>
    </row>
    <row r="11" spans="1:56" s="833" customFormat="1" ht="15.75" customHeight="1" x14ac:dyDescent="0.25">
      <c r="A11" s="835"/>
      <c r="B11" s="828" t="s">
        <v>1403</v>
      </c>
      <c r="C11" s="829" t="s">
        <v>701</v>
      </c>
      <c r="D11" s="829" t="s">
        <v>1401</v>
      </c>
      <c r="E11" s="830"/>
      <c r="P11" s="837"/>
      <c r="R11" s="833">
        <f t="shared" ref="R11:AD15" si="4">R194*R221/1000</f>
        <v>184.35802874999999</v>
      </c>
      <c r="S11" s="830">
        <f t="shared" si="4"/>
        <v>184.35802874999999</v>
      </c>
      <c r="T11" s="1052">
        <f t="shared" si="4"/>
        <v>190.00164187499996</v>
      </c>
      <c r="U11" s="1052">
        <f t="shared" si="4"/>
        <v>191.90165829375002</v>
      </c>
      <c r="V11" s="1052">
        <f t="shared" si="4"/>
        <v>193.82067487668752</v>
      </c>
      <c r="W11" s="1052">
        <f t="shared" si="4"/>
        <v>195.75888162545434</v>
      </c>
      <c r="X11" s="1052">
        <f t="shared" si="4"/>
        <v>197.71647044170894</v>
      </c>
      <c r="Y11" s="1052">
        <f t="shared" si="4"/>
        <v>199.69363514612601</v>
      </c>
      <c r="Z11" s="1052">
        <f t="shared" si="4"/>
        <v>201.69057149758726</v>
      </c>
      <c r="AA11" s="1052">
        <f t="shared" si="4"/>
        <v>203.70747721256316</v>
      </c>
      <c r="AB11" s="1052">
        <f t="shared" si="4"/>
        <v>205.74455198468877</v>
      </c>
      <c r="AC11" s="1052">
        <f t="shared" si="4"/>
        <v>207.80199750453565</v>
      </c>
      <c r="AD11" s="1052">
        <f t="shared" si="4"/>
        <v>209.88001747958103</v>
      </c>
      <c r="AE11" s="838"/>
      <c r="AF11" s="838"/>
      <c r="AG11" s="838"/>
      <c r="AH11" s="838"/>
      <c r="AI11" s="838"/>
      <c r="AJ11" s="838"/>
      <c r="AK11" s="838"/>
      <c r="AL11" s="838"/>
      <c r="AM11" s="838"/>
      <c r="AN11" s="838"/>
      <c r="AO11" s="838"/>
      <c r="AP11" s="838"/>
      <c r="AQ11" s="838"/>
      <c r="AR11" s="838"/>
      <c r="AS11" s="838"/>
      <c r="AT11" s="838"/>
      <c r="AU11" s="838"/>
      <c r="AV11" s="838"/>
      <c r="AW11" s="838"/>
      <c r="AX11" s="838"/>
      <c r="AY11" s="838"/>
      <c r="AZ11" s="838"/>
      <c r="BA11" s="838"/>
      <c r="BB11" s="838"/>
      <c r="BC11" s="838"/>
      <c r="BD11" s="838"/>
    </row>
    <row r="12" spans="1:56" s="800" customFormat="1" x14ac:dyDescent="0.25">
      <c r="A12" s="799"/>
      <c r="B12" s="828" t="s">
        <v>1404</v>
      </c>
      <c r="C12" s="829" t="s">
        <v>839</v>
      </c>
      <c r="D12" s="829" t="s">
        <v>1401</v>
      </c>
      <c r="E12" s="830"/>
      <c r="K12" s="839"/>
      <c r="L12" s="839"/>
      <c r="M12" s="839"/>
      <c r="N12" s="839"/>
      <c r="O12" s="839"/>
      <c r="P12" s="837"/>
      <c r="Q12" s="833"/>
      <c r="R12" s="833">
        <f t="shared" si="4"/>
        <v>69.323516577777767</v>
      </c>
      <c r="S12" s="830">
        <f t="shared" si="4"/>
        <v>69.323516577777767</v>
      </c>
      <c r="T12" s="1052">
        <f t="shared" si="4"/>
        <v>70.73828222222221</v>
      </c>
      <c r="U12" s="1052">
        <f t="shared" si="4"/>
        <v>70.73828222222221</v>
      </c>
      <c r="V12" s="1052">
        <f t="shared" si="4"/>
        <v>70.73828222222221</v>
      </c>
      <c r="W12" s="1052">
        <f t="shared" si="4"/>
        <v>70.73828222222221</v>
      </c>
      <c r="X12" s="1052">
        <f t="shared" si="4"/>
        <v>70.73828222222221</v>
      </c>
      <c r="Y12" s="1052">
        <f t="shared" si="4"/>
        <v>70.73828222222221</v>
      </c>
      <c r="Z12" s="1052">
        <f t="shared" si="4"/>
        <v>70.73828222222221</v>
      </c>
      <c r="AA12" s="1052">
        <f t="shared" si="4"/>
        <v>70.73828222222221</v>
      </c>
      <c r="AB12" s="1052">
        <f t="shared" si="4"/>
        <v>70.73828222222221</v>
      </c>
      <c r="AC12" s="1052">
        <f t="shared" si="4"/>
        <v>70.73828222222221</v>
      </c>
      <c r="AD12" s="1052">
        <f t="shared" si="4"/>
        <v>70.73828222222221</v>
      </c>
      <c r="AE12" s="838"/>
      <c r="AF12" s="838"/>
      <c r="AG12" s="838"/>
      <c r="AH12" s="838"/>
      <c r="AI12" s="838"/>
      <c r="AJ12" s="838"/>
      <c r="AK12" s="838"/>
      <c r="AL12" s="838"/>
      <c r="AM12" s="838"/>
      <c r="AN12" s="838"/>
      <c r="AO12" s="838"/>
      <c r="AP12" s="838"/>
      <c r="AQ12" s="838"/>
      <c r="AR12" s="838"/>
      <c r="AS12" s="838"/>
      <c r="AT12" s="838"/>
      <c r="AU12" s="838"/>
      <c r="AV12" s="838"/>
      <c r="AW12" s="838"/>
      <c r="AX12" s="838"/>
      <c r="AY12" s="838"/>
      <c r="AZ12" s="838"/>
      <c r="BA12" s="838"/>
      <c r="BB12" s="838"/>
      <c r="BC12" s="838"/>
      <c r="BD12" s="838"/>
    </row>
    <row r="13" spans="1:56" s="800" customFormat="1" x14ac:dyDescent="0.25">
      <c r="A13" s="799"/>
      <c r="B13" s="828" t="s">
        <v>1405</v>
      </c>
      <c r="C13" s="829" t="s">
        <v>928</v>
      </c>
      <c r="D13" s="829" t="s">
        <v>1401</v>
      </c>
      <c r="E13" s="830"/>
      <c r="K13" s="839"/>
      <c r="L13" s="839"/>
      <c r="M13" s="839"/>
      <c r="N13" s="839"/>
      <c r="O13" s="839"/>
      <c r="P13" s="837"/>
      <c r="Q13" s="833"/>
      <c r="R13" s="833">
        <f t="shared" si="4"/>
        <v>155.49373860631579</v>
      </c>
      <c r="S13" s="830">
        <f t="shared" si="4"/>
        <v>155.49373860631579</v>
      </c>
      <c r="T13" s="1052">
        <f t="shared" si="4"/>
        <v>160.2537510126316</v>
      </c>
      <c r="U13" s="1052">
        <f t="shared" si="4"/>
        <v>161.85628852275792</v>
      </c>
      <c r="V13" s="1052">
        <f t="shared" si="4"/>
        <v>163.47485140798548</v>
      </c>
      <c r="W13" s="1052">
        <f t="shared" si="4"/>
        <v>165.10959992206537</v>
      </c>
      <c r="X13" s="1052">
        <f t="shared" si="4"/>
        <v>166.76069592128601</v>
      </c>
      <c r="Y13" s="1052">
        <f t="shared" si="4"/>
        <v>168.42830288049885</v>
      </c>
      <c r="Z13" s="1052">
        <f t="shared" si="4"/>
        <v>170.11258590930382</v>
      </c>
      <c r="AA13" s="1052">
        <f t="shared" si="4"/>
        <v>171.8137117683969</v>
      </c>
      <c r="AB13" s="1052">
        <f t="shared" si="4"/>
        <v>173.53184888608087</v>
      </c>
      <c r="AC13" s="1052">
        <f t="shared" si="4"/>
        <v>175.26716737494166</v>
      </c>
      <c r="AD13" s="1052">
        <f t="shared" si="4"/>
        <v>177.0198390486911</v>
      </c>
      <c r="AE13" s="838"/>
      <c r="AF13" s="838"/>
      <c r="AG13" s="838"/>
      <c r="AH13" s="838"/>
      <c r="AI13" s="838"/>
      <c r="AJ13" s="838"/>
      <c r="AK13" s="838"/>
      <c r="AL13" s="838"/>
      <c r="AM13" s="838"/>
      <c r="AN13" s="838"/>
      <c r="AO13" s="838"/>
      <c r="AP13" s="838"/>
      <c r="AQ13" s="838"/>
      <c r="AR13" s="838"/>
      <c r="AS13" s="838"/>
      <c r="AT13" s="838"/>
      <c r="AU13" s="838"/>
      <c r="AV13" s="838"/>
      <c r="AW13" s="838"/>
      <c r="AX13" s="838"/>
      <c r="AY13" s="838"/>
      <c r="AZ13" s="838"/>
      <c r="BA13" s="838"/>
      <c r="BB13" s="838"/>
      <c r="BC13" s="838"/>
      <c r="BD13" s="838"/>
    </row>
    <row r="14" spans="1:56" s="800" customFormat="1" x14ac:dyDescent="0.25">
      <c r="A14" s="799"/>
      <c r="B14" s="828" t="s">
        <v>1406</v>
      </c>
      <c r="C14" s="829" t="s">
        <v>723</v>
      </c>
      <c r="D14" s="829" t="s">
        <v>1401</v>
      </c>
      <c r="E14" s="830"/>
      <c r="K14" s="839"/>
      <c r="L14" s="839"/>
      <c r="M14" s="839"/>
      <c r="N14" s="839"/>
      <c r="O14" s="839"/>
      <c r="P14" s="837"/>
      <c r="Q14" s="833"/>
      <c r="R14" s="833">
        <f t="shared" si="4"/>
        <v>4.5474752252631578</v>
      </c>
      <c r="S14" s="830">
        <f t="shared" si="4"/>
        <v>4.5474752252631578</v>
      </c>
      <c r="T14" s="1052">
        <f t="shared" si="4"/>
        <v>4.6402808421052635</v>
      </c>
      <c r="U14" s="1052">
        <f t="shared" si="4"/>
        <v>4.6402808421052635</v>
      </c>
      <c r="V14" s="1052">
        <f t="shared" si="4"/>
        <v>4.6402808421052635</v>
      </c>
      <c r="W14" s="1052">
        <f t="shared" si="4"/>
        <v>4.6402808421052635</v>
      </c>
      <c r="X14" s="1052">
        <f t="shared" si="4"/>
        <v>4.6402808421052635</v>
      </c>
      <c r="Y14" s="1052">
        <f t="shared" si="4"/>
        <v>4.6402808421052635</v>
      </c>
      <c r="Z14" s="1052">
        <f t="shared" si="4"/>
        <v>4.6402808421052635</v>
      </c>
      <c r="AA14" s="1052">
        <f t="shared" si="4"/>
        <v>4.6402808421052635</v>
      </c>
      <c r="AB14" s="1052">
        <f t="shared" si="4"/>
        <v>4.6402808421052635</v>
      </c>
      <c r="AC14" s="1052">
        <f t="shared" si="4"/>
        <v>4.6402808421052635</v>
      </c>
      <c r="AD14" s="1052">
        <f t="shared" si="4"/>
        <v>4.6402808421052635</v>
      </c>
      <c r="AE14" s="838"/>
      <c r="AF14" s="838"/>
      <c r="AG14" s="838"/>
      <c r="AH14" s="838"/>
      <c r="AI14" s="838"/>
      <c r="AJ14" s="838"/>
      <c r="AK14" s="838"/>
      <c r="AL14" s="838"/>
      <c r="AM14" s="838"/>
      <c r="AN14" s="838"/>
      <c r="AO14" s="838"/>
      <c r="AP14" s="838"/>
      <c r="AQ14" s="838"/>
      <c r="AR14" s="838"/>
      <c r="AS14" s="838"/>
      <c r="AT14" s="838"/>
      <c r="AU14" s="838"/>
      <c r="AV14" s="838"/>
      <c r="AW14" s="838"/>
      <c r="AX14" s="838"/>
      <c r="AY14" s="838"/>
      <c r="AZ14" s="838"/>
      <c r="BA14" s="838"/>
      <c r="BB14" s="838"/>
      <c r="BC14" s="838"/>
      <c r="BD14" s="838"/>
    </row>
    <row r="15" spans="1:56" s="800" customFormat="1" x14ac:dyDescent="0.25">
      <c r="A15" s="799"/>
      <c r="B15" s="828" t="s">
        <v>1407</v>
      </c>
      <c r="C15" s="829" t="s">
        <v>695</v>
      </c>
      <c r="D15" s="829" t="s">
        <v>1401</v>
      </c>
      <c r="E15" s="830"/>
      <c r="K15" s="839"/>
      <c r="L15" s="839"/>
      <c r="M15" s="839"/>
      <c r="N15" s="839"/>
      <c r="O15" s="839"/>
      <c r="P15" s="837"/>
      <c r="Q15" s="833"/>
      <c r="R15" s="833">
        <f t="shared" si="4"/>
        <v>6341.6799279272727</v>
      </c>
      <c r="S15" s="830">
        <f t="shared" si="4"/>
        <v>6341.6799279272727</v>
      </c>
      <c r="T15" s="1052">
        <f t="shared" si="4"/>
        <v>6600.5240066181823</v>
      </c>
      <c r="U15" s="1052">
        <f t="shared" si="4"/>
        <v>6732.5344867505446</v>
      </c>
      <c r="V15" s="1052">
        <f t="shared" si="4"/>
        <v>6867.1851764855564</v>
      </c>
      <c r="W15" s="1052">
        <f t="shared" si="4"/>
        <v>7004.5288800152684</v>
      </c>
      <c r="X15" s="1052">
        <f t="shared" si="4"/>
        <v>7144.6194576155731</v>
      </c>
      <c r="Y15" s="1052">
        <f t="shared" si="4"/>
        <v>7158.2986363636355</v>
      </c>
      <c r="Z15" s="1052">
        <f t="shared" si="4"/>
        <v>7158.2986363636355</v>
      </c>
      <c r="AA15" s="1052">
        <f t="shared" si="4"/>
        <v>7158.2986363636355</v>
      </c>
      <c r="AB15" s="1052">
        <f t="shared" si="4"/>
        <v>7158.2986363636355</v>
      </c>
      <c r="AC15" s="1052">
        <f t="shared" si="4"/>
        <v>7158.2986363636355</v>
      </c>
      <c r="AD15" s="1052">
        <f t="shared" si="4"/>
        <v>7158.2986363636355</v>
      </c>
      <c r="AE15" s="838"/>
      <c r="AF15" s="838"/>
      <c r="AG15" s="838"/>
      <c r="AH15" s="838"/>
      <c r="AI15" s="838"/>
      <c r="AJ15" s="838"/>
      <c r="AK15" s="838"/>
      <c r="AL15" s="838"/>
      <c r="AM15" s="838"/>
      <c r="AN15" s="838"/>
      <c r="AO15" s="838"/>
      <c r="AP15" s="838"/>
      <c r="AQ15" s="838"/>
      <c r="AR15" s="838"/>
      <c r="AS15" s="838"/>
      <c r="AT15" s="838"/>
      <c r="AU15" s="838"/>
      <c r="AV15" s="838"/>
      <c r="AW15" s="838"/>
      <c r="AX15" s="838"/>
      <c r="AY15" s="838"/>
      <c r="AZ15" s="838"/>
      <c r="BA15" s="838"/>
      <c r="BB15" s="838"/>
      <c r="BC15" s="838"/>
      <c r="BD15" s="838"/>
    </row>
    <row r="16" spans="1:56" s="800" customFormat="1" x14ac:dyDescent="0.25">
      <c r="A16" s="799"/>
      <c r="B16" s="828" t="s">
        <v>1408</v>
      </c>
      <c r="C16" s="828"/>
      <c r="D16" s="828"/>
      <c r="E16" s="830"/>
      <c r="K16" s="839"/>
      <c r="L16" s="839"/>
      <c r="M16" s="839"/>
      <c r="N16" s="839"/>
      <c r="O16" s="839"/>
      <c r="P16" s="837"/>
      <c r="Q16" s="833"/>
      <c r="R16" s="833"/>
      <c r="S16" s="830"/>
      <c r="T16" s="1052"/>
      <c r="U16" s="1052"/>
      <c r="V16" s="1052"/>
      <c r="W16" s="1052"/>
      <c r="X16" s="1052"/>
      <c r="Y16" s="1052"/>
      <c r="Z16" s="1052"/>
      <c r="AA16" s="1052"/>
      <c r="AB16" s="1052"/>
      <c r="AC16" s="1052"/>
      <c r="AD16" s="1052"/>
      <c r="AE16" s="838"/>
      <c r="AF16" s="838"/>
      <c r="AG16" s="838"/>
      <c r="AH16" s="838"/>
      <c r="AI16" s="838"/>
      <c r="AJ16" s="838"/>
      <c r="AK16" s="838"/>
      <c r="AL16" s="838"/>
      <c r="AM16" s="838"/>
      <c r="AN16" s="838"/>
      <c r="AO16" s="838"/>
      <c r="AP16" s="838"/>
      <c r="AQ16" s="838"/>
      <c r="AR16" s="838"/>
      <c r="AS16" s="838"/>
      <c r="AT16" s="838"/>
      <c r="AU16" s="838"/>
      <c r="AV16" s="838"/>
      <c r="AW16" s="838"/>
      <c r="AX16" s="838"/>
      <c r="AY16" s="838"/>
      <c r="AZ16" s="838"/>
      <c r="BA16" s="838"/>
      <c r="BB16" s="838"/>
      <c r="BC16" s="838"/>
      <c r="BD16" s="838"/>
    </row>
    <row r="17" spans="1:56" s="800" customFormat="1" x14ac:dyDescent="0.25">
      <c r="A17" s="799"/>
      <c r="B17" s="840" t="s">
        <v>1409</v>
      </c>
      <c r="C17" s="840"/>
      <c r="D17" s="840"/>
      <c r="E17" s="830"/>
      <c r="K17" s="839"/>
      <c r="L17" s="839"/>
      <c r="M17" s="839"/>
      <c r="N17" s="839"/>
      <c r="O17" s="839"/>
      <c r="P17" s="837"/>
      <c r="Q17" s="833"/>
      <c r="R17" s="833"/>
      <c r="S17" s="830"/>
      <c r="T17" s="1052"/>
      <c r="U17" s="1052"/>
      <c r="V17" s="1052"/>
      <c r="W17" s="1052"/>
      <c r="X17" s="1052"/>
      <c r="Y17" s="1052"/>
      <c r="Z17" s="1052"/>
      <c r="AA17" s="1052"/>
      <c r="AB17" s="1052"/>
      <c r="AC17" s="1052"/>
      <c r="AD17" s="1052"/>
      <c r="AE17" s="838"/>
      <c r="AF17" s="838"/>
      <c r="AG17" s="838"/>
      <c r="AH17" s="838"/>
      <c r="AI17" s="838"/>
      <c r="AJ17" s="838"/>
      <c r="AK17" s="838"/>
      <c r="AL17" s="838"/>
      <c r="AM17" s="838"/>
      <c r="AN17" s="838"/>
      <c r="AO17" s="838"/>
      <c r="AP17" s="838"/>
      <c r="AQ17" s="838"/>
      <c r="AR17" s="838"/>
      <c r="AS17" s="838"/>
      <c r="AT17" s="838"/>
      <c r="AU17" s="838"/>
      <c r="AV17" s="838"/>
      <c r="AW17" s="838"/>
      <c r="AX17" s="838"/>
      <c r="AY17" s="838"/>
      <c r="AZ17" s="838"/>
      <c r="BA17" s="838"/>
      <c r="BB17" s="838"/>
      <c r="BC17" s="838"/>
      <c r="BD17" s="838"/>
    </row>
    <row r="18" spans="1:56" s="800" customFormat="1" x14ac:dyDescent="0.25">
      <c r="A18" s="799"/>
      <c r="B18" s="840" t="s">
        <v>1410</v>
      </c>
      <c r="C18" s="841" t="s">
        <v>1411</v>
      </c>
      <c r="D18" s="841" t="s">
        <v>1412</v>
      </c>
      <c r="E18" s="830"/>
      <c r="K18" s="839"/>
      <c r="L18" s="839"/>
      <c r="M18" s="839"/>
      <c r="N18" s="839"/>
      <c r="O18" s="839"/>
      <c r="P18" s="837"/>
      <c r="Q18" s="833"/>
      <c r="R18" s="833"/>
      <c r="S18" s="830">
        <f>S201 * S228</f>
        <v>1349.1478868519123</v>
      </c>
      <c r="T18" s="1052">
        <f t="shared" ref="T18:AD18" si="5">T201 * T228</f>
        <v>9623.9215928769736</v>
      </c>
      <c r="U18" s="1052">
        <f t="shared" si="5"/>
        <v>10297.596104378365</v>
      </c>
      <c r="V18" s="1052">
        <f t="shared" si="5"/>
        <v>35222.628443515343</v>
      </c>
      <c r="W18" s="1052">
        <f t="shared" si="5"/>
        <v>40153.796425607485</v>
      </c>
      <c r="X18" s="1052">
        <f t="shared" si="5"/>
        <v>45775.327925192527</v>
      </c>
      <c r="Y18" s="1052">
        <f t="shared" si="5"/>
        <v>52183.873834719481</v>
      </c>
      <c r="Z18" s="1052">
        <f t="shared" si="5"/>
        <v>59489.616171580201</v>
      </c>
      <c r="AA18" s="1052">
        <f t="shared" si="5"/>
        <v>67818.162435601422</v>
      </c>
      <c r="AB18" s="1052">
        <f t="shared" si="5"/>
        <v>77312.705176585616</v>
      </c>
      <c r="AC18" s="1052">
        <f t="shared" si="5"/>
        <v>88136.483901307598</v>
      </c>
      <c r="AD18" s="1052">
        <f t="shared" si="5"/>
        <v>100475.59164749066</v>
      </c>
      <c r="AE18" s="838"/>
      <c r="AF18" s="838"/>
      <c r="AG18" s="838"/>
      <c r="AH18" s="838"/>
      <c r="AI18" s="838"/>
      <c r="AJ18" s="838"/>
      <c r="AK18" s="838"/>
      <c r="AL18" s="838"/>
      <c r="AM18" s="838"/>
      <c r="AN18" s="838"/>
      <c r="AO18" s="838"/>
      <c r="AP18" s="838"/>
      <c r="AQ18" s="838"/>
      <c r="AR18" s="838"/>
      <c r="AS18" s="838"/>
      <c r="AT18" s="838"/>
      <c r="AU18" s="838"/>
      <c r="AV18" s="838"/>
      <c r="AW18" s="838"/>
      <c r="AX18" s="838"/>
      <c r="AY18" s="838"/>
      <c r="AZ18" s="838"/>
      <c r="BA18" s="838"/>
      <c r="BB18" s="838"/>
      <c r="BC18" s="838"/>
      <c r="BD18" s="838"/>
    </row>
    <row r="19" spans="1:56" s="800" customFormat="1" x14ac:dyDescent="0.25">
      <c r="A19" s="799"/>
      <c r="B19" s="840" t="s">
        <v>1413</v>
      </c>
      <c r="C19" s="841" t="s">
        <v>1414</v>
      </c>
      <c r="D19" s="841" t="s">
        <v>1412</v>
      </c>
      <c r="E19" s="830"/>
      <c r="K19" s="839"/>
      <c r="L19" s="839"/>
      <c r="M19" s="839"/>
      <c r="N19" s="839"/>
      <c r="O19" s="839"/>
      <c r="P19" s="837"/>
      <c r="Q19" s="833"/>
      <c r="R19" s="833"/>
      <c r="S19" s="830">
        <f>S202 * S229</f>
        <v>252029.54531250001</v>
      </c>
      <c r="T19" s="1052">
        <f t="shared" ref="T19:AD19" si="6">T202 * T229</f>
        <v>1797810.7565625003</v>
      </c>
      <c r="U19" s="1052">
        <f t="shared" si="6"/>
        <v>1923657.5095218755</v>
      </c>
      <c r="V19" s="1052">
        <f t="shared" si="6"/>
        <v>6579814.650300595</v>
      </c>
      <c r="W19" s="1052">
        <f t="shared" si="6"/>
        <v>7500988.7013426777</v>
      </c>
      <c r="X19" s="1052">
        <f t="shared" si="6"/>
        <v>8551127.1195306499</v>
      </c>
      <c r="Y19" s="1052">
        <f t="shared" si="6"/>
        <v>9748284.9162649419</v>
      </c>
      <c r="Z19" s="1052">
        <f t="shared" si="6"/>
        <v>11113044.804542033</v>
      </c>
      <c r="AA19" s="1052">
        <f t="shared" si="6"/>
        <v>12668871.077177918</v>
      </c>
      <c r="AB19" s="1052">
        <f t="shared" si="6"/>
        <v>14442513.027982824</v>
      </c>
      <c r="AC19" s="1052">
        <f t="shared" si="6"/>
        <v>16464464.851900415</v>
      </c>
      <c r="AD19" s="1052">
        <f t="shared" si="6"/>
        <v>18769489.931166474</v>
      </c>
      <c r="AE19" s="838"/>
      <c r="AF19" s="838"/>
      <c r="AG19" s="838"/>
      <c r="AH19" s="838"/>
      <c r="AI19" s="838"/>
      <c r="AJ19" s="838"/>
      <c r="AK19" s="838"/>
      <c r="AL19" s="838"/>
      <c r="AM19" s="838"/>
      <c r="AN19" s="838"/>
      <c r="AO19" s="838"/>
      <c r="AP19" s="838"/>
      <c r="AQ19" s="838"/>
      <c r="AR19" s="838"/>
      <c r="AS19" s="838"/>
      <c r="AT19" s="838"/>
      <c r="AU19" s="838"/>
      <c r="AV19" s="838"/>
      <c r="AW19" s="838"/>
      <c r="AX19" s="838"/>
      <c r="AY19" s="838"/>
      <c r="AZ19" s="838"/>
      <c r="BA19" s="838"/>
      <c r="BB19" s="838"/>
      <c r="BC19" s="838"/>
      <c r="BD19" s="838"/>
    </row>
    <row r="20" spans="1:56" s="800" customFormat="1" x14ac:dyDescent="0.25">
      <c r="A20" s="799"/>
      <c r="B20" s="840" t="s">
        <v>1415</v>
      </c>
      <c r="C20" s="841" t="s">
        <v>1416</v>
      </c>
      <c r="D20" s="841" t="s">
        <v>1412</v>
      </c>
      <c r="E20" s="830"/>
      <c r="K20" s="839"/>
      <c r="L20" s="839"/>
      <c r="M20" s="839"/>
      <c r="N20" s="839"/>
      <c r="O20" s="839"/>
      <c r="P20" s="837"/>
      <c r="Q20" s="833"/>
      <c r="R20" s="833"/>
      <c r="S20" s="830"/>
      <c r="T20" s="1052">
        <f>T230*T203</f>
        <v>115626.76056338029</v>
      </c>
      <c r="U20" s="1052"/>
      <c r="V20" s="1052"/>
      <c r="W20" s="1052"/>
      <c r="X20" s="1052"/>
      <c r="Y20" s="1052"/>
      <c r="Z20" s="1052"/>
      <c r="AA20" s="1052"/>
      <c r="AB20" s="1052"/>
      <c r="AC20" s="1052"/>
      <c r="AD20" s="1052"/>
      <c r="AE20" s="838"/>
      <c r="AF20" s="838"/>
      <c r="AG20" s="838"/>
      <c r="AH20" s="838"/>
      <c r="AI20" s="838"/>
      <c r="AJ20" s="838"/>
      <c r="AK20" s="838"/>
      <c r="AL20" s="838"/>
      <c r="AM20" s="838"/>
      <c r="AN20" s="838"/>
      <c r="AO20" s="838"/>
      <c r="AP20" s="838"/>
      <c r="AQ20" s="838"/>
      <c r="AR20" s="838"/>
      <c r="AS20" s="838"/>
      <c r="AT20" s="838"/>
      <c r="AU20" s="838"/>
      <c r="AV20" s="838"/>
      <c r="AW20" s="838"/>
      <c r="AX20" s="838"/>
      <c r="AY20" s="838"/>
      <c r="AZ20" s="838"/>
      <c r="BA20" s="838"/>
      <c r="BB20" s="838"/>
      <c r="BC20" s="838"/>
      <c r="BD20" s="838"/>
    </row>
    <row r="21" spans="1:56" s="800" customFormat="1" x14ac:dyDescent="0.25">
      <c r="A21" s="799"/>
      <c r="B21" s="828" t="s">
        <v>1417</v>
      </c>
      <c r="C21" s="828"/>
      <c r="D21" s="828"/>
      <c r="E21" s="830"/>
      <c r="K21" s="839"/>
      <c r="L21" s="839"/>
      <c r="M21" s="839"/>
      <c r="N21" s="839"/>
      <c r="O21" s="839"/>
      <c r="P21" s="837"/>
      <c r="Q21" s="833"/>
      <c r="R21" s="833"/>
      <c r="S21" s="830"/>
      <c r="T21" s="1052"/>
      <c r="U21" s="1052"/>
      <c r="V21" s="1052"/>
      <c r="W21" s="1052"/>
      <c r="X21" s="1052"/>
      <c r="Y21" s="1052"/>
      <c r="Z21" s="1052"/>
      <c r="AA21" s="1052"/>
      <c r="AB21" s="1052"/>
      <c r="AC21" s="1052"/>
      <c r="AD21" s="1052"/>
      <c r="AE21" s="838"/>
      <c r="AF21" s="838"/>
      <c r="AG21" s="838"/>
      <c r="AH21" s="838"/>
      <c r="AI21" s="838"/>
      <c r="AJ21" s="838"/>
      <c r="AK21" s="838"/>
      <c r="AL21" s="838"/>
      <c r="AM21" s="838"/>
      <c r="AN21" s="838"/>
      <c r="AO21" s="838"/>
      <c r="AP21" s="838"/>
      <c r="AQ21" s="838"/>
      <c r="AR21" s="838"/>
      <c r="AS21" s="838"/>
      <c r="AT21" s="838"/>
      <c r="AU21" s="838"/>
      <c r="AV21" s="838"/>
      <c r="AW21" s="838"/>
      <c r="AX21" s="838"/>
      <c r="AY21" s="838"/>
      <c r="AZ21" s="838"/>
      <c r="BA21" s="838"/>
      <c r="BB21" s="838"/>
      <c r="BC21" s="838"/>
      <c r="BD21" s="838"/>
    </row>
    <row r="22" spans="1:56" s="800" customFormat="1" x14ac:dyDescent="0.25">
      <c r="A22" s="799"/>
      <c r="B22" s="840" t="s">
        <v>1418</v>
      </c>
      <c r="C22" s="841" t="s">
        <v>1419</v>
      </c>
      <c r="D22" s="829" t="s">
        <v>1401</v>
      </c>
      <c r="E22" s="830"/>
      <c r="K22" s="839"/>
      <c r="L22" s="839"/>
      <c r="M22" s="839"/>
      <c r="N22" s="839"/>
      <c r="O22" s="839"/>
      <c r="P22" s="837"/>
      <c r="Q22" s="833"/>
      <c r="R22" s="833"/>
      <c r="S22" s="830"/>
      <c r="T22" s="1052">
        <f>T155*T205</f>
        <v>0</v>
      </c>
      <c r="U22" s="1052">
        <f t="shared" ref="U22:AD22" si="7">U155*U205</f>
        <v>0</v>
      </c>
      <c r="V22" s="1052">
        <f t="shared" si="7"/>
        <v>542.89</v>
      </c>
      <c r="W22" s="1052">
        <f t="shared" si="7"/>
        <v>564.82275600000014</v>
      </c>
      <c r="X22" s="1052">
        <f t="shared" si="7"/>
        <v>587.64159534240014</v>
      </c>
      <c r="Y22" s="1052">
        <f t="shared" si="7"/>
        <v>611.38231579423314</v>
      </c>
      <c r="Z22" s="1052">
        <f t="shared" si="7"/>
        <v>636.0821613523201</v>
      </c>
      <c r="AA22" s="1052">
        <f t="shared" si="7"/>
        <v>661.77988067095384</v>
      </c>
      <c r="AB22" s="1052">
        <f t="shared" si="7"/>
        <v>688.51578785006052</v>
      </c>
      <c r="AC22" s="1052">
        <f t="shared" si="7"/>
        <v>716.33182567920278</v>
      </c>
      <c r="AD22" s="1052">
        <f t="shared" si="7"/>
        <v>745.27163143664268</v>
      </c>
      <c r="AE22" s="838"/>
      <c r="AF22" s="838"/>
      <c r="AG22" s="838"/>
      <c r="AH22" s="838"/>
      <c r="AI22" s="838"/>
      <c r="AJ22" s="838"/>
      <c r="AK22" s="838"/>
      <c r="AL22" s="838"/>
      <c r="AM22" s="838"/>
      <c r="AN22" s="838"/>
      <c r="AO22" s="838"/>
      <c r="AP22" s="838"/>
      <c r="AQ22" s="838"/>
      <c r="AR22" s="838"/>
      <c r="AS22" s="838"/>
      <c r="AT22" s="838"/>
      <c r="AU22" s="838"/>
      <c r="AV22" s="838"/>
      <c r="AW22" s="838"/>
      <c r="AX22" s="838"/>
      <c r="AY22" s="838"/>
      <c r="AZ22" s="838"/>
      <c r="BA22" s="838"/>
      <c r="BB22" s="838"/>
      <c r="BC22" s="838"/>
      <c r="BD22" s="838"/>
    </row>
    <row r="23" spans="1:56" s="800" customFormat="1" x14ac:dyDescent="0.25">
      <c r="A23" s="799"/>
      <c r="B23" s="840" t="s">
        <v>1420</v>
      </c>
      <c r="C23" s="841" t="s">
        <v>1421</v>
      </c>
      <c r="D23" s="829" t="s">
        <v>1401</v>
      </c>
      <c r="E23" s="830"/>
      <c r="K23" s="839"/>
      <c r="L23" s="839"/>
      <c r="M23" s="839"/>
      <c r="N23" s="839"/>
      <c r="O23" s="839"/>
      <c r="P23" s="837"/>
      <c r="Q23" s="833"/>
      <c r="R23" s="833"/>
      <c r="S23" s="830"/>
      <c r="T23" s="1052">
        <f>T156*T206</f>
        <v>0</v>
      </c>
      <c r="U23" s="1052">
        <f t="shared" ref="U23:AD23" si="8">U156*U206</f>
        <v>0</v>
      </c>
      <c r="V23" s="1052">
        <f t="shared" si="8"/>
        <v>278.89</v>
      </c>
      <c r="W23" s="1052">
        <f t="shared" si="8"/>
        <v>290.1571560000001</v>
      </c>
      <c r="X23" s="1052">
        <f t="shared" si="8"/>
        <v>301.87950510240006</v>
      </c>
      <c r="Y23" s="1052">
        <f t="shared" si="8"/>
        <v>314.07543710853702</v>
      </c>
      <c r="Z23" s="1052">
        <f t="shared" si="8"/>
        <v>326.7640847677219</v>
      </c>
      <c r="AA23" s="1052">
        <f t="shared" si="8"/>
        <v>339.96535379233785</v>
      </c>
      <c r="AB23" s="1052">
        <f t="shared" si="8"/>
        <v>353.69995408554843</v>
      </c>
      <c r="AC23" s="1052">
        <f t="shared" si="8"/>
        <v>367.98943223060445</v>
      </c>
      <c r="AD23" s="1052">
        <f t="shared" si="8"/>
        <v>382.85620529272092</v>
      </c>
      <c r="AE23" s="838"/>
      <c r="AF23" s="838"/>
      <c r="AG23" s="838"/>
      <c r="AH23" s="838"/>
      <c r="AI23" s="838"/>
      <c r="AJ23" s="838"/>
      <c r="AK23" s="838"/>
      <c r="AL23" s="838"/>
      <c r="AM23" s="838"/>
      <c r="AN23" s="838"/>
      <c r="AO23" s="838"/>
      <c r="AP23" s="838"/>
      <c r="AQ23" s="838"/>
      <c r="AR23" s="838"/>
      <c r="AS23" s="838"/>
      <c r="AT23" s="838"/>
      <c r="AU23" s="838"/>
      <c r="AV23" s="838"/>
      <c r="AW23" s="838"/>
      <c r="AX23" s="838"/>
      <c r="AY23" s="838"/>
      <c r="AZ23" s="838"/>
      <c r="BA23" s="838"/>
      <c r="BB23" s="838"/>
      <c r="BC23" s="838"/>
      <c r="BD23" s="838"/>
    </row>
    <row r="24" spans="1:56" s="800" customFormat="1" x14ac:dyDescent="0.25">
      <c r="A24" s="799"/>
      <c r="B24" s="828" t="s">
        <v>1422</v>
      </c>
      <c r="C24" s="828"/>
      <c r="D24" s="828"/>
      <c r="E24" s="830"/>
      <c r="K24" s="839"/>
      <c r="L24" s="839"/>
      <c r="M24" s="839"/>
      <c r="N24" s="839"/>
      <c r="O24" s="839"/>
      <c r="P24" s="837"/>
      <c r="Q24" s="833"/>
      <c r="R24" s="833"/>
      <c r="S24" s="830"/>
      <c r="T24" s="1052"/>
      <c r="U24" s="1052"/>
      <c r="V24" s="1052"/>
      <c r="W24" s="1052"/>
      <c r="X24" s="1052"/>
      <c r="Y24" s="1052"/>
      <c r="Z24" s="1052"/>
      <c r="AA24" s="1052"/>
      <c r="AB24" s="1052"/>
      <c r="AC24" s="1052"/>
      <c r="AD24" s="1052"/>
      <c r="AE24" s="838"/>
      <c r="AF24" s="838"/>
      <c r="AG24" s="838"/>
      <c r="AH24" s="838"/>
      <c r="AI24" s="838"/>
      <c r="AJ24" s="838"/>
      <c r="AK24" s="838"/>
      <c r="AL24" s="838"/>
      <c r="AM24" s="838"/>
      <c r="AN24" s="838"/>
      <c r="AO24" s="838"/>
      <c r="AP24" s="838"/>
      <c r="AQ24" s="838"/>
      <c r="AR24" s="838"/>
      <c r="AS24" s="838"/>
      <c r="AT24" s="838"/>
      <c r="AU24" s="838"/>
      <c r="AV24" s="838"/>
      <c r="AW24" s="838"/>
      <c r="AX24" s="838"/>
      <c r="AY24" s="838"/>
      <c r="AZ24" s="838"/>
      <c r="BA24" s="838"/>
      <c r="BB24" s="838"/>
      <c r="BC24" s="838"/>
      <c r="BD24" s="838"/>
    </row>
    <row r="25" spans="1:56" s="800" customFormat="1" x14ac:dyDescent="0.25">
      <c r="A25" s="799"/>
      <c r="B25" s="840" t="s">
        <v>1423</v>
      </c>
      <c r="C25" s="841" t="s">
        <v>1424</v>
      </c>
      <c r="D25" s="841" t="s">
        <v>1412</v>
      </c>
      <c r="E25" s="830"/>
      <c r="K25" s="839"/>
      <c r="L25" s="839"/>
      <c r="M25" s="839"/>
      <c r="N25" s="839"/>
      <c r="O25" s="839"/>
      <c r="P25" s="837"/>
      <c r="Q25" s="833"/>
      <c r="R25" s="833"/>
      <c r="S25" s="830"/>
      <c r="T25" s="1053">
        <f>T158*T208</f>
        <v>0</v>
      </c>
      <c r="U25" s="1053">
        <f t="shared" ref="U25:AD25" si="9">U158*U208</f>
        <v>0</v>
      </c>
      <c r="V25" s="1053">
        <f t="shared" si="9"/>
        <v>0</v>
      </c>
      <c r="W25" s="1053">
        <f t="shared" si="9"/>
        <v>2.25</v>
      </c>
      <c r="X25" s="1053">
        <f t="shared" si="9"/>
        <v>2.5281000000000002</v>
      </c>
      <c r="Y25" s="1053">
        <f t="shared" si="9"/>
        <v>2.8405731600000008</v>
      </c>
      <c r="Z25" s="1053">
        <f t="shared" si="9"/>
        <v>3.3132445338240011</v>
      </c>
      <c r="AA25" s="1053">
        <f t="shared" si="9"/>
        <v>3.8645684242523144</v>
      </c>
      <c r="AB25" s="1053">
        <f t="shared" si="9"/>
        <v>4.5076326100479012</v>
      </c>
      <c r="AC25" s="1053">
        <f t="shared" si="9"/>
        <v>5.257702676359874</v>
      </c>
      <c r="AD25" s="1053">
        <f t="shared" si="9"/>
        <v>6.1325844017061568</v>
      </c>
      <c r="AE25" s="838"/>
      <c r="AF25" s="838"/>
      <c r="AG25" s="838"/>
      <c r="AH25" s="838"/>
      <c r="AI25" s="838"/>
      <c r="AJ25" s="838"/>
      <c r="AK25" s="838"/>
      <c r="AL25" s="838"/>
      <c r="AM25" s="838"/>
      <c r="AN25" s="838"/>
      <c r="AO25" s="838"/>
      <c r="AP25" s="838"/>
      <c r="AQ25" s="838"/>
      <c r="AR25" s="838"/>
      <c r="AS25" s="838"/>
      <c r="AT25" s="838"/>
      <c r="AU25" s="838"/>
      <c r="AV25" s="838"/>
      <c r="AW25" s="838"/>
      <c r="AX25" s="838"/>
      <c r="AY25" s="838"/>
      <c r="AZ25" s="838"/>
      <c r="BA25" s="838"/>
      <c r="BB25" s="838"/>
      <c r="BC25" s="838"/>
      <c r="BD25" s="838"/>
    </row>
    <row r="26" spans="1:56" s="800" customFormat="1" x14ac:dyDescent="0.25">
      <c r="A26" s="799"/>
      <c r="B26" s="840" t="s">
        <v>1425</v>
      </c>
      <c r="C26" s="841" t="s">
        <v>1426</v>
      </c>
      <c r="D26" s="829" t="s">
        <v>1401</v>
      </c>
      <c r="E26" s="830"/>
      <c r="K26" s="839"/>
      <c r="L26" s="839"/>
      <c r="M26" s="839"/>
      <c r="N26" s="839"/>
      <c r="O26" s="839"/>
      <c r="P26" s="837"/>
      <c r="Q26" s="833"/>
      <c r="R26" s="833"/>
      <c r="S26" s="830"/>
      <c r="T26" s="1053">
        <f>T159*T209</f>
        <v>0</v>
      </c>
      <c r="U26" s="1053">
        <f t="shared" ref="U26:AD26" si="10">U159*U209</f>
        <v>0</v>
      </c>
      <c r="V26" s="1053">
        <f t="shared" si="10"/>
        <v>0</v>
      </c>
      <c r="W26" s="1053">
        <f t="shared" si="10"/>
        <v>0</v>
      </c>
      <c r="X26" s="1053">
        <f t="shared" si="10"/>
        <v>0</v>
      </c>
      <c r="Y26" s="1053">
        <f t="shared" si="10"/>
        <v>0</v>
      </c>
      <c r="Z26" s="1053">
        <f t="shared" si="10"/>
        <v>16</v>
      </c>
      <c r="AA26" s="1053">
        <f t="shared" si="10"/>
        <v>16.974399999999999</v>
      </c>
      <c r="AB26" s="1053">
        <f t="shared" si="10"/>
        <v>18.008140960000006</v>
      </c>
      <c r="AC26" s="1053">
        <f t="shared" si="10"/>
        <v>19.104836744464009</v>
      </c>
      <c r="AD26" s="1053">
        <f t="shared" si="10"/>
        <v>20.268321302201862</v>
      </c>
      <c r="AE26" s="838"/>
      <c r="AF26" s="838"/>
      <c r="AG26" s="838"/>
      <c r="AH26" s="838"/>
      <c r="AI26" s="838"/>
      <c r="AJ26" s="838"/>
      <c r="AK26" s="838"/>
      <c r="AL26" s="838"/>
      <c r="AM26" s="838"/>
      <c r="AN26" s="838"/>
      <c r="AO26" s="838"/>
      <c r="AP26" s="838"/>
      <c r="AQ26" s="838"/>
      <c r="AR26" s="838"/>
      <c r="AS26" s="838"/>
      <c r="AT26" s="838"/>
      <c r="AU26" s="838"/>
      <c r="AV26" s="838"/>
      <c r="AW26" s="838"/>
      <c r="AX26" s="838"/>
      <c r="AY26" s="838"/>
      <c r="AZ26" s="838"/>
      <c r="BA26" s="838"/>
      <c r="BB26" s="838"/>
      <c r="BC26" s="838"/>
      <c r="BD26" s="838"/>
    </row>
    <row r="27" spans="1:56" s="800" customFormat="1" x14ac:dyDescent="0.25">
      <c r="A27" s="799"/>
      <c r="B27" s="840" t="s">
        <v>1427</v>
      </c>
      <c r="C27" s="841" t="s">
        <v>1428</v>
      </c>
      <c r="D27" s="829" t="s">
        <v>1401</v>
      </c>
      <c r="E27" s="830"/>
      <c r="K27" s="839"/>
      <c r="L27" s="839"/>
      <c r="M27" s="839"/>
      <c r="N27" s="839"/>
      <c r="O27" s="839"/>
      <c r="P27" s="837"/>
      <c r="Q27" s="833"/>
      <c r="R27" s="833"/>
      <c r="S27" s="830"/>
      <c r="T27" s="1053">
        <f>T160*T210</f>
        <v>0</v>
      </c>
      <c r="U27" s="1053">
        <f t="shared" ref="U27:AD27" si="11">U160*U210</f>
        <v>0</v>
      </c>
      <c r="V27" s="1053">
        <f t="shared" si="11"/>
        <v>0</v>
      </c>
      <c r="W27" s="1053">
        <f t="shared" si="11"/>
        <v>0</v>
      </c>
      <c r="X27" s="1053">
        <f t="shared" si="11"/>
        <v>0.20250000000000001</v>
      </c>
      <c r="Y27" s="1053">
        <f t="shared" si="11"/>
        <v>0.21483225000000003</v>
      </c>
      <c r="Z27" s="1053">
        <f t="shared" si="11"/>
        <v>0.22791553402500009</v>
      </c>
      <c r="AA27" s="1053">
        <f t="shared" si="11"/>
        <v>0.24179559004712256</v>
      </c>
      <c r="AB27" s="1053">
        <f t="shared" si="11"/>
        <v>0.25652094148099236</v>
      </c>
      <c r="AC27" s="1053">
        <f t="shared" si="11"/>
        <v>0.27214306681718481</v>
      </c>
      <c r="AD27" s="1053">
        <f t="shared" si="11"/>
        <v>0.28871657958635144</v>
      </c>
      <c r="AE27" s="838"/>
      <c r="AF27" s="838"/>
      <c r="AG27" s="838"/>
      <c r="AH27" s="838"/>
      <c r="AI27" s="838"/>
      <c r="AJ27" s="838"/>
      <c r="AK27" s="838"/>
      <c r="AL27" s="838"/>
      <c r="AM27" s="838"/>
      <c r="AN27" s="838"/>
      <c r="AO27" s="838"/>
      <c r="AP27" s="838"/>
      <c r="AQ27" s="838"/>
      <c r="AR27" s="838"/>
      <c r="AS27" s="838"/>
      <c r="AT27" s="838"/>
      <c r="AU27" s="838"/>
      <c r="AV27" s="838"/>
      <c r="AW27" s="838"/>
      <c r="AX27" s="838"/>
      <c r="AY27" s="838"/>
      <c r="AZ27" s="838"/>
      <c r="BA27" s="838"/>
      <c r="BB27" s="838"/>
      <c r="BC27" s="838"/>
      <c r="BD27" s="838"/>
    </row>
    <row r="28" spans="1:56" s="800" customFormat="1" x14ac:dyDescent="0.25">
      <c r="A28" s="799"/>
      <c r="B28" s="840" t="s">
        <v>1429</v>
      </c>
      <c r="C28" s="841" t="s">
        <v>1430</v>
      </c>
      <c r="D28" s="829" t="s">
        <v>1401</v>
      </c>
      <c r="E28" s="830"/>
      <c r="K28" s="839"/>
      <c r="L28" s="839"/>
      <c r="M28" s="839"/>
      <c r="N28" s="839"/>
      <c r="O28" s="839"/>
      <c r="P28" s="837"/>
      <c r="Q28" s="833"/>
      <c r="R28" s="833"/>
      <c r="S28" s="830"/>
      <c r="T28" s="1053">
        <f>T161*T211</f>
        <v>0</v>
      </c>
      <c r="U28" s="1053">
        <f t="shared" ref="U28:AD28" si="12">U161*U211</f>
        <v>0</v>
      </c>
      <c r="V28" s="1053">
        <f t="shared" si="12"/>
        <v>0</v>
      </c>
      <c r="W28" s="1053">
        <f t="shared" si="12"/>
        <v>0</v>
      </c>
      <c r="X28" s="1053">
        <f t="shared" si="12"/>
        <v>6.25E-2</v>
      </c>
      <c r="Y28" s="1053">
        <f t="shared" si="12"/>
        <v>6.6306249999999997E-2</v>
      </c>
      <c r="Z28" s="1053">
        <f t="shared" si="12"/>
        <v>7.0344300625000022E-2</v>
      </c>
      <c r="AA28" s="1053">
        <f t="shared" si="12"/>
        <v>7.4628268533062536E-2</v>
      </c>
      <c r="AB28" s="1053">
        <f t="shared" si="12"/>
        <v>7.9173130086726023E-2</v>
      </c>
      <c r="AC28" s="1053">
        <f t="shared" si="12"/>
        <v>8.3994773709007667E-2</v>
      </c>
      <c r="AD28" s="1053">
        <f t="shared" si="12"/>
        <v>8.9110055427886234E-2</v>
      </c>
      <c r="AE28" s="838"/>
      <c r="AF28" s="838"/>
      <c r="AG28" s="838"/>
      <c r="AH28" s="838"/>
      <c r="AI28" s="838"/>
      <c r="AJ28" s="838"/>
      <c r="AK28" s="838"/>
      <c r="AL28" s="838"/>
      <c r="AM28" s="838"/>
      <c r="AN28" s="838"/>
      <c r="AO28" s="838"/>
      <c r="AP28" s="838"/>
      <c r="AQ28" s="838"/>
      <c r="AR28" s="838"/>
      <c r="AS28" s="838"/>
      <c r="AT28" s="838"/>
      <c r="AU28" s="838"/>
      <c r="AV28" s="838"/>
      <c r="AW28" s="838"/>
      <c r="AX28" s="838"/>
      <c r="AY28" s="838"/>
      <c r="AZ28" s="838"/>
      <c r="BA28" s="838"/>
      <c r="BB28" s="838"/>
      <c r="BC28" s="838"/>
      <c r="BD28" s="838"/>
    </row>
    <row r="29" spans="1:56" s="800" customFormat="1" x14ac:dyDescent="0.25">
      <c r="A29" s="799"/>
      <c r="B29" s="828" t="s">
        <v>1431</v>
      </c>
      <c r="C29" s="829" t="s">
        <v>1432</v>
      </c>
      <c r="D29" s="829"/>
      <c r="E29" s="833"/>
      <c r="K29" s="839"/>
      <c r="L29" s="839"/>
      <c r="M29" s="839"/>
      <c r="N29" s="839"/>
      <c r="O29" s="839"/>
      <c r="P29" s="837"/>
      <c r="Q29" s="842"/>
      <c r="R29" s="837"/>
      <c r="S29" s="843"/>
      <c r="T29" s="1054">
        <f>T162*T212</f>
        <v>0</v>
      </c>
      <c r="U29" s="1055">
        <f t="shared" ref="U29:AD29" si="13">U162*U212</f>
        <v>0</v>
      </c>
      <c r="V29" s="1055">
        <f t="shared" si="13"/>
        <v>0</v>
      </c>
      <c r="W29" s="1055">
        <f t="shared" si="13"/>
        <v>0</v>
      </c>
      <c r="X29" s="1055">
        <f t="shared" si="13"/>
        <v>0</v>
      </c>
      <c r="Y29" s="1055">
        <f t="shared" si="13"/>
        <v>0</v>
      </c>
      <c r="Z29" s="1055">
        <f t="shared" si="13"/>
        <v>0</v>
      </c>
      <c r="AA29" s="1055">
        <f t="shared" si="13"/>
        <v>0</v>
      </c>
      <c r="AB29" s="1055">
        <f t="shared" si="13"/>
        <v>0</v>
      </c>
      <c r="AC29" s="1055">
        <f t="shared" si="13"/>
        <v>0</v>
      </c>
      <c r="AD29" s="1055">
        <f t="shared" si="13"/>
        <v>0</v>
      </c>
      <c r="AE29" s="838"/>
      <c r="AF29" s="838"/>
      <c r="AG29" s="838"/>
      <c r="AH29" s="838"/>
      <c r="AI29" s="838"/>
      <c r="AJ29" s="838"/>
      <c r="AK29" s="838"/>
      <c r="AL29" s="838"/>
      <c r="AM29" s="838"/>
      <c r="AN29" s="838"/>
      <c r="AO29" s="838"/>
      <c r="AP29" s="838"/>
      <c r="AQ29" s="838"/>
      <c r="AR29" s="838"/>
      <c r="AS29" s="838"/>
      <c r="AT29" s="838"/>
      <c r="AU29" s="838"/>
      <c r="AV29" s="838"/>
      <c r="AW29" s="838"/>
      <c r="AX29" s="838"/>
      <c r="AY29" s="838"/>
      <c r="AZ29" s="838"/>
      <c r="BA29" s="838"/>
      <c r="BB29" s="838"/>
      <c r="BC29" s="838"/>
      <c r="BD29" s="838"/>
    </row>
    <row r="30" spans="1:56" s="851" customFormat="1" x14ac:dyDescent="0.25">
      <c r="A30" s="806"/>
      <c r="B30" s="844" t="s">
        <v>1433</v>
      </c>
      <c r="C30" s="844"/>
      <c r="D30" s="844"/>
      <c r="E30" s="845" t="s">
        <v>1434</v>
      </c>
      <c r="F30" s="844"/>
      <c r="G30" s="844"/>
      <c r="H30" s="844"/>
      <c r="I30" s="846"/>
      <c r="J30" s="846"/>
      <c r="K30" s="846"/>
      <c r="L30" s="847"/>
      <c r="M30" s="848">
        <f>'IS Raw'!J18</f>
        <v>1119.03</v>
      </c>
      <c r="N30" s="848">
        <f>'IS Raw'!K18</f>
        <v>1260.1400000000001</v>
      </c>
      <c r="O30" s="848">
        <f>'IS Raw'!L18</f>
        <v>1255.6300000000001</v>
      </c>
      <c r="P30" s="848">
        <f>'IS Raw'!M18</f>
        <v>1220.8399999999999</v>
      </c>
      <c r="Q30" s="848">
        <f>'IS Raw'!N18</f>
        <v>1143.1400000000001</v>
      </c>
      <c r="R30" s="848">
        <f>'IS Raw'!O18</f>
        <v>1148.3</v>
      </c>
      <c r="S30" s="849">
        <f>'IS Raw'!P18</f>
        <v>1191.05</v>
      </c>
      <c r="T30" s="1077">
        <f>(T213*10^6*T240)/(10^9)</f>
        <v>1508.1886956129608</v>
      </c>
      <c r="U30" s="1077">
        <f t="shared" ref="U30:AD30" si="14">(U213*10^6*U240)/(10^9)</f>
        <v>1539.1104557104293</v>
      </c>
      <c r="V30" s="1077">
        <f t="shared" si="14"/>
        <v>1960.4427171090974</v>
      </c>
      <c r="W30" s="1077">
        <f t="shared" si="14"/>
        <v>2084.20851127989</v>
      </c>
      <c r="X30" s="1077">
        <f t="shared" si="14"/>
        <v>2217.9866154822685</v>
      </c>
      <c r="Y30" s="1077">
        <f t="shared" si="14"/>
        <v>2325.2353014555565</v>
      </c>
      <c r="Z30" s="1077">
        <f t="shared" si="14"/>
        <v>2461.8972640178476</v>
      </c>
      <c r="AA30" s="1077">
        <f t="shared" si="14"/>
        <v>2559.6763964843221</v>
      </c>
      <c r="AB30" s="1077">
        <f t="shared" si="14"/>
        <v>2666.0182266091115</v>
      </c>
      <c r="AC30" s="1077">
        <f t="shared" si="14"/>
        <v>2781.7866457223249</v>
      </c>
      <c r="AD30" s="1077">
        <f t="shared" si="14"/>
        <v>2907.9352079654386</v>
      </c>
      <c r="AE30" s="850"/>
      <c r="AF30" s="850"/>
      <c r="AG30" s="850"/>
      <c r="AH30" s="850"/>
      <c r="AI30" s="850">
        <f t="shared" ref="AI30:BD30" si="15">AI240*AI215/10^9</f>
        <v>0</v>
      </c>
      <c r="AJ30" s="850">
        <f t="shared" si="15"/>
        <v>0</v>
      </c>
      <c r="AK30" s="850">
        <f t="shared" si="15"/>
        <v>0</v>
      </c>
      <c r="AL30" s="850">
        <f t="shared" si="15"/>
        <v>0</v>
      </c>
      <c r="AM30" s="850">
        <f t="shared" si="15"/>
        <v>0</v>
      </c>
      <c r="AN30" s="850">
        <f t="shared" si="15"/>
        <v>0</v>
      </c>
      <c r="AO30" s="850">
        <f t="shared" si="15"/>
        <v>0</v>
      </c>
      <c r="AP30" s="850">
        <f t="shared" si="15"/>
        <v>0</v>
      </c>
      <c r="AQ30" s="850">
        <f t="shared" si="15"/>
        <v>0</v>
      </c>
      <c r="AR30" s="850">
        <f t="shared" si="15"/>
        <v>0</v>
      </c>
      <c r="AS30" s="850">
        <f t="shared" si="15"/>
        <v>0</v>
      </c>
      <c r="AT30" s="850">
        <f t="shared" si="15"/>
        <v>0</v>
      </c>
      <c r="AU30" s="850">
        <f t="shared" si="15"/>
        <v>0</v>
      </c>
      <c r="AV30" s="850">
        <f t="shared" si="15"/>
        <v>0</v>
      </c>
      <c r="AW30" s="850">
        <f t="shared" si="15"/>
        <v>0</v>
      </c>
      <c r="AX30" s="850">
        <f t="shared" si="15"/>
        <v>0</v>
      </c>
      <c r="AY30" s="850">
        <f t="shared" si="15"/>
        <v>0</v>
      </c>
      <c r="AZ30" s="850">
        <f t="shared" si="15"/>
        <v>0</v>
      </c>
      <c r="BA30" s="850">
        <f t="shared" si="15"/>
        <v>0</v>
      </c>
      <c r="BB30" s="850">
        <f t="shared" si="15"/>
        <v>0</v>
      </c>
      <c r="BC30" s="850">
        <f t="shared" si="15"/>
        <v>0</v>
      </c>
      <c r="BD30" s="850">
        <f t="shared" si="15"/>
        <v>0</v>
      </c>
    </row>
    <row r="31" spans="1:56" s="851" customFormat="1" x14ac:dyDescent="0.25">
      <c r="A31" s="806"/>
      <c r="E31" s="852"/>
      <c r="I31" s="853"/>
      <c r="J31" s="853"/>
      <c r="K31" s="853"/>
      <c r="L31" s="854"/>
      <c r="M31" s="855"/>
      <c r="N31" s="855"/>
      <c r="O31" s="855"/>
      <c r="P31" s="855"/>
      <c r="Q31" s="855"/>
      <c r="R31" s="855"/>
      <c r="S31" s="856"/>
      <c r="T31" s="857"/>
      <c r="U31" s="857"/>
      <c r="V31" s="857"/>
      <c r="W31" s="857"/>
      <c r="X31" s="857"/>
      <c r="Y31" s="857"/>
      <c r="Z31" s="857"/>
      <c r="AA31" s="857"/>
      <c r="AB31" s="857"/>
      <c r="AC31" s="857"/>
      <c r="AD31" s="857"/>
      <c r="AE31" s="858"/>
      <c r="AF31" s="858"/>
      <c r="AG31" s="858"/>
      <c r="AH31" s="858"/>
      <c r="AI31" s="858"/>
      <c r="AJ31" s="858"/>
      <c r="AK31" s="858"/>
      <c r="AL31" s="858"/>
      <c r="AM31" s="858"/>
      <c r="AN31" s="858"/>
      <c r="AO31" s="858"/>
      <c r="AP31" s="858"/>
      <c r="AQ31" s="858"/>
      <c r="AR31" s="858"/>
      <c r="AS31" s="858"/>
      <c r="AT31" s="858"/>
      <c r="AU31" s="858"/>
      <c r="AV31" s="858"/>
      <c r="AW31" s="858"/>
      <c r="AX31" s="858"/>
      <c r="AY31" s="858"/>
      <c r="AZ31" s="858"/>
      <c r="BA31" s="858"/>
      <c r="BB31" s="858"/>
      <c r="BC31" s="858"/>
      <c r="BD31" s="858"/>
    </row>
    <row r="32" spans="1:56" s="851" customFormat="1" x14ac:dyDescent="0.25">
      <c r="A32" s="806"/>
      <c r="E32" s="852"/>
      <c r="I32" s="853"/>
      <c r="J32" s="853"/>
      <c r="K32" s="853"/>
      <c r="L32" s="854"/>
      <c r="M32" s="855"/>
      <c r="N32" s="1090">
        <f t="shared" ref="N32:R32" si="16">N30/M30-1</f>
        <v>0.12610028328105605</v>
      </c>
      <c r="O32" s="1090">
        <f t="shared" si="16"/>
        <v>-3.5789674163188012E-3</v>
      </c>
      <c r="P32" s="1090">
        <f t="shared" si="16"/>
        <v>-2.7707206740839374E-2</v>
      </c>
      <c r="Q32" s="1090">
        <f t="shared" si="16"/>
        <v>-6.3644703646669409E-2</v>
      </c>
      <c r="R32" s="1090">
        <f t="shared" si="16"/>
        <v>4.5138828140034448E-3</v>
      </c>
      <c r="S32" s="1089">
        <f>S30/R30-1</f>
        <v>3.7228947139249291E-2</v>
      </c>
      <c r="T32" s="1090">
        <f t="shared" ref="T32:AD32" si="17">T30/S30-1</f>
        <v>0.26626816306029211</v>
      </c>
      <c r="U32" s="1090">
        <f t="shared" si="17"/>
        <v>2.0502580471140064E-2</v>
      </c>
      <c r="V32" s="1090">
        <f t="shared" si="17"/>
        <v>0.27375050298400305</v>
      </c>
      <c r="W32" s="1090">
        <f t="shared" si="17"/>
        <v>6.3131553444876864E-2</v>
      </c>
      <c r="X32" s="1090">
        <f t="shared" si="17"/>
        <v>6.418652619369003E-2</v>
      </c>
      <c r="Y32" s="1090">
        <f t="shared" si="17"/>
        <v>4.8354072664215986E-2</v>
      </c>
      <c r="Z32" s="1090">
        <f t="shared" si="17"/>
        <v>5.8773390579758944E-2</v>
      </c>
      <c r="AA32" s="1090">
        <f t="shared" si="17"/>
        <v>3.9716983277725326E-2</v>
      </c>
      <c r="AB32" s="1090">
        <f t="shared" si="17"/>
        <v>4.1545029000872313E-2</v>
      </c>
      <c r="AC32" s="1090">
        <f t="shared" si="17"/>
        <v>4.3423716296365544E-2</v>
      </c>
      <c r="AD32" s="1090">
        <f t="shared" si="17"/>
        <v>4.5348036463219721E-2</v>
      </c>
      <c r="AE32" s="858"/>
      <c r="AF32" s="858"/>
      <c r="AG32" s="858"/>
      <c r="AH32" s="858"/>
      <c r="AI32" s="858"/>
      <c r="AJ32" s="858"/>
      <c r="AK32" s="858"/>
      <c r="AL32" s="858"/>
      <c r="AM32" s="858"/>
      <c r="AN32" s="858"/>
      <c r="AO32" s="858"/>
      <c r="AP32" s="858"/>
      <c r="AQ32" s="858"/>
      <c r="AR32" s="858"/>
      <c r="AS32" s="858"/>
      <c r="AT32" s="858"/>
      <c r="AU32" s="858"/>
      <c r="AV32" s="858"/>
      <c r="AW32" s="858"/>
      <c r="AX32" s="858"/>
      <c r="AY32" s="858"/>
      <c r="AZ32" s="858"/>
      <c r="BA32" s="858"/>
      <c r="BB32" s="858"/>
      <c r="BC32" s="858"/>
      <c r="BD32" s="858"/>
    </row>
    <row r="33" spans="1:56" s="860" customFormat="1" x14ac:dyDescent="0.25">
      <c r="A33" s="859"/>
      <c r="L33" s="861"/>
      <c r="M33" s="861"/>
      <c r="N33" s="861"/>
      <c r="O33" s="861"/>
      <c r="P33" s="861"/>
      <c r="Q33" s="861"/>
      <c r="R33" s="861"/>
      <c r="S33" s="856"/>
      <c r="T33" s="855"/>
      <c r="U33" s="855"/>
      <c r="V33" s="855"/>
      <c r="W33" s="855"/>
      <c r="X33" s="855"/>
      <c r="Y33" s="855"/>
      <c r="Z33" s="855"/>
      <c r="AA33" s="855"/>
      <c r="AB33" s="855"/>
      <c r="AC33" s="855"/>
      <c r="AD33" s="855"/>
      <c r="AE33" s="861"/>
      <c r="AF33" s="861"/>
      <c r="AG33" s="861"/>
      <c r="AH33" s="861"/>
      <c r="AI33" s="861"/>
      <c r="AJ33" s="861"/>
      <c r="AK33" s="861"/>
      <c r="AL33" s="861"/>
      <c r="AM33" s="861"/>
      <c r="AN33" s="861"/>
      <c r="AO33" s="861"/>
      <c r="AP33" s="861"/>
      <c r="AQ33" s="861"/>
      <c r="AR33" s="861"/>
      <c r="AS33" s="861"/>
      <c r="AT33" s="861"/>
      <c r="AU33" s="861"/>
      <c r="AV33" s="861"/>
      <c r="AW33" s="861"/>
      <c r="AX33" s="861"/>
      <c r="AY33" s="861"/>
      <c r="AZ33" s="861"/>
      <c r="BA33" s="861"/>
      <c r="BB33" s="861"/>
      <c r="BC33" s="861"/>
      <c r="BD33" s="861"/>
    </row>
    <row r="34" spans="1:56" s="825" customFormat="1" x14ac:dyDescent="0.25">
      <c r="A34" s="823">
        <v>2</v>
      </c>
      <c r="B34" s="824" t="s">
        <v>1435</v>
      </c>
      <c r="C34" s="824"/>
      <c r="D34" s="824"/>
      <c r="K34" s="826"/>
      <c r="L34" s="826"/>
      <c r="M34" s="826"/>
      <c r="N34" s="826"/>
      <c r="O34" s="826"/>
      <c r="P34" s="826"/>
      <c r="Q34" s="826"/>
      <c r="R34" s="826"/>
      <c r="S34" s="827"/>
      <c r="T34" s="826"/>
      <c r="U34" s="826"/>
    </row>
    <row r="35" spans="1:56" s="800" customFormat="1" x14ac:dyDescent="0.25">
      <c r="A35" s="799"/>
      <c r="B35" s="828" t="s">
        <v>1400</v>
      </c>
      <c r="C35" s="829" t="s">
        <v>714</v>
      </c>
      <c r="D35" s="829" t="s">
        <v>1401</v>
      </c>
      <c r="E35" s="830"/>
      <c r="K35" s="831"/>
      <c r="L35" s="831"/>
      <c r="M35" s="831"/>
      <c r="N35" s="831"/>
      <c r="O35" s="831"/>
      <c r="P35" s="831"/>
      <c r="Q35" s="831"/>
      <c r="R35" s="831"/>
      <c r="S35" s="862"/>
      <c r="T35" s="863"/>
      <c r="U35" s="863"/>
      <c r="V35" s="863"/>
      <c r="W35" s="863"/>
      <c r="X35" s="863"/>
      <c r="Y35" s="863"/>
      <c r="Z35" s="863"/>
      <c r="AA35" s="863"/>
      <c r="AB35" s="863"/>
      <c r="AC35" s="863"/>
      <c r="AD35" s="863"/>
      <c r="AE35" s="863"/>
      <c r="AF35" s="863"/>
      <c r="AG35" s="863"/>
      <c r="AH35" s="863"/>
      <c r="AI35" s="863"/>
      <c r="AJ35" s="863"/>
      <c r="AK35" s="863"/>
      <c r="AL35" s="863"/>
      <c r="AM35" s="863"/>
      <c r="AN35" s="863"/>
      <c r="AO35" s="863"/>
      <c r="AP35" s="863"/>
      <c r="AQ35" s="863"/>
      <c r="AR35" s="863"/>
      <c r="AS35" s="863"/>
      <c r="AT35" s="863"/>
      <c r="AU35" s="863"/>
      <c r="AV35" s="863"/>
      <c r="AW35" s="863"/>
      <c r="AX35" s="863"/>
      <c r="AY35" s="863"/>
      <c r="AZ35" s="863"/>
      <c r="BA35" s="863"/>
      <c r="BB35" s="863"/>
      <c r="BC35" s="863"/>
      <c r="BD35" s="863"/>
    </row>
    <row r="36" spans="1:56" s="833" customFormat="1" x14ac:dyDescent="0.25">
      <c r="A36" s="835"/>
      <c r="B36" s="828" t="s">
        <v>1402</v>
      </c>
      <c r="C36" s="829" t="s">
        <v>739</v>
      </c>
      <c r="D36" s="829" t="s">
        <v>1401</v>
      </c>
      <c r="E36" s="830"/>
      <c r="O36" s="836"/>
      <c r="P36" s="837"/>
      <c r="Q36" s="864"/>
      <c r="R36" s="836"/>
      <c r="S36" s="830"/>
      <c r="T36" s="838"/>
      <c r="U36" s="838"/>
      <c r="V36" s="838"/>
      <c r="W36" s="838"/>
      <c r="X36" s="838"/>
      <c r="Y36" s="838"/>
      <c r="Z36" s="838"/>
      <c r="AA36" s="838"/>
      <c r="AB36" s="838"/>
      <c r="AC36" s="838"/>
      <c r="AD36" s="838"/>
      <c r="AE36" s="838"/>
      <c r="AF36" s="838"/>
      <c r="AG36" s="838"/>
      <c r="AH36" s="838"/>
      <c r="AI36" s="838"/>
      <c r="AJ36" s="838"/>
      <c r="AK36" s="838"/>
      <c r="AL36" s="838"/>
      <c r="AM36" s="838"/>
      <c r="AN36" s="838"/>
      <c r="AO36" s="838"/>
      <c r="AP36" s="838"/>
      <c r="AQ36" s="838"/>
      <c r="AR36" s="838"/>
      <c r="AS36" s="838"/>
      <c r="AT36" s="838"/>
      <c r="AU36" s="838"/>
      <c r="AV36" s="838"/>
      <c r="AW36" s="838"/>
      <c r="AX36" s="838"/>
      <c r="AY36" s="838"/>
      <c r="AZ36" s="838"/>
      <c r="BA36" s="838"/>
      <c r="BB36" s="838"/>
      <c r="BC36" s="838"/>
      <c r="BD36" s="838"/>
    </row>
    <row r="37" spans="1:56" s="833" customFormat="1" ht="15.75" customHeight="1" x14ac:dyDescent="0.25">
      <c r="A37" s="835"/>
      <c r="B37" s="828" t="s">
        <v>1403</v>
      </c>
      <c r="C37" s="829" t="s">
        <v>701</v>
      </c>
      <c r="D37" s="829" t="s">
        <v>1401</v>
      </c>
      <c r="E37" s="830"/>
      <c r="Q37" s="865"/>
      <c r="S37" s="830"/>
      <c r="T37" s="838"/>
      <c r="U37" s="838"/>
      <c r="V37" s="838"/>
      <c r="W37" s="838"/>
      <c r="X37" s="838"/>
      <c r="Y37" s="838"/>
      <c r="Z37" s="838"/>
      <c r="AA37" s="838"/>
      <c r="AB37" s="838"/>
      <c r="AC37" s="838"/>
      <c r="AD37" s="838"/>
      <c r="AE37" s="838"/>
      <c r="AF37" s="838"/>
      <c r="AG37" s="838"/>
      <c r="AH37" s="838"/>
      <c r="AI37" s="838"/>
      <c r="AJ37" s="838"/>
      <c r="AK37" s="838"/>
      <c r="AL37" s="838"/>
      <c r="AM37" s="838"/>
      <c r="AN37" s="838"/>
      <c r="AO37" s="838"/>
      <c r="AP37" s="838"/>
      <c r="AQ37" s="838"/>
      <c r="AR37" s="838"/>
      <c r="AS37" s="838"/>
      <c r="AT37" s="838"/>
      <c r="AU37" s="838"/>
      <c r="AV37" s="838"/>
      <c r="AW37" s="838"/>
      <c r="AX37" s="838"/>
      <c r="AY37" s="838"/>
      <c r="AZ37" s="838"/>
      <c r="BA37" s="838"/>
      <c r="BB37" s="838"/>
      <c r="BC37" s="838"/>
      <c r="BD37" s="838"/>
    </row>
    <row r="38" spans="1:56" s="800" customFormat="1" x14ac:dyDescent="0.25">
      <c r="A38" s="799"/>
      <c r="B38" s="828" t="s">
        <v>1404</v>
      </c>
      <c r="C38" s="829" t="s">
        <v>839</v>
      </c>
      <c r="D38" s="829" t="s">
        <v>1401</v>
      </c>
      <c r="E38" s="830"/>
      <c r="K38" s="839"/>
      <c r="L38" s="839"/>
      <c r="M38" s="839"/>
      <c r="N38" s="839"/>
      <c r="O38" s="839"/>
      <c r="P38" s="837"/>
      <c r="Q38" s="839"/>
      <c r="R38" s="839"/>
      <c r="S38" s="866"/>
      <c r="T38" s="838"/>
      <c r="U38" s="838"/>
      <c r="V38" s="838"/>
      <c r="W38" s="838"/>
      <c r="X38" s="838"/>
      <c r="Y38" s="838"/>
      <c r="Z38" s="838"/>
      <c r="AA38" s="838"/>
      <c r="AB38" s="838"/>
      <c r="AC38" s="838"/>
      <c r="AD38" s="838"/>
      <c r="AE38" s="838"/>
      <c r="AF38" s="838"/>
      <c r="AG38" s="838"/>
      <c r="AH38" s="838"/>
      <c r="AI38" s="838"/>
      <c r="AJ38" s="838"/>
      <c r="AK38" s="838"/>
      <c r="AL38" s="838"/>
      <c r="AM38" s="838"/>
      <c r="AN38" s="838"/>
      <c r="AO38" s="838"/>
      <c r="AP38" s="838"/>
      <c r="AQ38" s="838"/>
      <c r="AR38" s="838"/>
      <c r="AS38" s="838"/>
      <c r="AT38" s="838"/>
      <c r="AU38" s="838"/>
      <c r="AV38" s="838"/>
      <c r="AW38" s="838"/>
      <c r="AX38" s="838"/>
      <c r="AY38" s="838"/>
      <c r="AZ38" s="838"/>
      <c r="BA38" s="838"/>
      <c r="BB38" s="838"/>
      <c r="BC38" s="838"/>
      <c r="BD38" s="838"/>
    </row>
    <row r="39" spans="1:56" s="800" customFormat="1" x14ac:dyDescent="0.25">
      <c r="A39" s="799"/>
      <c r="B39" s="828" t="s">
        <v>1405</v>
      </c>
      <c r="C39" s="829" t="s">
        <v>928</v>
      </c>
      <c r="D39" s="829" t="s">
        <v>1401</v>
      </c>
      <c r="E39" s="830"/>
      <c r="K39" s="839"/>
      <c r="L39" s="839"/>
      <c r="M39" s="839"/>
      <c r="N39" s="839"/>
      <c r="O39" s="839"/>
      <c r="P39" s="837"/>
      <c r="Q39" s="839"/>
      <c r="R39" s="839"/>
      <c r="S39" s="866"/>
      <c r="T39" s="838"/>
      <c r="U39" s="838"/>
      <c r="V39" s="838"/>
      <c r="W39" s="838"/>
      <c r="X39" s="838"/>
      <c r="Y39" s="838"/>
      <c r="Z39" s="838"/>
      <c r="AA39" s="838"/>
      <c r="AB39" s="838"/>
      <c r="AC39" s="838"/>
      <c r="AD39" s="838"/>
      <c r="AE39" s="838"/>
      <c r="AF39" s="838"/>
      <c r="AG39" s="838"/>
      <c r="AH39" s="838"/>
      <c r="AI39" s="838"/>
      <c r="AJ39" s="838"/>
      <c r="AK39" s="838"/>
      <c r="AL39" s="838"/>
      <c r="AM39" s="838"/>
      <c r="AN39" s="838"/>
      <c r="AO39" s="838"/>
      <c r="AP39" s="838"/>
      <c r="AQ39" s="838"/>
      <c r="AR39" s="838"/>
      <c r="AS39" s="838"/>
      <c r="AT39" s="838"/>
      <c r="AU39" s="838"/>
      <c r="AV39" s="838"/>
      <c r="AW39" s="838"/>
      <c r="AX39" s="838"/>
      <c r="AY39" s="838"/>
      <c r="AZ39" s="838"/>
      <c r="BA39" s="838"/>
      <c r="BB39" s="838"/>
      <c r="BC39" s="838"/>
      <c r="BD39" s="838"/>
    </row>
    <row r="40" spans="1:56" s="800" customFormat="1" x14ac:dyDescent="0.25">
      <c r="A40" s="799"/>
      <c r="B40" s="828" t="s">
        <v>1406</v>
      </c>
      <c r="C40" s="829" t="s">
        <v>723</v>
      </c>
      <c r="D40" s="829" t="s">
        <v>1401</v>
      </c>
      <c r="E40" s="830"/>
      <c r="K40" s="839"/>
      <c r="L40" s="839"/>
      <c r="M40" s="839"/>
      <c r="N40" s="839"/>
      <c r="O40" s="839"/>
      <c r="P40" s="837"/>
      <c r="Q40" s="839"/>
      <c r="R40" s="839"/>
      <c r="S40" s="866"/>
      <c r="T40" s="838"/>
      <c r="U40" s="838"/>
      <c r="V40" s="838"/>
      <c r="W40" s="838"/>
      <c r="X40" s="838"/>
      <c r="Y40" s="838"/>
      <c r="Z40" s="838"/>
      <c r="AA40" s="838"/>
      <c r="AB40" s="838"/>
      <c r="AC40" s="838"/>
      <c r="AD40" s="838"/>
      <c r="AE40" s="838"/>
      <c r="AF40" s="838"/>
      <c r="AG40" s="838"/>
      <c r="AH40" s="838"/>
      <c r="AI40" s="838"/>
      <c r="AJ40" s="838"/>
      <c r="AK40" s="838"/>
      <c r="AL40" s="838"/>
      <c r="AM40" s="838"/>
      <c r="AN40" s="838"/>
      <c r="AO40" s="838"/>
      <c r="AP40" s="838"/>
      <c r="AQ40" s="838"/>
      <c r="AR40" s="838"/>
      <c r="AS40" s="838"/>
      <c r="AT40" s="838"/>
      <c r="AU40" s="838"/>
      <c r="AV40" s="838"/>
      <c r="AW40" s="838"/>
      <c r="AX40" s="838"/>
      <c r="AY40" s="838"/>
      <c r="AZ40" s="838"/>
      <c r="BA40" s="838"/>
      <c r="BB40" s="838"/>
      <c r="BC40" s="838"/>
      <c r="BD40" s="838"/>
    </row>
    <row r="41" spans="1:56" s="800" customFormat="1" x14ac:dyDescent="0.25">
      <c r="A41" s="799"/>
      <c r="B41" s="828" t="s">
        <v>1407</v>
      </c>
      <c r="C41" s="829" t="s">
        <v>695</v>
      </c>
      <c r="D41" s="829" t="s">
        <v>1401</v>
      </c>
      <c r="E41" s="830"/>
      <c r="K41" s="839"/>
      <c r="L41" s="839"/>
      <c r="M41" s="839"/>
      <c r="N41" s="839"/>
      <c r="O41" s="839"/>
      <c r="P41" s="837"/>
      <c r="Q41" s="831"/>
      <c r="R41" s="831"/>
      <c r="S41" s="862"/>
      <c r="T41" s="838"/>
      <c r="U41" s="838"/>
      <c r="V41" s="838"/>
      <c r="W41" s="838"/>
      <c r="X41" s="838"/>
      <c r="Y41" s="838"/>
      <c r="Z41" s="838"/>
      <c r="AA41" s="838"/>
      <c r="AB41" s="838"/>
      <c r="AC41" s="838"/>
      <c r="AD41" s="838"/>
      <c r="AE41" s="838"/>
      <c r="AF41" s="838"/>
      <c r="AG41" s="838"/>
      <c r="AH41" s="838"/>
      <c r="AI41" s="838"/>
      <c r="AJ41" s="838"/>
      <c r="AK41" s="838"/>
      <c r="AL41" s="838"/>
      <c r="AM41" s="838"/>
      <c r="AN41" s="838"/>
      <c r="AO41" s="838"/>
      <c r="AP41" s="838"/>
      <c r="AQ41" s="838"/>
      <c r="AR41" s="838"/>
      <c r="AS41" s="838"/>
      <c r="AT41" s="838"/>
      <c r="AU41" s="838"/>
      <c r="AV41" s="838"/>
      <c r="AW41" s="838"/>
      <c r="AX41" s="838"/>
      <c r="AY41" s="838"/>
      <c r="AZ41" s="838"/>
      <c r="BA41" s="838"/>
      <c r="BB41" s="838"/>
      <c r="BC41" s="838"/>
      <c r="BD41" s="838"/>
    </row>
    <row r="42" spans="1:56" s="800" customFormat="1" x14ac:dyDescent="0.25">
      <c r="A42" s="799"/>
      <c r="B42" s="828" t="s">
        <v>1408</v>
      </c>
      <c r="C42" s="828"/>
      <c r="D42" s="828"/>
      <c r="E42" s="830"/>
      <c r="K42" s="839"/>
      <c r="L42" s="839"/>
      <c r="M42" s="839"/>
      <c r="N42" s="839"/>
      <c r="O42" s="839"/>
      <c r="P42" s="837"/>
      <c r="Q42" s="833"/>
      <c r="R42" s="836"/>
      <c r="S42" s="830"/>
      <c r="T42" s="838"/>
      <c r="U42" s="838"/>
      <c r="V42" s="838"/>
      <c r="W42" s="838"/>
      <c r="X42" s="838"/>
      <c r="Y42" s="838"/>
      <c r="Z42" s="838"/>
      <c r="AA42" s="838"/>
      <c r="AB42" s="838"/>
      <c r="AC42" s="838"/>
      <c r="AD42" s="838"/>
      <c r="AE42" s="838"/>
      <c r="AF42" s="838"/>
      <c r="AG42" s="838"/>
      <c r="AH42" s="838"/>
      <c r="AI42" s="838"/>
      <c r="AJ42" s="838"/>
      <c r="AK42" s="838"/>
      <c r="AL42" s="838"/>
      <c r="AM42" s="838"/>
      <c r="AN42" s="838"/>
      <c r="AO42" s="838"/>
      <c r="AP42" s="838"/>
      <c r="AQ42" s="838"/>
      <c r="AR42" s="838"/>
      <c r="AS42" s="838"/>
      <c r="AT42" s="838"/>
      <c r="AU42" s="838"/>
      <c r="AV42" s="838"/>
      <c r="AW42" s="838"/>
      <c r="AX42" s="838"/>
      <c r="AY42" s="838"/>
      <c r="AZ42" s="838"/>
      <c r="BA42" s="838"/>
      <c r="BB42" s="838"/>
      <c r="BC42" s="838"/>
      <c r="BD42" s="838"/>
    </row>
    <row r="43" spans="1:56" s="800" customFormat="1" x14ac:dyDescent="0.25">
      <c r="A43" s="799"/>
      <c r="B43" s="840" t="s">
        <v>1409</v>
      </c>
      <c r="C43" s="840"/>
      <c r="D43" s="840"/>
      <c r="E43" s="830"/>
      <c r="K43" s="839"/>
      <c r="L43" s="839"/>
      <c r="M43" s="839"/>
      <c r="N43" s="839"/>
      <c r="O43" s="839"/>
      <c r="P43" s="837"/>
      <c r="Q43" s="833"/>
      <c r="R43" s="833"/>
      <c r="S43" s="830"/>
      <c r="T43" s="838"/>
      <c r="U43" s="838"/>
      <c r="V43" s="838"/>
      <c r="W43" s="838"/>
      <c r="X43" s="838"/>
      <c r="Y43" s="838"/>
      <c r="Z43" s="838"/>
      <c r="AA43" s="838"/>
      <c r="AB43" s="838"/>
      <c r="AC43" s="838"/>
      <c r="AD43" s="838"/>
      <c r="AE43" s="838"/>
      <c r="AF43" s="838"/>
      <c r="AG43" s="838"/>
      <c r="AH43" s="838"/>
      <c r="AI43" s="838"/>
      <c r="AJ43" s="838"/>
      <c r="AK43" s="838"/>
      <c r="AL43" s="838"/>
      <c r="AM43" s="838"/>
      <c r="AN43" s="838"/>
      <c r="AO43" s="838"/>
      <c r="AP43" s="838"/>
      <c r="AQ43" s="838"/>
      <c r="AR43" s="838"/>
      <c r="AS43" s="838"/>
      <c r="AT43" s="838"/>
      <c r="AU43" s="838"/>
      <c r="AV43" s="838"/>
      <c r="AW43" s="838"/>
      <c r="AX43" s="838"/>
      <c r="AY43" s="838"/>
      <c r="AZ43" s="838"/>
      <c r="BA43" s="838"/>
      <c r="BB43" s="838"/>
      <c r="BC43" s="838"/>
      <c r="BD43" s="838"/>
    </row>
    <row r="44" spans="1:56" s="800" customFormat="1" x14ac:dyDescent="0.25">
      <c r="A44" s="799"/>
      <c r="B44" s="840" t="s">
        <v>1410</v>
      </c>
      <c r="C44" s="841" t="s">
        <v>1411</v>
      </c>
      <c r="D44" s="841" t="s">
        <v>1412</v>
      </c>
      <c r="E44" s="830"/>
      <c r="K44" s="839"/>
      <c r="L44" s="839"/>
      <c r="M44" s="839"/>
      <c r="N44" s="839"/>
      <c r="O44" s="839"/>
      <c r="P44" s="837"/>
      <c r="Q44" s="839"/>
      <c r="R44" s="837"/>
      <c r="S44" s="866"/>
      <c r="T44" s="838"/>
      <c r="U44" s="838"/>
      <c r="V44" s="838"/>
      <c r="W44" s="838"/>
      <c r="X44" s="838"/>
      <c r="Y44" s="838"/>
      <c r="Z44" s="838"/>
      <c r="AA44" s="838"/>
      <c r="AB44" s="838"/>
      <c r="AC44" s="838"/>
      <c r="AD44" s="838"/>
      <c r="AE44" s="838"/>
      <c r="AF44" s="838"/>
      <c r="AG44" s="838"/>
      <c r="AH44" s="838"/>
      <c r="AI44" s="838"/>
      <c r="AJ44" s="838"/>
      <c r="AK44" s="838"/>
      <c r="AL44" s="838"/>
      <c r="AM44" s="838"/>
      <c r="AN44" s="838"/>
      <c r="AO44" s="838"/>
      <c r="AP44" s="838"/>
      <c r="AQ44" s="838"/>
      <c r="AR44" s="838"/>
      <c r="AS44" s="838"/>
      <c r="AT44" s="838"/>
      <c r="AU44" s="838"/>
      <c r="AV44" s="838"/>
      <c r="AW44" s="838"/>
      <c r="AX44" s="838"/>
      <c r="AY44" s="838"/>
      <c r="AZ44" s="838"/>
      <c r="BA44" s="838"/>
      <c r="BB44" s="838"/>
      <c r="BC44" s="838"/>
      <c r="BD44" s="838"/>
    </row>
    <row r="45" spans="1:56" s="800" customFormat="1" x14ac:dyDescent="0.25">
      <c r="A45" s="799"/>
      <c r="B45" s="840" t="s">
        <v>1413</v>
      </c>
      <c r="C45" s="841" t="s">
        <v>1414</v>
      </c>
      <c r="D45" s="841" t="s">
        <v>1412</v>
      </c>
      <c r="E45" s="830"/>
      <c r="K45" s="839"/>
      <c r="L45" s="839"/>
      <c r="M45" s="839"/>
      <c r="N45" s="839"/>
      <c r="O45" s="839"/>
      <c r="P45" s="837"/>
      <c r="Q45" s="839"/>
      <c r="R45" s="837"/>
      <c r="S45" s="866"/>
      <c r="T45" s="838"/>
      <c r="U45" s="838"/>
      <c r="V45" s="838"/>
      <c r="W45" s="838"/>
      <c r="X45" s="838"/>
      <c r="Y45" s="838"/>
      <c r="Z45" s="838"/>
      <c r="AA45" s="838"/>
      <c r="AB45" s="838"/>
      <c r="AC45" s="838"/>
      <c r="AD45" s="838"/>
      <c r="AE45" s="838"/>
      <c r="AF45" s="838"/>
      <c r="AG45" s="838"/>
      <c r="AH45" s="838"/>
      <c r="AI45" s="838"/>
      <c r="AJ45" s="838"/>
      <c r="AK45" s="838"/>
      <c r="AL45" s="838"/>
      <c r="AM45" s="838"/>
      <c r="AN45" s="838"/>
      <c r="AO45" s="838"/>
      <c r="AP45" s="838"/>
      <c r="AQ45" s="838"/>
      <c r="AR45" s="838"/>
      <c r="AS45" s="838"/>
      <c r="AT45" s="838"/>
      <c r="AU45" s="838"/>
      <c r="AV45" s="838"/>
      <c r="AW45" s="838"/>
      <c r="AX45" s="838"/>
      <c r="AY45" s="838"/>
      <c r="AZ45" s="838"/>
      <c r="BA45" s="838"/>
      <c r="BB45" s="838"/>
      <c r="BC45" s="838"/>
      <c r="BD45" s="838"/>
    </row>
    <row r="46" spans="1:56" s="800" customFormat="1" x14ac:dyDescent="0.25">
      <c r="A46" s="799"/>
      <c r="B46" s="840" t="s">
        <v>1415</v>
      </c>
      <c r="C46" s="841" t="s">
        <v>1416</v>
      </c>
      <c r="D46" s="841" t="s">
        <v>1412</v>
      </c>
      <c r="E46" s="830"/>
      <c r="K46" s="839"/>
      <c r="L46" s="839"/>
      <c r="M46" s="839"/>
      <c r="N46" s="839"/>
      <c r="O46" s="839"/>
      <c r="P46" s="837"/>
      <c r="Q46" s="839"/>
      <c r="R46" s="837"/>
      <c r="S46" s="866"/>
      <c r="T46" s="838"/>
      <c r="U46" s="838"/>
      <c r="V46" s="838"/>
      <c r="W46" s="838"/>
      <c r="X46" s="838"/>
      <c r="Y46" s="838"/>
      <c r="Z46" s="838"/>
      <c r="AA46" s="838"/>
      <c r="AB46" s="838"/>
      <c r="AC46" s="838"/>
      <c r="AD46" s="838"/>
      <c r="AE46" s="838"/>
      <c r="AF46" s="838"/>
      <c r="AG46" s="838"/>
      <c r="AH46" s="838"/>
      <c r="AI46" s="838"/>
      <c r="AJ46" s="838"/>
      <c r="AK46" s="838"/>
      <c r="AL46" s="838"/>
      <c r="AM46" s="838"/>
      <c r="AN46" s="838"/>
      <c r="AO46" s="838"/>
      <c r="AP46" s="838"/>
      <c r="AQ46" s="838"/>
      <c r="AR46" s="838"/>
      <c r="AS46" s="838"/>
      <c r="AT46" s="838"/>
      <c r="AU46" s="838"/>
      <c r="AV46" s="838"/>
      <c r="AW46" s="838"/>
      <c r="AX46" s="838"/>
      <c r="AY46" s="838"/>
      <c r="AZ46" s="838"/>
      <c r="BA46" s="838"/>
      <c r="BB46" s="838"/>
      <c r="BC46" s="838"/>
      <c r="BD46" s="838"/>
    </row>
    <row r="47" spans="1:56" s="800" customFormat="1" x14ac:dyDescent="0.25">
      <c r="A47" s="799"/>
      <c r="B47" s="828" t="s">
        <v>1417</v>
      </c>
      <c r="C47" s="828"/>
      <c r="D47" s="828"/>
      <c r="E47" s="830"/>
      <c r="K47" s="839"/>
      <c r="L47" s="839"/>
      <c r="M47" s="839"/>
      <c r="N47" s="839"/>
      <c r="O47" s="839"/>
      <c r="P47" s="837"/>
      <c r="Q47" s="831"/>
      <c r="R47" s="837"/>
      <c r="S47" s="862"/>
      <c r="T47" s="838"/>
      <c r="U47" s="838"/>
      <c r="V47" s="838"/>
      <c r="W47" s="838"/>
      <c r="X47" s="838"/>
      <c r="Y47" s="838"/>
      <c r="Z47" s="838"/>
      <c r="AA47" s="838"/>
      <c r="AB47" s="838"/>
      <c r="AC47" s="838"/>
      <c r="AD47" s="838"/>
      <c r="AE47" s="838"/>
      <c r="AF47" s="838"/>
      <c r="AG47" s="838"/>
      <c r="AH47" s="838"/>
      <c r="AI47" s="838"/>
      <c r="AJ47" s="838"/>
      <c r="AK47" s="838"/>
      <c r="AL47" s="838"/>
      <c r="AM47" s="838"/>
      <c r="AN47" s="838"/>
      <c r="AO47" s="838"/>
      <c r="AP47" s="838"/>
      <c r="AQ47" s="838"/>
      <c r="AR47" s="838"/>
      <c r="AS47" s="838"/>
      <c r="AT47" s="838"/>
      <c r="AU47" s="838"/>
      <c r="AV47" s="838"/>
      <c r="AW47" s="838"/>
      <c r="AX47" s="838"/>
      <c r="AY47" s="838"/>
      <c r="AZ47" s="838"/>
      <c r="BA47" s="838"/>
      <c r="BB47" s="838"/>
      <c r="BC47" s="838"/>
      <c r="BD47" s="838"/>
    </row>
    <row r="48" spans="1:56" s="800" customFormat="1" x14ac:dyDescent="0.25">
      <c r="A48" s="799"/>
      <c r="B48" s="840" t="s">
        <v>1418</v>
      </c>
      <c r="C48" s="841" t="s">
        <v>1419</v>
      </c>
      <c r="D48" s="829" t="s">
        <v>1401</v>
      </c>
      <c r="E48" s="830"/>
      <c r="K48" s="839"/>
      <c r="L48" s="839"/>
      <c r="M48" s="839"/>
      <c r="N48" s="839"/>
      <c r="O48" s="839"/>
      <c r="P48" s="837"/>
      <c r="Q48" s="831"/>
      <c r="R48" s="837"/>
      <c r="S48" s="862"/>
      <c r="T48" s="838"/>
      <c r="U48" s="838"/>
      <c r="V48" s="838"/>
      <c r="W48" s="838"/>
      <c r="X48" s="838"/>
      <c r="Y48" s="838"/>
      <c r="Z48" s="838"/>
      <c r="AA48" s="838"/>
      <c r="AB48" s="838"/>
      <c r="AC48" s="838"/>
      <c r="AD48" s="838"/>
      <c r="AE48" s="838"/>
      <c r="AF48" s="838"/>
      <c r="AG48" s="838"/>
      <c r="AH48" s="838"/>
      <c r="AI48" s="838"/>
      <c r="AJ48" s="838"/>
      <c r="AK48" s="838"/>
      <c r="AL48" s="838"/>
      <c r="AM48" s="838"/>
      <c r="AN48" s="838"/>
      <c r="AO48" s="838"/>
      <c r="AP48" s="838"/>
      <c r="AQ48" s="838"/>
      <c r="AR48" s="838"/>
      <c r="AS48" s="838"/>
      <c r="AT48" s="838"/>
      <c r="AU48" s="838"/>
      <c r="AV48" s="838"/>
      <c r="AW48" s="838"/>
      <c r="AX48" s="838"/>
      <c r="AY48" s="838"/>
      <c r="AZ48" s="838"/>
      <c r="BA48" s="838"/>
      <c r="BB48" s="838"/>
      <c r="BC48" s="838"/>
      <c r="BD48" s="838"/>
    </row>
    <row r="49" spans="1:56" s="800" customFormat="1" x14ac:dyDescent="0.25">
      <c r="A49" s="799"/>
      <c r="B49" s="840" t="s">
        <v>1420</v>
      </c>
      <c r="C49" s="841" t="s">
        <v>1421</v>
      </c>
      <c r="D49" s="829" t="s">
        <v>1401</v>
      </c>
      <c r="E49" s="830"/>
      <c r="K49" s="839"/>
      <c r="L49" s="839"/>
      <c r="M49" s="839"/>
      <c r="N49" s="839"/>
      <c r="O49" s="839"/>
      <c r="P49" s="837"/>
      <c r="Q49" s="831"/>
      <c r="R49" s="837"/>
      <c r="S49" s="862"/>
      <c r="T49" s="838"/>
      <c r="U49" s="838"/>
      <c r="V49" s="838"/>
      <c r="W49" s="838"/>
      <c r="X49" s="838"/>
      <c r="Y49" s="838"/>
      <c r="Z49" s="838"/>
      <c r="AA49" s="838"/>
      <c r="AB49" s="838"/>
      <c r="AC49" s="838"/>
      <c r="AD49" s="838"/>
      <c r="AE49" s="838"/>
      <c r="AF49" s="838"/>
      <c r="AG49" s="838"/>
      <c r="AH49" s="838"/>
      <c r="AI49" s="838"/>
      <c r="AJ49" s="838"/>
      <c r="AK49" s="838"/>
      <c r="AL49" s="838"/>
      <c r="AM49" s="838"/>
      <c r="AN49" s="838"/>
      <c r="AO49" s="838"/>
      <c r="AP49" s="838"/>
      <c r="AQ49" s="838"/>
      <c r="AR49" s="838"/>
      <c r="AS49" s="838"/>
      <c r="AT49" s="838"/>
      <c r="AU49" s="838"/>
      <c r="AV49" s="838"/>
      <c r="AW49" s="838"/>
      <c r="AX49" s="838"/>
      <c r="AY49" s="838"/>
      <c r="AZ49" s="838"/>
      <c r="BA49" s="838"/>
      <c r="BB49" s="838"/>
      <c r="BC49" s="838"/>
      <c r="BD49" s="838"/>
    </row>
    <row r="50" spans="1:56" s="800" customFormat="1" x14ac:dyDescent="0.25">
      <c r="A50" s="799"/>
      <c r="B50" s="828" t="s">
        <v>1422</v>
      </c>
      <c r="C50" s="828"/>
      <c r="D50" s="828"/>
      <c r="E50" s="830"/>
      <c r="K50" s="839"/>
      <c r="L50" s="839"/>
      <c r="M50" s="839"/>
      <c r="N50" s="839"/>
      <c r="O50" s="839"/>
      <c r="P50" s="837"/>
      <c r="Q50" s="833"/>
      <c r="R50" s="837"/>
      <c r="S50" s="830"/>
      <c r="T50" s="838"/>
      <c r="U50" s="838"/>
      <c r="V50" s="838"/>
      <c r="W50" s="838"/>
      <c r="X50" s="838"/>
      <c r="Y50" s="838"/>
      <c r="Z50" s="838"/>
      <c r="AA50" s="838"/>
      <c r="AB50" s="838"/>
      <c r="AC50" s="838"/>
      <c r="AD50" s="838"/>
      <c r="AE50" s="838"/>
      <c r="AF50" s="838"/>
      <c r="AG50" s="838"/>
      <c r="AH50" s="838"/>
      <c r="AI50" s="838"/>
      <c r="AJ50" s="838"/>
      <c r="AK50" s="838"/>
      <c r="AL50" s="838"/>
      <c r="AM50" s="838"/>
      <c r="AN50" s="838"/>
      <c r="AO50" s="838"/>
      <c r="AP50" s="838"/>
      <c r="AQ50" s="838"/>
      <c r="AR50" s="838"/>
      <c r="AS50" s="838"/>
      <c r="AT50" s="838"/>
      <c r="AU50" s="838"/>
      <c r="AV50" s="838"/>
      <c r="AW50" s="838"/>
      <c r="AX50" s="838"/>
      <c r="AY50" s="838"/>
      <c r="AZ50" s="838"/>
      <c r="BA50" s="838"/>
      <c r="BB50" s="838"/>
      <c r="BC50" s="838"/>
      <c r="BD50" s="838"/>
    </row>
    <row r="51" spans="1:56" s="800" customFormat="1" x14ac:dyDescent="0.25">
      <c r="A51" s="799"/>
      <c r="B51" s="840" t="s">
        <v>1423</v>
      </c>
      <c r="C51" s="841" t="s">
        <v>1424</v>
      </c>
      <c r="D51" s="841" t="s">
        <v>1412</v>
      </c>
      <c r="E51" s="830"/>
      <c r="K51" s="839"/>
      <c r="L51" s="839"/>
      <c r="M51" s="839"/>
      <c r="N51" s="839"/>
      <c r="O51" s="839"/>
      <c r="P51" s="837"/>
      <c r="Q51" s="833"/>
      <c r="R51" s="837"/>
      <c r="S51" s="830"/>
      <c r="T51" s="838"/>
      <c r="U51" s="838"/>
      <c r="V51" s="838"/>
      <c r="W51" s="838"/>
      <c r="X51" s="838"/>
      <c r="Y51" s="838"/>
      <c r="Z51" s="838"/>
      <c r="AA51" s="838"/>
      <c r="AB51" s="838"/>
      <c r="AC51" s="838"/>
      <c r="AD51" s="838"/>
      <c r="AE51" s="838"/>
      <c r="AF51" s="838"/>
      <c r="AG51" s="838"/>
      <c r="AH51" s="838"/>
      <c r="AI51" s="838"/>
      <c r="AJ51" s="838"/>
      <c r="AK51" s="838"/>
      <c r="AL51" s="838"/>
      <c r="AM51" s="838"/>
      <c r="AN51" s="838"/>
      <c r="AO51" s="838"/>
      <c r="AP51" s="838"/>
      <c r="AQ51" s="838"/>
      <c r="AR51" s="838"/>
      <c r="AS51" s="838"/>
      <c r="AT51" s="838"/>
      <c r="AU51" s="838"/>
      <c r="AV51" s="838"/>
      <c r="AW51" s="838"/>
      <c r="AX51" s="838"/>
      <c r="AY51" s="838"/>
      <c r="AZ51" s="838"/>
      <c r="BA51" s="838"/>
      <c r="BB51" s="838"/>
      <c r="BC51" s="838"/>
      <c r="BD51" s="838"/>
    </row>
    <row r="52" spans="1:56" s="800" customFormat="1" x14ac:dyDescent="0.25">
      <c r="A52" s="799"/>
      <c r="B52" s="840" t="s">
        <v>1425</v>
      </c>
      <c r="C52" s="841" t="s">
        <v>1426</v>
      </c>
      <c r="D52" s="829" t="s">
        <v>1401</v>
      </c>
      <c r="E52" s="830"/>
      <c r="K52" s="839"/>
      <c r="L52" s="839"/>
      <c r="M52" s="839"/>
      <c r="N52" s="839"/>
      <c r="O52" s="839"/>
      <c r="P52" s="837"/>
      <c r="Q52" s="833"/>
      <c r="R52" s="837"/>
      <c r="S52" s="830"/>
      <c r="T52" s="838"/>
      <c r="U52" s="838"/>
      <c r="V52" s="838"/>
      <c r="W52" s="838"/>
      <c r="X52" s="838"/>
      <c r="Y52" s="838"/>
      <c r="Z52" s="838"/>
      <c r="AA52" s="838"/>
      <c r="AB52" s="838"/>
      <c r="AC52" s="838"/>
      <c r="AD52" s="838"/>
      <c r="AE52" s="838"/>
      <c r="AF52" s="838"/>
      <c r="AG52" s="838"/>
      <c r="AH52" s="838"/>
      <c r="AI52" s="838"/>
      <c r="AJ52" s="838"/>
      <c r="AK52" s="838"/>
      <c r="AL52" s="838"/>
      <c r="AM52" s="838"/>
      <c r="AN52" s="838"/>
      <c r="AO52" s="838"/>
      <c r="AP52" s="838"/>
      <c r="AQ52" s="838"/>
      <c r="AR52" s="838"/>
      <c r="AS52" s="838"/>
      <c r="AT52" s="838"/>
      <c r="AU52" s="838"/>
      <c r="AV52" s="838"/>
      <c r="AW52" s="838"/>
      <c r="AX52" s="838"/>
      <c r="AY52" s="838"/>
      <c r="AZ52" s="838"/>
      <c r="BA52" s="838"/>
      <c r="BB52" s="838"/>
      <c r="BC52" s="838"/>
      <c r="BD52" s="838"/>
    </row>
    <row r="53" spans="1:56" s="800" customFormat="1" x14ac:dyDescent="0.25">
      <c r="A53" s="799"/>
      <c r="B53" s="840" t="s">
        <v>1427</v>
      </c>
      <c r="C53" s="841" t="s">
        <v>1428</v>
      </c>
      <c r="D53" s="829" t="s">
        <v>1401</v>
      </c>
      <c r="E53" s="830"/>
      <c r="K53" s="839"/>
      <c r="L53" s="839"/>
      <c r="M53" s="839"/>
      <c r="N53" s="839"/>
      <c r="O53" s="839"/>
      <c r="P53" s="837"/>
      <c r="Q53" s="833"/>
      <c r="R53" s="837"/>
      <c r="S53" s="830"/>
      <c r="T53" s="838"/>
      <c r="U53" s="838"/>
      <c r="V53" s="838"/>
      <c r="W53" s="838"/>
      <c r="X53" s="838"/>
      <c r="Y53" s="838"/>
      <c r="Z53" s="838"/>
      <c r="AA53" s="838"/>
      <c r="AB53" s="838"/>
      <c r="AC53" s="838"/>
      <c r="AD53" s="838"/>
      <c r="AE53" s="838"/>
      <c r="AF53" s="838"/>
      <c r="AG53" s="838"/>
      <c r="AH53" s="838"/>
      <c r="AI53" s="838"/>
      <c r="AJ53" s="838"/>
      <c r="AK53" s="838"/>
      <c r="AL53" s="838"/>
      <c r="AM53" s="838"/>
      <c r="AN53" s="838"/>
      <c r="AO53" s="838"/>
      <c r="AP53" s="838"/>
      <c r="AQ53" s="838"/>
      <c r="AR53" s="838"/>
      <c r="AS53" s="838"/>
      <c r="AT53" s="838"/>
      <c r="AU53" s="838"/>
      <c r="AV53" s="838"/>
      <c r="AW53" s="838"/>
      <c r="AX53" s="838"/>
      <c r="AY53" s="838"/>
      <c r="AZ53" s="838"/>
      <c r="BA53" s="838"/>
      <c r="BB53" s="838"/>
      <c r="BC53" s="838"/>
      <c r="BD53" s="838"/>
    </row>
    <row r="54" spans="1:56" s="800" customFormat="1" x14ac:dyDescent="0.25">
      <c r="A54" s="799"/>
      <c r="B54" s="840" t="s">
        <v>1429</v>
      </c>
      <c r="C54" s="841" t="s">
        <v>1430</v>
      </c>
      <c r="D54" s="829" t="s">
        <v>1401</v>
      </c>
      <c r="E54" s="830"/>
      <c r="K54" s="839"/>
      <c r="L54" s="839"/>
      <c r="M54" s="839"/>
      <c r="N54" s="839"/>
      <c r="O54" s="839"/>
      <c r="P54" s="837"/>
      <c r="Q54" s="833"/>
      <c r="R54" s="837"/>
      <c r="S54" s="830"/>
      <c r="T54" s="838"/>
      <c r="U54" s="838"/>
      <c r="V54" s="838"/>
      <c r="W54" s="838"/>
      <c r="X54" s="838"/>
      <c r="Y54" s="838"/>
      <c r="Z54" s="838"/>
      <c r="AA54" s="838"/>
      <c r="AB54" s="838"/>
      <c r="AC54" s="838"/>
      <c r="AD54" s="838"/>
      <c r="AE54" s="838"/>
      <c r="AF54" s="838"/>
      <c r="AG54" s="838"/>
      <c r="AH54" s="838"/>
      <c r="AI54" s="838"/>
      <c r="AJ54" s="838"/>
      <c r="AK54" s="838"/>
      <c r="AL54" s="838"/>
      <c r="AM54" s="838"/>
      <c r="AN54" s="838"/>
      <c r="AO54" s="838"/>
      <c r="AP54" s="838"/>
      <c r="AQ54" s="838"/>
      <c r="AR54" s="838"/>
      <c r="AS54" s="838"/>
      <c r="AT54" s="838"/>
      <c r="AU54" s="838"/>
      <c r="AV54" s="838"/>
      <c r="AW54" s="838"/>
      <c r="AX54" s="838"/>
      <c r="AY54" s="838"/>
      <c r="AZ54" s="838"/>
      <c r="BA54" s="838"/>
      <c r="BB54" s="838"/>
      <c r="BC54" s="838"/>
      <c r="BD54" s="838"/>
    </row>
    <row r="55" spans="1:56" s="800" customFormat="1" x14ac:dyDescent="0.25">
      <c r="A55" s="799"/>
      <c r="B55" s="828" t="s">
        <v>1431</v>
      </c>
      <c r="C55" s="829" t="s">
        <v>1432</v>
      </c>
      <c r="D55" s="829"/>
      <c r="E55" s="833"/>
      <c r="K55" s="839"/>
      <c r="L55" s="839"/>
      <c r="M55" s="839"/>
      <c r="N55" s="839"/>
      <c r="O55" s="839"/>
      <c r="P55" s="867"/>
      <c r="Q55" s="868"/>
      <c r="R55" s="837"/>
      <c r="S55" s="843"/>
      <c r="T55" s="838"/>
      <c r="U55" s="838"/>
      <c r="V55" s="838"/>
      <c r="W55" s="838"/>
      <c r="X55" s="838"/>
      <c r="Y55" s="838"/>
      <c r="Z55" s="838"/>
      <c r="AA55" s="838"/>
      <c r="AB55" s="838"/>
      <c r="AC55" s="838"/>
      <c r="AD55" s="838"/>
      <c r="AE55" s="838"/>
      <c r="AF55" s="838"/>
      <c r="AG55" s="838"/>
      <c r="AH55" s="838"/>
      <c r="AI55" s="838"/>
      <c r="AJ55" s="838"/>
      <c r="AK55" s="838"/>
      <c r="AL55" s="838"/>
      <c r="AM55" s="838"/>
      <c r="AN55" s="838"/>
      <c r="AO55" s="838"/>
      <c r="AP55" s="838"/>
      <c r="AQ55" s="838"/>
      <c r="AR55" s="838"/>
      <c r="AS55" s="838"/>
      <c r="AT55" s="838"/>
      <c r="AU55" s="838"/>
      <c r="AV55" s="838"/>
      <c r="AW55" s="838"/>
      <c r="AX55" s="838"/>
      <c r="AY55" s="838"/>
      <c r="AZ55" s="838"/>
      <c r="BA55" s="838"/>
      <c r="BB55" s="838"/>
      <c r="BC55" s="838"/>
      <c r="BD55" s="838"/>
    </row>
    <row r="56" spans="1:56" s="851" customFormat="1" x14ac:dyDescent="0.25">
      <c r="A56" s="806"/>
      <c r="B56" s="844" t="s">
        <v>467</v>
      </c>
      <c r="C56" s="844"/>
      <c r="D56" s="844"/>
      <c r="E56" s="844"/>
      <c r="F56" s="844"/>
      <c r="G56" s="844"/>
      <c r="H56" s="844"/>
      <c r="I56" s="846"/>
      <c r="J56" s="869"/>
      <c r="K56" s="869"/>
      <c r="L56" s="869" t="str">
        <f>IFERROR(L30/K30-1,"")</f>
        <v/>
      </c>
      <c r="M56" s="869"/>
      <c r="N56" s="869"/>
      <c r="O56" s="869"/>
      <c r="P56" s="869"/>
      <c r="Q56" s="869"/>
      <c r="R56" s="869"/>
      <c r="S56" s="870"/>
      <c r="T56" s="871"/>
      <c r="U56" s="871"/>
      <c r="V56" s="871"/>
      <c r="W56" s="871"/>
      <c r="X56" s="871"/>
      <c r="Y56" s="871"/>
      <c r="Z56" s="871"/>
      <c r="AA56" s="871"/>
      <c r="AB56" s="871"/>
      <c r="AC56" s="871"/>
      <c r="AD56" s="871"/>
      <c r="AE56" s="869"/>
      <c r="AF56" s="869"/>
      <c r="AG56" s="869"/>
      <c r="AH56" s="869"/>
      <c r="AI56" s="869" t="str">
        <f t="shared" ref="AI56:BD56" si="18">IFERROR(AI30/AH30-1,"")</f>
        <v/>
      </c>
      <c r="AJ56" s="869" t="str">
        <f t="shared" si="18"/>
        <v/>
      </c>
      <c r="AK56" s="869" t="str">
        <f t="shared" si="18"/>
        <v/>
      </c>
      <c r="AL56" s="869" t="str">
        <f t="shared" si="18"/>
        <v/>
      </c>
      <c r="AM56" s="869" t="str">
        <f t="shared" si="18"/>
        <v/>
      </c>
      <c r="AN56" s="869" t="str">
        <f t="shared" si="18"/>
        <v/>
      </c>
      <c r="AO56" s="869" t="str">
        <f t="shared" si="18"/>
        <v/>
      </c>
      <c r="AP56" s="869" t="str">
        <f t="shared" si="18"/>
        <v/>
      </c>
      <c r="AQ56" s="869" t="str">
        <f t="shared" si="18"/>
        <v/>
      </c>
      <c r="AR56" s="869" t="str">
        <f t="shared" si="18"/>
        <v/>
      </c>
      <c r="AS56" s="869" t="str">
        <f t="shared" si="18"/>
        <v/>
      </c>
      <c r="AT56" s="869" t="str">
        <f t="shared" si="18"/>
        <v/>
      </c>
      <c r="AU56" s="869" t="str">
        <f t="shared" si="18"/>
        <v/>
      </c>
      <c r="AV56" s="869" t="str">
        <f t="shared" si="18"/>
        <v/>
      </c>
      <c r="AW56" s="869" t="str">
        <f t="shared" si="18"/>
        <v/>
      </c>
      <c r="AX56" s="869" t="str">
        <f t="shared" si="18"/>
        <v/>
      </c>
      <c r="AY56" s="869" t="str">
        <f t="shared" si="18"/>
        <v/>
      </c>
      <c r="AZ56" s="869" t="str">
        <f t="shared" si="18"/>
        <v/>
      </c>
      <c r="BA56" s="869" t="str">
        <f t="shared" si="18"/>
        <v/>
      </c>
      <c r="BB56" s="869" t="str">
        <f t="shared" si="18"/>
        <v/>
      </c>
      <c r="BC56" s="869" t="str">
        <f t="shared" si="18"/>
        <v/>
      </c>
      <c r="BD56" s="869" t="str">
        <f t="shared" si="18"/>
        <v/>
      </c>
    </row>
    <row r="57" spans="1:56" s="860" customFormat="1" x14ac:dyDescent="0.25">
      <c r="A57" s="859"/>
      <c r="L57" s="861"/>
      <c r="M57" s="861"/>
      <c r="N57" s="861"/>
      <c r="O57" s="861"/>
      <c r="P57" s="861"/>
      <c r="Q57" s="861"/>
      <c r="R57" s="861"/>
      <c r="S57" s="872"/>
      <c r="T57" s="861"/>
      <c r="U57" s="861"/>
      <c r="V57" s="861"/>
      <c r="W57" s="861"/>
      <c r="X57" s="861"/>
      <c r="Y57" s="861"/>
      <c r="Z57" s="861"/>
      <c r="AA57" s="861"/>
      <c r="AB57" s="861"/>
      <c r="AC57" s="861"/>
      <c r="AD57" s="861"/>
      <c r="AE57" s="861"/>
      <c r="AF57" s="861"/>
      <c r="AG57" s="861"/>
      <c r="AH57" s="861"/>
      <c r="AI57" s="861"/>
      <c r="AJ57" s="861"/>
      <c r="AK57" s="861"/>
      <c r="AL57" s="861"/>
      <c r="AM57" s="861"/>
      <c r="AN57" s="861"/>
      <c r="AO57" s="861"/>
      <c r="AP57" s="861"/>
      <c r="AQ57" s="861"/>
      <c r="AR57" s="861"/>
      <c r="AS57" s="861"/>
      <c r="AT57" s="861"/>
      <c r="AU57" s="861"/>
      <c r="AV57" s="861"/>
      <c r="AW57" s="861"/>
      <c r="AX57" s="861"/>
      <c r="AY57" s="861"/>
      <c r="AZ57" s="861"/>
      <c r="BA57" s="861"/>
      <c r="BB57" s="861"/>
      <c r="BC57" s="861"/>
      <c r="BD57" s="861"/>
    </row>
    <row r="58" spans="1:56" s="879" customFormat="1" x14ac:dyDescent="0.25">
      <c r="A58" s="873">
        <v>3</v>
      </c>
      <c r="B58" s="824" t="s">
        <v>1436</v>
      </c>
      <c r="C58" s="824"/>
      <c r="D58" s="824"/>
      <c r="E58" s="874"/>
      <c r="F58" s="874"/>
      <c r="G58" s="874"/>
      <c r="H58" s="874"/>
      <c r="I58" s="874"/>
      <c r="J58" s="874"/>
      <c r="K58" s="875"/>
      <c r="L58" s="876"/>
      <c r="M58" s="876"/>
      <c r="N58" s="876"/>
      <c r="O58" s="876"/>
      <c r="P58" s="876"/>
      <c r="Q58" s="877"/>
      <c r="R58" s="876"/>
      <c r="S58" s="878"/>
      <c r="T58" s="876"/>
      <c r="U58" s="876"/>
      <c r="V58" s="876"/>
      <c r="W58" s="876"/>
      <c r="X58" s="876"/>
      <c r="Y58" s="876"/>
      <c r="Z58" s="876"/>
      <c r="AA58" s="876"/>
      <c r="AB58" s="876"/>
      <c r="AC58" s="876"/>
      <c r="AD58" s="876"/>
      <c r="AE58" s="876"/>
      <c r="AF58" s="876"/>
      <c r="AG58" s="876"/>
      <c r="AH58" s="876"/>
      <c r="AI58" s="876"/>
      <c r="AJ58" s="876"/>
      <c r="AK58" s="876"/>
      <c r="AL58" s="876"/>
      <c r="AM58" s="876"/>
      <c r="AN58" s="876"/>
      <c r="AO58" s="876"/>
      <c r="AP58" s="876"/>
      <c r="AQ58" s="876"/>
      <c r="AR58" s="876"/>
      <c r="AS58" s="876"/>
      <c r="AT58" s="876"/>
      <c r="AU58" s="876"/>
      <c r="AV58" s="876"/>
      <c r="AW58" s="876"/>
      <c r="AX58" s="876"/>
      <c r="AY58" s="876"/>
      <c r="AZ58" s="876"/>
      <c r="BA58" s="876"/>
      <c r="BB58" s="876"/>
      <c r="BC58" s="876"/>
      <c r="BD58" s="876"/>
    </row>
    <row r="59" spans="1:56" s="833" customFormat="1" x14ac:dyDescent="0.25">
      <c r="A59" s="835"/>
      <c r="B59" s="828" t="s">
        <v>1437</v>
      </c>
      <c r="C59" s="829" t="s">
        <v>714</v>
      </c>
      <c r="D59" s="829" t="s">
        <v>1401</v>
      </c>
      <c r="E59" s="830" t="s">
        <v>1438</v>
      </c>
      <c r="H59" s="852"/>
      <c r="I59" s="852"/>
      <c r="J59" s="852"/>
      <c r="K59" s="852"/>
      <c r="L59" s="880"/>
      <c r="M59" s="880"/>
      <c r="N59" s="880"/>
      <c r="O59" s="880"/>
      <c r="P59" s="881">
        <v>24</v>
      </c>
      <c r="Q59" s="881">
        <v>24</v>
      </c>
      <c r="R59" s="881">
        <v>24</v>
      </c>
      <c r="S59" s="882">
        <v>24</v>
      </c>
      <c r="T59" s="1056">
        <v>24</v>
      </c>
      <c r="U59" s="1056">
        <v>24</v>
      </c>
      <c r="V59" s="1056">
        <v>24</v>
      </c>
      <c r="W59" s="1056">
        <v>24</v>
      </c>
      <c r="X59" s="1056">
        <v>24</v>
      </c>
      <c r="Y59" s="1056">
        <v>24</v>
      </c>
      <c r="Z59" s="1056">
        <v>24</v>
      </c>
      <c r="AA59" s="1056">
        <v>24</v>
      </c>
      <c r="AB59" s="1056">
        <v>24</v>
      </c>
      <c r="AC59" s="1056">
        <v>24</v>
      </c>
      <c r="AD59" s="1056">
        <v>24</v>
      </c>
      <c r="AE59" s="858"/>
      <c r="AF59" s="858"/>
      <c r="AG59" s="858"/>
      <c r="AH59" s="858"/>
      <c r="AI59" s="858"/>
      <c r="AJ59" s="858"/>
      <c r="AK59" s="858"/>
      <c r="AL59" s="858"/>
      <c r="AM59" s="858"/>
      <c r="AN59" s="858"/>
      <c r="AO59" s="858"/>
      <c r="AP59" s="858"/>
      <c r="AQ59" s="858"/>
      <c r="AR59" s="858"/>
      <c r="AS59" s="858"/>
      <c r="AT59" s="858"/>
      <c r="AU59" s="858"/>
      <c r="AV59" s="858"/>
      <c r="AW59" s="858"/>
      <c r="AX59" s="858"/>
      <c r="AY59" s="858"/>
      <c r="AZ59" s="858"/>
      <c r="BA59" s="858"/>
      <c r="BB59" s="858"/>
      <c r="BC59" s="858"/>
      <c r="BD59" s="858"/>
    </row>
    <row r="60" spans="1:56" s="833" customFormat="1" x14ac:dyDescent="0.25">
      <c r="A60" s="835"/>
      <c r="B60" s="828" t="s">
        <v>1402</v>
      </c>
      <c r="C60" s="829" t="s">
        <v>739</v>
      </c>
      <c r="D60" s="829" t="s">
        <v>1401</v>
      </c>
      <c r="E60" s="830" t="s">
        <v>1439</v>
      </c>
      <c r="H60" s="852"/>
      <c r="I60" s="852"/>
      <c r="J60" s="852"/>
      <c r="K60" s="852"/>
      <c r="L60" s="880"/>
      <c r="M60" s="880"/>
      <c r="P60" s="865">
        <v>1000</v>
      </c>
      <c r="Q60" s="865">
        <v>1000</v>
      </c>
      <c r="R60" s="865">
        <v>1000</v>
      </c>
      <c r="S60" s="883">
        <v>1000</v>
      </c>
      <c r="T60" s="1057">
        <v>1000</v>
      </c>
      <c r="U60" s="1057">
        <v>1000</v>
      </c>
      <c r="V60" s="1057">
        <v>1000</v>
      </c>
      <c r="W60" s="1057">
        <v>1000</v>
      </c>
      <c r="X60" s="1057">
        <v>1000</v>
      </c>
      <c r="Y60" s="1057">
        <v>1000</v>
      </c>
      <c r="Z60" s="1057">
        <v>1000</v>
      </c>
      <c r="AA60" s="1057">
        <v>1000</v>
      </c>
      <c r="AB60" s="1057">
        <v>1000</v>
      </c>
      <c r="AC60" s="1057">
        <v>1000</v>
      </c>
      <c r="AD60" s="1057">
        <v>1000</v>
      </c>
      <c r="AE60" s="858"/>
      <c r="AF60" s="858"/>
      <c r="AG60" s="858"/>
      <c r="AH60" s="858"/>
      <c r="AI60" s="858"/>
      <c r="AJ60" s="858"/>
      <c r="AK60" s="858"/>
      <c r="AL60" s="858"/>
      <c r="AM60" s="858"/>
      <c r="AN60" s="858"/>
      <c r="AO60" s="858"/>
      <c r="AP60" s="858"/>
      <c r="AQ60" s="858"/>
      <c r="AR60" s="858"/>
      <c r="AS60" s="858"/>
      <c r="AT60" s="858"/>
      <c r="AU60" s="858"/>
      <c r="AV60" s="858"/>
      <c r="AW60" s="858"/>
      <c r="AX60" s="858"/>
      <c r="AY60" s="858"/>
      <c r="AZ60" s="858"/>
      <c r="BA60" s="858"/>
      <c r="BB60" s="858"/>
      <c r="BC60" s="858"/>
      <c r="BD60" s="858"/>
    </row>
    <row r="61" spans="1:56" s="833" customFormat="1" x14ac:dyDescent="0.25">
      <c r="A61" s="835"/>
      <c r="B61" s="828" t="s">
        <v>1403</v>
      </c>
      <c r="C61" s="829" t="s">
        <v>701</v>
      </c>
      <c r="D61" s="829" t="s">
        <v>1401</v>
      </c>
      <c r="E61" s="830" t="s">
        <v>1439</v>
      </c>
      <c r="L61" s="884"/>
      <c r="M61" s="884"/>
      <c r="P61" s="865">
        <v>500</v>
      </c>
      <c r="Q61" s="865">
        <v>500</v>
      </c>
      <c r="R61" s="865">
        <v>500</v>
      </c>
      <c r="S61" s="883">
        <v>500</v>
      </c>
      <c r="T61" s="1057">
        <v>500</v>
      </c>
      <c r="U61" s="1057">
        <v>500</v>
      </c>
      <c r="V61" s="1052">
        <v>500</v>
      </c>
      <c r="W61" s="1057">
        <v>500</v>
      </c>
      <c r="X61" s="1057">
        <v>500</v>
      </c>
      <c r="Y61" s="1057">
        <v>500</v>
      </c>
      <c r="Z61" s="1057">
        <v>500</v>
      </c>
      <c r="AA61" s="1057">
        <v>500</v>
      </c>
      <c r="AB61" s="1057">
        <v>500</v>
      </c>
      <c r="AC61" s="1057">
        <v>500</v>
      </c>
      <c r="AD61" s="1057">
        <v>500</v>
      </c>
      <c r="AE61" s="885"/>
      <c r="AF61" s="885"/>
      <c r="AG61" s="885"/>
      <c r="AH61" s="885"/>
      <c r="AI61" s="885"/>
      <c r="AJ61" s="885"/>
      <c r="AK61" s="885"/>
      <c r="AL61" s="885"/>
      <c r="AM61" s="885"/>
      <c r="AN61" s="885"/>
      <c r="AO61" s="885"/>
      <c r="AP61" s="885"/>
      <c r="AQ61" s="885"/>
      <c r="AR61" s="885"/>
      <c r="AS61" s="885"/>
      <c r="AT61" s="885"/>
      <c r="AU61" s="885"/>
      <c r="AV61" s="885"/>
      <c r="AW61" s="885"/>
      <c r="AX61" s="885"/>
      <c r="AY61" s="885"/>
      <c r="AZ61" s="885"/>
      <c r="BA61" s="885"/>
      <c r="BB61" s="885"/>
      <c r="BC61" s="885"/>
      <c r="BD61" s="885"/>
    </row>
    <row r="62" spans="1:56" s="833" customFormat="1" x14ac:dyDescent="0.25">
      <c r="A62" s="835"/>
      <c r="B62" s="828" t="s">
        <v>1404</v>
      </c>
      <c r="C62" s="829" t="s">
        <v>839</v>
      </c>
      <c r="D62" s="829" t="s">
        <v>1401</v>
      </c>
      <c r="E62" s="830" t="s">
        <v>1439</v>
      </c>
      <c r="P62" s="886">
        <f>P86</f>
        <v>32.619999999999997</v>
      </c>
      <c r="Q62" s="886">
        <f>P62</f>
        <v>32.619999999999997</v>
      </c>
      <c r="R62" s="886">
        <f t="shared" ref="R62:AD62" si="19">Q62</f>
        <v>32.619999999999997</v>
      </c>
      <c r="S62" s="1059">
        <f t="shared" si="19"/>
        <v>32.619999999999997</v>
      </c>
      <c r="T62" s="1058">
        <f t="shared" si="19"/>
        <v>32.619999999999997</v>
      </c>
      <c r="U62" s="1058">
        <f t="shared" si="19"/>
        <v>32.619999999999997</v>
      </c>
      <c r="V62" s="1058">
        <f t="shared" si="19"/>
        <v>32.619999999999997</v>
      </c>
      <c r="W62" s="1058">
        <f t="shared" si="19"/>
        <v>32.619999999999997</v>
      </c>
      <c r="X62" s="1058">
        <f t="shared" si="19"/>
        <v>32.619999999999997</v>
      </c>
      <c r="Y62" s="1058">
        <f t="shared" si="19"/>
        <v>32.619999999999997</v>
      </c>
      <c r="Z62" s="1058">
        <f t="shared" si="19"/>
        <v>32.619999999999997</v>
      </c>
      <c r="AA62" s="1058">
        <f t="shared" si="19"/>
        <v>32.619999999999997</v>
      </c>
      <c r="AB62" s="1058">
        <f t="shared" si="19"/>
        <v>32.619999999999997</v>
      </c>
      <c r="AC62" s="1058">
        <f t="shared" si="19"/>
        <v>32.619999999999997</v>
      </c>
      <c r="AD62" s="1058">
        <f t="shared" si="19"/>
        <v>32.619999999999997</v>
      </c>
      <c r="AE62" s="838"/>
      <c r="AF62" s="838"/>
      <c r="AG62" s="838"/>
      <c r="AH62" s="838"/>
      <c r="AI62" s="838"/>
      <c r="AJ62" s="838"/>
      <c r="AK62" s="838"/>
      <c r="AL62" s="838"/>
      <c r="AM62" s="838"/>
      <c r="AN62" s="838"/>
      <c r="AO62" s="838"/>
      <c r="AP62" s="838"/>
      <c r="AQ62" s="838"/>
      <c r="AR62" s="838"/>
      <c r="AS62" s="838"/>
      <c r="AT62" s="838"/>
      <c r="AU62" s="838"/>
      <c r="AV62" s="838"/>
      <c r="AW62" s="838"/>
      <c r="AX62" s="838"/>
      <c r="AY62" s="838"/>
      <c r="AZ62" s="838"/>
      <c r="BA62" s="838"/>
      <c r="BB62" s="838"/>
      <c r="BC62" s="838"/>
      <c r="BD62" s="838"/>
    </row>
    <row r="63" spans="1:56" s="833" customFormat="1" x14ac:dyDescent="0.25">
      <c r="A63" s="835"/>
      <c r="B63" s="828" t="s">
        <v>1405</v>
      </c>
      <c r="C63" s="829" t="s">
        <v>928</v>
      </c>
      <c r="D63" s="829" t="s">
        <v>1401</v>
      </c>
      <c r="E63" s="830" t="s">
        <v>1438</v>
      </c>
      <c r="P63" s="865">
        <v>36</v>
      </c>
      <c r="Q63" s="865">
        <v>36</v>
      </c>
      <c r="R63" s="865">
        <v>36</v>
      </c>
      <c r="S63" s="883">
        <v>36</v>
      </c>
      <c r="T63" s="1057">
        <v>36</v>
      </c>
      <c r="U63" s="1057">
        <v>36</v>
      </c>
      <c r="V63" s="1057">
        <v>36</v>
      </c>
      <c r="W63" s="1057">
        <v>36</v>
      </c>
      <c r="X63" s="1057">
        <v>36</v>
      </c>
      <c r="Y63" s="1057">
        <v>36</v>
      </c>
      <c r="Z63" s="1057">
        <v>36</v>
      </c>
      <c r="AA63" s="1057">
        <v>36</v>
      </c>
      <c r="AB63" s="1057">
        <v>36</v>
      </c>
      <c r="AC63" s="1057">
        <v>36</v>
      </c>
      <c r="AD63" s="1057">
        <v>36</v>
      </c>
      <c r="AE63" s="838"/>
      <c r="AF63" s="838"/>
      <c r="AG63" s="838"/>
      <c r="AH63" s="838"/>
      <c r="AI63" s="838"/>
      <c r="AJ63" s="838"/>
      <c r="AK63" s="838"/>
      <c r="AL63" s="838"/>
      <c r="AM63" s="838"/>
      <c r="AN63" s="838"/>
      <c r="AO63" s="838"/>
      <c r="AP63" s="838"/>
      <c r="AQ63" s="838"/>
      <c r="AR63" s="838"/>
      <c r="AS63" s="838"/>
      <c r="AT63" s="838"/>
      <c r="AU63" s="838"/>
      <c r="AV63" s="838"/>
      <c r="AW63" s="838"/>
      <c r="AX63" s="838"/>
      <c r="AY63" s="838"/>
      <c r="AZ63" s="838"/>
      <c r="BA63" s="838"/>
      <c r="BB63" s="838"/>
      <c r="BC63" s="838"/>
      <c r="BD63" s="838"/>
    </row>
    <row r="64" spans="1:56" s="833" customFormat="1" x14ac:dyDescent="0.25">
      <c r="A64" s="835"/>
      <c r="B64" s="828" t="s">
        <v>1406</v>
      </c>
      <c r="C64" s="829" t="s">
        <v>723</v>
      </c>
      <c r="D64" s="829" t="s">
        <v>1401</v>
      </c>
      <c r="E64" s="830" t="s">
        <v>1440</v>
      </c>
      <c r="P64" s="886">
        <f>P88</f>
        <v>3.262</v>
      </c>
      <c r="Q64" s="886">
        <f t="shared" ref="Q64:AD64" si="20">Q88</f>
        <v>3.262</v>
      </c>
      <c r="R64" s="886">
        <f t="shared" si="20"/>
        <v>3.262</v>
      </c>
      <c r="S64" s="1059">
        <f t="shared" si="20"/>
        <v>3.262</v>
      </c>
      <c r="T64" s="1058">
        <f t="shared" si="20"/>
        <v>3.262</v>
      </c>
      <c r="U64" s="1058">
        <f t="shared" si="20"/>
        <v>3.262</v>
      </c>
      <c r="V64" s="1058">
        <f t="shared" si="20"/>
        <v>3.262</v>
      </c>
      <c r="W64" s="1058">
        <f t="shared" si="20"/>
        <v>3.262</v>
      </c>
      <c r="X64" s="1058">
        <f t="shared" si="20"/>
        <v>3.262</v>
      </c>
      <c r="Y64" s="1058">
        <f t="shared" si="20"/>
        <v>3.262</v>
      </c>
      <c r="Z64" s="1058">
        <f t="shared" si="20"/>
        <v>3.262</v>
      </c>
      <c r="AA64" s="1058">
        <f t="shared" si="20"/>
        <v>3.262</v>
      </c>
      <c r="AB64" s="1058">
        <f t="shared" si="20"/>
        <v>3.262</v>
      </c>
      <c r="AC64" s="1058">
        <f t="shared" si="20"/>
        <v>3.262</v>
      </c>
      <c r="AD64" s="1058">
        <f t="shared" si="20"/>
        <v>3.262</v>
      </c>
      <c r="AE64" s="838"/>
      <c r="AF64" s="838"/>
      <c r="AG64" s="838"/>
      <c r="AH64" s="838"/>
      <c r="AI64" s="838"/>
      <c r="AJ64" s="838"/>
      <c r="AK64" s="838"/>
      <c r="AL64" s="838"/>
      <c r="AM64" s="838"/>
      <c r="AN64" s="838"/>
      <c r="AO64" s="838"/>
      <c r="AP64" s="838"/>
      <c r="AQ64" s="838"/>
      <c r="AR64" s="838"/>
      <c r="AS64" s="838"/>
      <c r="AT64" s="838"/>
      <c r="AU64" s="838"/>
      <c r="AV64" s="838"/>
      <c r="AW64" s="838"/>
      <c r="AX64" s="838"/>
      <c r="AY64" s="838"/>
      <c r="AZ64" s="838"/>
      <c r="BA64" s="838"/>
      <c r="BB64" s="838"/>
      <c r="BC64" s="838"/>
      <c r="BD64" s="838"/>
    </row>
    <row r="65" spans="1:56" s="833" customFormat="1" x14ac:dyDescent="0.25">
      <c r="A65" s="835"/>
      <c r="B65" s="828" t="s">
        <v>1407</v>
      </c>
      <c r="C65" s="829" t="s">
        <v>695</v>
      </c>
      <c r="D65" s="829" t="s">
        <v>1401</v>
      </c>
      <c r="E65" s="830" t="s">
        <v>1438</v>
      </c>
      <c r="P65" s="865">
        <v>35</v>
      </c>
      <c r="Q65" s="865">
        <v>35</v>
      </c>
      <c r="R65" s="865">
        <v>35</v>
      </c>
      <c r="S65" s="883">
        <v>35</v>
      </c>
      <c r="T65" s="1057">
        <v>35</v>
      </c>
      <c r="U65" s="1057">
        <v>35</v>
      </c>
      <c r="V65" s="1057">
        <v>35</v>
      </c>
      <c r="W65" s="1057">
        <v>35</v>
      </c>
      <c r="X65" s="1057">
        <v>35</v>
      </c>
      <c r="Y65" s="1057">
        <v>35</v>
      </c>
      <c r="Z65" s="1057">
        <v>35</v>
      </c>
      <c r="AA65" s="1057">
        <v>35</v>
      </c>
      <c r="AB65" s="1057">
        <v>35</v>
      </c>
      <c r="AC65" s="1057">
        <v>35</v>
      </c>
      <c r="AD65" s="1057">
        <v>35</v>
      </c>
      <c r="AE65" s="838"/>
      <c r="AF65" s="838"/>
      <c r="AG65" s="838"/>
      <c r="AH65" s="838"/>
      <c r="AI65" s="838"/>
      <c r="AJ65" s="838"/>
      <c r="AK65" s="838"/>
      <c r="AL65" s="838"/>
      <c r="AM65" s="838"/>
      <c r="AN65" s="838"/>
      <c r="AO65" s="838"/>
      <c r="AP65" s="838"/>
      <c r="AQ65" s="838"/>
      <c r="AR65" s="838"/>
      <c r="AS65" s="838"/>
      <c r="AT65" s="838"/>
      <c r="AU65" s="838"/>
      <c r="AV65" s="838"/>
      <c r="AW65" s="838"/>
      <c r="AX65" s="838"/>
      <c r="AY65" s="838"/>
      <c r="AZ65" s="838"/>
      <c r="BA65" s="838"/>
      <c r="BB65" s="838"/>
      <c r="BC65" s="838"/>
      <c r="BD65" s="838"/>
    </row>
    <row r="66" spans="1:56" s="833" customFormat="1" x14ac:dyDescent="0.25">
      <c r="A66" s="835"/>
      <c r="B66" s="828" t="s">
        <v>1408</v>
      </c>
      <c r="C66" s="828"/>
      <c r="D66" s="828"/>
      <c r="E66" s="830"/>
      <c r="S66" s="830"/>
      <c r="T66" s="1052"/>
      <c r="U66" s="1052"/>
      <c r="V66" s="1052"/>
      <c r="W66" s="1052"/>
      <c r="X66" s="1052"/>
      <c r="Y66" s="1052"/>
      <c r="Z66" s="1052"/>
      <c r="AA66" s="1052"/>
      <c r="AB66" s="1052"/>
      <c r="AC66" s="1052"/>
      <c r="AD66" s="1052"/>
      <c r="AE66" s="838"/>
      <c r="AF66" s="838"/>
      <c r="AG66" s="838"/>
      <c r="AH66" s="838"/>
      <c r="AI66" s="838"/>
      <c r="AJ66" s="838"/>
      <c r="AK66" s="838"/>
      <c r="AL66" s="838"/>
      <c r="AM66" s="838"/>
      <c r="AN66" s="838"/>
      <c r="AO66" s="838"/>
      <c r="AP66" s="838"/>
      <c r="AQ66" s="838"/>
      <c r="AR66" s="838"/>
      <c r="AS66" s="838"/>
      <c r="AT66" s="838"/>
      <c r="AU66" s="838"/>
      <c r="AV66" s="838"/>
      <c r="AW66" s="838"/>
      <c r="AX66" s="838"/>
      <c r="AY66" s="838"/>
      <c r="AZ66" s="838"/>
      <c r="BA66" s="838"/>
      <c r="BB66" s="838"/>
      <c r="BC66" s="838"/>
      <c r="BD66" s="838"/>
    </row>
    <row r="67" spans="1:56" s="833" customFormat="1" x14ac:dyDescent="0.25">
      <c r="A67" s="835"/>
      <c r="B67" s="840" t="s">
        <v>1409</v>
      </c>
      <c r="C67" s="840"/>
      <c r="D67" s="840"/>
      <c r="E67" s="830"/>
      <c r="S67" s="830"/>
      <c r="T67" s="1052"/>
      <c r="U67" s="1052"/>
      <c r="V67" s="1052"/>
      <c r="W67" s="1052"/>
      <c r="X67" s="1052"/>
      <c r="Y67" s="1052"/>
      <c r="Z67" s="1052"/>
      <c r="AA67" s="1052"/>
      <c r="AB67" s="1052"/>
      <c r="AC67" s="1052"/>
      <c r="AD67" s="1052"/>
      <c r="AE67" s="838"/>
      <c r="AF67" s="838"/>
      <c r="AG67" s="838"/>
      <c r="AH67" s="838"/>
      <c r="AI67" s="838"/>
      <c r="AJ67" s="838"/>
      <c r="AK67" s="838"/>
      <c r="AL67" s="838"/>
      <c r="AM67" s="838"/>
      <c r="AN67" s="838"/>
      <c r="AO67" s="838"/>
      <c r="AP67" s="838"/>
      <c r="AQ67" s="838"/>
      <c r="AR67" s="838"/>
      <c r="AS67" s="838"/>
      <c r="AT67" s="838"/>
      <c r="AU67" s="838"/>
      <c r="AV67" s="838"/>
      <c r="AW67" s="838"/>
      <c r="AX67" s="838"/>
      <c r="AY67" s="838"/>
      <c r="AZ67" s="838"/>
      <c r="BA67" s="838"/>
      <c r="BB67" s="838"/>
      <c r="BC67" s="838"/>
      <c r="BD67" s="838"/>
    </row>
    <row r="68" spans="1:56" s="833" customFormat="1" x14ac:dyDescent="0.25">
      <c r="A68" s="835"/>
      <c r="B68" s="840" t="s">
        <v>1441</v>
      </c>
      <c r="C68" s="841" t="s">
        <v>1411</v>
      </c>
      <c r="D68" s="841" t="s">
        <v>1412</v>
      </c>
      <c r="E68" s="830" t="s">
        <v>1439</v>
      </c>
      <c r="P68" s="865"/>
      <c r="Q68" s="865"/>
      <c r="R68" s="865"/>
      <c r="S68" s="883">
        <v>2</v>
      </c>
      <c r="T68" s="1057">
        <v>2</v>
      </c>
      <c r="U68" s="1057">
        <f>T68</f>
        <v>2</v>
      </c>
      <c r="V68" s="1057">
        <f t="shared" ref="V68:AD70" si="21">U68</f>
        <v>2</v>
      </c>
      <c r="W68" s="1057">
        <f t="shared" si="21"/>
        <v>2</v>
      </c>
      <c r="X68" s="1057">
        <f t="shared" si="21"/>
        <v>2</v>
      </c>
      <c r="Y68" s="1057">
        <f t="shared" si="21"/>
        <v>2</v>
      </c>
      <c r="Z68" s="1057">
        <f t="shared" si="21"/>
        <v>2</v>
      </c>
      <c r="AA68" s="1057">
        <f t="shared" si="21"/>
        <v>2</v>
      </c>
      <c r="AB68" s="1057">
        <f t="shared" si="21"/>
        <v>2</v>
      </c>
      <c r="AC68" s="1057">
        <f t="shared" si="21"/>
        <v>2</v>
      </c>
      <c r="AD68" s="1057">
        <f t="shared" si="21"/>
        <v>2</v>
      </c>
      <c r="AE68" s="838"/>
      <c r="AF68" s="838"/>
      <c r="AG68" s="838"/>
      <c r="AH68" s="838"/>
      <c r="AI68" s="838"/>
      <c r="AJ68" s="838"/>
      <c r="AK68" s="838"/>
      <c r="AL68" s="838"/>
      <c r="AM68" s="838"/>
      <c r="AN68" s="838"/>
      <c r="AO68" s="838"/>
      <c r="AP68" s="838"/>
      <c r="AQ68" s="838"/>
      <c r="AR68" s="838"/>
      <c r="AS68" s="838"/>
      <c r="AT68" s="838"/>
      <c r="AU68" s="838"/>
      <c r="AV68" s="838"/>
      <c r="AW68" s="838"/>
      <c r="AX68" s="838"/>
      <c r="AY68" s="838"/>
      <c r="AZ68" s="838"/>
      <c r="BA68" s="838"/>
      <c r="BB68" s="838"/>
      <c r="BC68" s="838"/>
      <c r="BD68" s="838"/>
    </row>
    <row r="69" spans="1:56" s="833" customFormat="1" x14ac:dyDescent="0.25">
      <c r="A69" s="835"/>
      <c r="B69" s="840" t="s">
        <v>1442</v>
      </c>
      <c r="C69" s="841" t="s">
        <v>1414</v>
      </c>
      <c r="D69" s="841" t="s">
        <v>1412</v>
      </c>
      <c r="E69" s="830" t="s">
        <v>1438</v>
      </c>
      <c r="P69" s="865"/>
      <c r="Q69" s="865"/>
      <c r="R69" s="865"/>
      <c r="S69" s="883">
        <v>25</v>
      </c>
      <c r="T69" s="1057">
        <v>25</v>
      </c>
      <c r="U69" s="1057">
        <f>T69</f>
        <v>25</v>
      </c>
      <c r="V69" s="1057">
        <f t="shared" si="21"/>
        <v>25</v>
      </c>
      <c r="W69" s="1057">
        <f t="shared" si="21"/>
        <v>25</v>
      </c>
      <c r="X69" s="1057">
        <f t="shared" si="21"/>
        <v>25</v>
      </c>
      <c r="Y69" s="1057">
        <f t="shared" si="21"/>
        <v>25</v>
      </c>
      <c r="Z69" s="1057">
        <f t="shared" si="21"/>
        <v>25</v>
      </c>
      <c r="AA69" s="1057">
        <f t="shared" si="21"/>
        <v>25</v>
      </c>
      <c r="AB69" s="1057">
        <f t="shared" si="21"/>
        <v>25</v>
      </c>
      <c r="AC69" s="1057">
        <f t="shared" si="21"/>
        <v>25</v>
      </c>
      <c r="AD69" s="1057">
        <f t="shared" si="21"/>
        <v>25</v>
      </c>
      <c r="AE69" s="838"/>
      <c r="AF69" s="838"/>
      <c r="AG69" s="838"/>
      <c r="AH69" s="838"/>
      <c r="AI69" s="838"/>
      <c r="AJ69" s="838"/>
      <c r="AK69" s="838"/>
      <c r="AL69" s="838"/>
      <c r="AM69" s="838"/>
      <c r="AN69" s="838"/>
      <c r="AO69" s="838"/>
      <c r="AP69" s="838"/>
      <c r="AQ69" s="838"/>
      <c r="AR69" s="838"/>
      <c r="AS69" s="838"/>
      <c r="AT69" s="838"/>
      <c r="AU69" s="838"/>
      <c r="AV69" s="838"/>
      <c r="AW69" s="838"/>
      <c r="AX69" s="838"/>
      <c r="AY69" s="838"/>
      <c r="AZ69" s="838"/>
      <c r="BA69" s="838"/>
      <c r="BB69" s="838"/>
      <c r="BC69" s="838"/>
      <c r="BD69" s="838"/>
    </row>
    <row r="70" spans="1:56" s="833" customFormat="1" x14ac:dyDescent="0.25">
      <c r="A70" s="835"/>
      <c r="B70" s="840" t="s">
        <v>1415</v>
      </c>
      <c r="C70" s="841" t="s">
        <v>1416</v>
      </c>
      <c r="D70" s="841" t="s">
        <v>1412</v>
      </c>
      <c r="E70" s="830" t="s">
        <v>1439</v>
      </c>
      <c r="P70" s="865"/>
      <c r="Q70" s="865"/>
      <c r="R70" s="865"/>
      <c r="S70" s="883"/>
      <c r="T70" s="1057">
        <v>1300</v>
      </c>
      <c r="U70" s="1057">
        <f>T70</f>
        <v>1300</v>
      </c>
      <c r="V70" s="1057">
        <f t="shared" si="21"/>
        <v>1300</v>
      </c>
      <c r="W70" s="1057">
        <f t="shared" si="21"/>
        <v>1300</v>
      </c>
      <c r="X70" s="1057">
        <f t="shared" si="21"/>
        <v>1300</v>
      </c>
      <c r="Y70" s="1057">
        <f t="shared" si="21"/>
        <v>1300</v>
      </c>
      <c r="Z70" s="1057">
        <f t="shared" si="21"/>
        <v>1300</v>
      </c>
      <c r="AA70" s="1057">
        <f t="shared" si="21"/>
        <v>1300</v>
      </c>
      <c r="AB70" s="1057">
        <f t="shared" si="21"/>
        <v>1300</v>
      </c>
      <c r="AC70" s="1057">
        <f t="shared" si="21"/>
        <v>1300</v>
      </c>
      <c r="AD70" s="1057">
        <f t="shared" si="21"/>
        <v>1300</v>
      </c>
      <c r="AE70" s="838"/>
      <c r="AF70" s="838"/>
      <c r="AG70" s="838"/>
      <c r="AH70" s="838"/>
      <c r="AI70" s="838"/>
      <c r="AJ70" s="838"/>
      <c r="AK70" s="838"/>
      <c r="AL70" s="838"/>
      <c r="AM70" s="838"/>
      <c r="AN70" s="838"/>
      <c r="AO70" s="838"/>
      <c r="AP70" s="838"/>
      <c r="AQ70" s="838"/>
      <c r="AR70" s="838"/>
      <c r="AS70" s="838"/>
      <c r="AT70" s="838"/>
      <c r="AU70" s="838"/>
      <c r="AV70" s="838"/>
      <c r="AW70" s="838"/>
      <c r="AX70" s="838"/>
      <c r="AY70" s="838"/>
      <c r="AZ70" s="838"/>
      <c r="BA70" s="838"/>
      <c r="BB70" s="838"/>
      <c r="BC70" s="838"/>
      <c r="BD70" s="838"/>
    </row>
    <row r="71" spans="1:56" s="833" customFormat="1" x14ac:dyDescent="0.25">
      <c r="A71" s="835"/>
      <c r="B71" s="828" t="s">
        <v>1417</v>
      </c>
      <c r="C71" s="828"/>
      <c r="D71" s="828"/>
      <c r="E71" s="830" t="s">
        <v>1440</v>
      </c>
      <c r="P71" s="865"/>
      <c r="Q71" s="865"/>
      <c r="R71" s="865"/>
      <c r="S71" s="883"/>
      <c r="T71" s="1057"/>
      <c r="U71" s="1057"/>
      <c r="V71" s="1057">
        <v>400</v>
      </c>
      <c r="W71" s="1057">
        <v>400</v>
      </c>
      <c r="X71" s="1057">
        <v>400</v>
      </c>
      <c r="Y71" s="1057">
        <v>400</v>
      </c>
      <c r="Z71" s="1057">
        <v>400</v>
      </c>
      <c r="AA71" s="1057">
        <v>400</v>
      </c>
      <c r="AB71" s="1057">
        <v>400</v>
      </c>
      <c r="AC71" s="1057">
        <v>400</v>
      </c>
      <c r="AD71" s="1057">
        <v>400</v>
      </c>
      <c r="AE71" s="838"/>
      <c r="AF71" s="838"/>
      <c r="AG71" s="838"/>
      <c r="AH71" s="838"/>
      <c r="AI71" s="838"/>
      <c r="AJ71" s="838"/>
      <c r="AK71" s="838"/>
      <c r="AL71" s="838"/>
      <c r="AM71" s="838"/>
      <c r="AN71" s="838"/>
      <c r="AO71" s="838"/>
      <c r="AP71" s="838"/>
      <c r="AQ71" s="838"/>
      <c r="AR71" s="838"/>
      <c r="AS71" s="838"/>
      <c r="AT71" s="838"/>
      <c r="AU71" s="838"/>
      <c r="AV71" s="838"/>
      <c r="AW71" s="838"/>
      <c r="AX71" s="838"/>
      <c r="AY71" s="838"/>
      <c r="AZ71" s="838"/>
      <c r="BA71" s="838"/>
      <c r="BB71" s="838"/>
      <c r="BC71" s="838"/>
      <c r="BD71" s="838"/>
    </row>
    <row r="72" spans="1:56" s="833" customFormat="1" x14ac:dyDescent="0.25">
      <c r="A72" s="835"/>
      <c r="B72" s="840" t="s">
        <v>1418</v>
      </c>
      <c r="C72" s="841" t="s">
        <v>1419</v>
      </c>
      <c r="D72" s="829" t="s">
        <v>1401</v>
      </c>
      <c r="E72" s="830" t="s">
        <v>1438</v>
      </c>
      <c r="P72" s="865"/>
      <c r="Q72" s="865"/>
      <c r="R72" s="865"/>
      <c r="S72" s="883"/>
      <c r="T72" s="1057"/>
      <c r="U72" s="1057"/>
      <c r="V72" s="1052">
        <f>V71*'Phân loại dược phẩm'!E309</f>
        <v>232.65306122448979</v>
      </c>
      <c r="W72" s="1052">
        <f>V72</f>
        <v>232.65306122448979</v>
      </c>
      <c r="X72" s="1052">
        <f t="shared" ref="X72:AD75" si="22">W72</f>
        <v>232.65306122448979</v>
      </c>
      <c r="Y72" s="1052">
        <f t="shared" si="22"/>
        <v>232.65306122448979</v>
      </c>
      <c r="Z72" s="1052">
        <f t="shared" si="22"/>
        <v>232.65306122448979</v>
      </c>
      <c r="AA72" s="1052">
        <f t="shared" si="22"/>
        <v>232.65306122448979</v>
      </c>
      <c r="AB72" s="1052">
        <f t="shared" si="22"/>
        <v>232.65306122448979</v>
      </c>
      <c r="AC72" s="1052">
        <f t="shared" si="22"/>
        <v>232.65306122448979</v>
      </c>
      <c r="AD72" s="1052">
        <f t="shared" si="22"/>
        <v>232.65306122448979</v>
      </c>
      <c r="AE72" s="838"/>
      <c r="AF72" s="838"/>
      <c r="AG72" s="838"/>
      <c r="AH72" s="838"/>
      <c r="AI72" s="838"/>
      <c r="AJ72" s="838"/>
      <c r="AK72" s="838"/>
      <c r="AL72" s="838"/>
      <c r="AM72" s="838"/>
      <c r="AN72" s="838"/>
      <c r="AO72" s="838"/>
      <c r="AP72" s="838"/>
      <c r="AQ72" s="838"/>
      <c r="AR72" s="838"/>
      <c r="AS72" s="838"/>
      <c r="AT72" s="838"/>
      <c r="AU72" s="838"/>
      <c r="AV72" s="838"/>
      <c r="AW72" s="838"/>
      <c r="AX72" s="838"/>
      <c r="AY72" s="838"/>
      <c r="AZ72" s="838"/>
      <c r="BA72" s="838"/>
      <c r="BB72" s="838"/>
      <c r="BC72" s="838"/>
      <c r="BD72" s="838"/>
    </row>
    <row r="73" spans="1:56" s="833" customFormat="1" x14ac:dyDescent="0.25">
      <c r="A73" s="835"/>
      <c r="B73" s="840" t="s">
        <v>1420</v>
      </c>
      <c r="C73" s="841" t="s">
        <v>1421</v>
      </c>
      <c r="D73" s="829" t="s">
        <v>1401</v>
      </c>
      <c r="E73" s="830" t="s">
        <v>1439</v>
      </c>
      <c r="P73" s="865"/>
      <c r="Q73" s="865"/>
      <c r="R73" s="865"/>
      <c r="S73" s="883"/>
      <c r="T73" s="1057"/>
      <c r="U73" s="1057"/>
      <c r="V73" s="1052">
        <f>V71*'Phân loại dược phẩm'!E308</f>
        <v>167.34693877551021</v>
      </c>
      <c r="W73" s="1052">
        <f>V73</f>
        <v>167.34693877551021</v>
      </c>
      <c r="X73" s="1052">
        <f t="shared" si="22"/>
        <v>167.34693877551021</v>
      </c>
      <c r="Y73" s="1052">
        <f t="shared" si="22"/>
        <v>167.34693877551021</v>
      </c>
      <c r="Z73" s="1052">
        <f t="shared" si="22"/>
        <v>167.34693877551021</v>
      </c>
      <c r="AA73" s="1052">
        <f t="shared" si="22"/>
        <v>167.34693877551021</v>
      </c>
      <c r="AB73" s="1052">
        <f t="shared" si="22"/>
        <v>167.34693877551021</v>
      </c>
      <c r="AC73" s="1052">
        <f t="shared" si="22"/>
        <v>167.34693877551021</v>
      </c>
      <c r="AD73" s="1052">
        <f t="shared" si="22"/>
        <v>167.34693877551021</v>
      </c>
      <c r="AE73" s="838"/>
      <c r="AF73" s="838"/>
      <c r="AG73" s="838"/>
      <c r="AH73" s="838"/>
      <c r="AI73" s="838"/>
      <c r="AJ73" s="838"/>
      <c r="AK73" s="838"/>
      <c r="AL73" s="838"/>
      <c r="AM73" s="838"/>
      <c r="AN73" s="838"/>
      <c r="AO73" s="838"/>
      <c r="AP73" s="838"/>
      <c r="AQ73" s="838"/>
      <c r="AR73" s="838"/>
      <c r="AS73" s="838"/>
      <c r="AT73" s="838"/>
      <c r="AU73" s="838"/>
      <c r="AV73" s="838"/>
      <c r="AW73" s="838"/>
      <c r="AX73" s="838"/>
      <c r="AY73" s="838"/>
      <c r="AZ73" s="838"/>
      <c r="BA73" s="838"/>
      <c r="BB73" s="838"/>
      <c r="BC73" s="838"/>
      <c r="BD73" s="838"/>
    </row>
    <row r="74" spans="1:56" s="833" customFormat="1" x14ac:dyDescent="0.25">
      <c r="A74" s="835"/>
      <c r="B74" s="828" t="s">
        <v>1422</v>
      </c>
      <c r="C74" s="828"/>
      <c r="D74" s="828"/>
      <c r="E74" s="830" t="s">
        <v>1440</v>
      </c>
      <c r="P74" s="865"/>
      <c r="Q74" s="865"/>
      <c r="R74" s="865"/>
      <c r="S74" s="883"/>
      <c r="T74" s="1057"/>
      <c r="U74" s="1057"/>
      <c r="V74" s="1057"/>
      <c r="W74" s="1057">
        <v>62</v>
      </c>
      <c r="X74" s="1057">
        <f>W74</f>
        <v>62</v>
      </c>
      <c r="Y74" s="1057">
        <f t="shared" si="22"/>
        <v>62</v>
      </c>
      <c r="Z74" s="1057">
        <f t="shared" si="22"/>
        <v>62</v>
      </c>
      <c r="AA74" s="1057">
        <f t="shared" si="22"/>
        <v>62</v>
      </c>
      <c r="AB74" s="1057">
        <f t="shared" si="22"/>
        <v>62</v>
      </c>
      <c r="AC74" s="1057">
        <f t="shared" si="22"/>
        <v>62</v>
      </c>
      <c r="AD74" s="1057">
        <f t="shared" si="22"/>
        <v>62</v>
      </c>
      <c r="AE74" s="838"/>
      <c r="AF74" s="838"/>
      <c r="AG74" s="838"/>
      <c r="AH74" s="838"/>
      <c r="AI74" s="838"/>
      <c r="AJ74" s="838"/>
      <c r="AK74" s="838"/>
      <c r="AL74" s="838"/>
      <c r="AM74" s="838"/>
      <c r="AN74" s="838"/>
      <c r="AO74" s="838"/>
      <c r="AP74" s="838"/>
      <c r="AQ74" s="838"/>
      <c r="AR74" s="838"/>
      <c r="AS74" s="838"/>
      <c r="AT74" s="838"/>
      <c r="AU74" s="838"/>
      <c r="AV74" s="838"/>
      <c r="AW74" s="838"/>
      <c r="AX74" s="838"/>
      <c r="AY74" s="838"/>
      <c r="AZ74" s="838"/>
      <c r="BA74" s="838"/>
      <c r="BB74" s="838"/>
      <c r="BC74" s="838"/>
      <c r="BD74" s="838"/>
    </row>
    <row r="75" spans="1:56" s="833" customFormat="1" x14ac:dyDescent="0.25">
      <c r="A75" s="835"/>
      <c r="B75" s="840" t="s">
        <v>1423</v>
      </c>
      <c r="C75" s="841" t="s">
        <v>1424</v>
      </c>
      <c r="D75" s="841" t="s">
        <v>1412</v>
      </c>
      <c r="E75" s="830" t="s">
        <v>1438</v>
      </c>
      <c r="P75" s="865"/>
      <c r="Q75" s="865"/>
      <c r="R75" s="865"/>
      <c r="S75" s="883"/>
      <c r="T75" s="1057"/>
      <c r="U75" s="1057"/>
      <c r="V75" s="1057"/>
      <c r="W75" s="1057">
        <v>15</v>
      </c>
      <c r="X75" s="1057">
        <f>W75</f>
        <v>15</v>
      </c>
      <c r="Y75" s="1057">
        <f t="shared" si="22"/>
        <v>15</v>
      </c>
      <c r="Z75" s="1057">
        <f t="shared" si="22"/>
        <v>15</v>
      </c>
      <c r="AA75" s="1057">
        <f t="shared" si="22"/>
        <v>15</v>
      </c>
      <c r="AB75" s="1057">
        <f t="shared" si="22"/>
        <v>15</v>
      </c>
      <c r="AC75" s="1057">
        <f t="shared" si="22"/>
        <v>15</v>
      </c>
      <c r="AD75" s="1057">
        <f t="shared" si="22"/>
        <v>15</v>
      </c>
      <c r="AE75" s="838"/>
      <c r="AF75" s="838"/>
      <c r="AG75" s="838"/>
      <c r="AH75" s="838"/>
      <c r="AI75" s="838"/>
      <c r="AJ75" s="838"/>
      <c r="AK75" s="838"/>
      <c r="AL75" s="838"/>
      <c r="AM75" s="838"/>
      <c r="AN75" s="838"/>
      <c r="AO75" s="838"/>
      <c r="AP75" s="838"/>
      <c r="AQ75" s="838"/>
      <c r="AR75" s="838"/>
      <c r="AS75" s="838"/>
      <c r="AT75" s="838"/>
      <c r="AU75" s="838"/>
      <c r="AV75" s="838"/>
      <c r="AW75" s="838"/>
      <c r="AX75" s="838"/>
      <c r="AY75" s="838"/>
      <c r="AZ75" s="838"/>
      <c r="BA75" s="838"/>
      <c r="BB75" s="838"/>
      <c r="BC75" s="838"/>
      <c r="BD75" s="838"/>
    </row>
    <row r="76" spans="1:56" s="833" customFormat="1" x14ac:dyDescent="0.25">
      <c r="A76" s="835"/>
      <c r="B76" s="840" t="s">
        <v>1425</v>
      </c>
      <c r="C76" s="841" t="s">
        <v>1426</v>
      </c>
      <c r="D76" s="829" t="s">
        <v>1401</v>
      </c>
      <c r="E76" s="830" t="s">
        <v>1439</v>
      </c>
      <c r="P76" s="865"/>
      <c r="Q76" s="865"/>
      <c r="R76" s="865"/>
      <c r="S76" s="883"/>
      <c r="T76" s="1057"/>
      <c r="U76" s="1057"/>
      <c r="V76" s="1057"/>
      <c r="W76" s="1057"/>
      <c r="X76" s="1057"/>
      <c r="Y76" s="1057"/>
      <c r="Z76" s="1057">
        <v>40</v>
      </c>
      <c r="AA76" s="1057">
        <v>40</v>
      </c>
      <c r="AB76" s="1057">
        <v>40</v>
      </c>
      <c r="AC76" s="1057">
        <v>40</v>
      </c>
      <c r="AD76" s="1057">
        <v>40</v>
      </c>
      <c r="AE76" s="838"/>
      <c r="AF76" s="838"/>
      <c r="AG76" s="838"/>
      <c r="AH76" s="838"/>
      <c r="AI76" s="838"/>
      <c r="AJ76" s="838"/>
      <c r="AK76" s="838"/>
      <c r="AL76" s="838"/>
      <c r="AM76" s="838"/>
      <c r="AN76" s="838"/>
      <c r="AO76" s="838"/>
      <c r="AP76" s="838"/>
      <c r="AQ76" s="838"/>
      <c r="AR76" s="838"/>
      <c r="AS76" s="838"/>
      <c r="AT76" s="838"/>
      <c r="AU76" s="838"/>
      <c r="AV76" s="838"/>
      <c r="AW76" s="838"/>
      <c r="AX76" s="838"/>
      <c r="AY76" s="838"/>
      <c r="AZ76" s="838"/>
      <c r="BA76" s="838"/>
      <c r="BB76" s="838"/>
      <c r="BC76" s="838"/>
      <c r="BD76" s="838"/>
    </row>
    <row r="77" spans="1:56" s="833" customFormat="1" x14ac:dyDescent="0.25">
      <c r="A77" s="835"/>
      <c r="B77" s="840" t="s">
        <v>1427</v>
      </c>
      <c r="C77" s="841" t="s">
        <v>1428</v>
      </c>
      <c r="D77" s="829" t="s">
        <v>1401</v>
      </c>
      <c r="E77" s="830" t="s">
        <v>1438</v>
      </c>
      <c r="P77" s="865"/>
      <c r="Q77" s="865"/>
      <c r="R77" s="865"/>
      <c r="S77" s="883"/>
      <c r="T77" s="1057"/>
      <c r="U77" s="1057"/>
      <c r="V77" s="1057"/>
      <c r="W77" s="1057"/>
      <c r="X77" s="1057">
        <f>7*'Phân loại dược phẩm'!E315</f>
        <v>4.4545454545454541</v>
      </c>
      <c r="Y77" s="1057">
        <f t="shared" ref="Y77:AD78" si="23">X77</f>
        <v>4.4545454545454541</v>
      </c>
      <c r="Z77" s="1057">
        <f t="shared" si="23"/>
        <v>4.4545454545454541</v>
      </c>
      <c r="AA77" s="1057">
        <f t="shared" si="23"/>
        <v>4.4545454545454541</v>
      </c>
      <c r="AB77" s="1057">
        <f t="shared" si="23"/>
        <v>4.4545454545454541</v>
      </c>
      <c r="AC77" s="1057">
        <f t="shared" si="23"/>
        <v>4.4545454545454541</v>
      </c>
      <c r="AD77" s="1057">
        <f t="shared" si="23"/>
        <v>4.4545454545454541</v>
      </c>
      <c r="AE77" s="838"/>
      <c r="AF77" s="838"/>
      <c r="AG77" s="838"/>
      <c r="AH77" s="838"/>
      <c r="AI77" s="838"/>
      <c r="AJ77" s="838"/>
      <c r="AK77" s="838"/>
      <c r="AL77" s="838"/>
      <c r="AM77" s="838"/>
      <c r="AN77" s="838"/>
      <c r="AO77" s="838"/>
      <c r="AP77" s="838"/>
      <c r="AQ77" s="838"/>
      <c r="AR77" s="838"/>
      <c r="AS77" s="838"/>
      <c r="AT77" s="838"/>
      <c r="AU77" s="838"/>
      <c r="AV77" s="838"/>
      <c r="AW77" s="838"/>
      <c r="AX77" s="838"/>
      <c r="AY77" s="838"/>
      <c r="AZ77" s="838"/>
      <c r="BA77" s="838"/>
      <c r="BB77" s="838"/>
      <c r="BC77" s="838"/>
      <c r="BD77" s="838"/>
    </row>
    <row r="78" spans="1:56" s="833" customFormat="1" x14ac:dyDescent="0.25">
      <c r="A78" s="835"/>
      <c r="B78" s="840" t="s">
        <v>1429</v>
      </c>
      <c r="C78" s="841" t="s">
        <v>1430</v>
      </c>
      <c r="D78" s="829" t="s">
        <v>1401</v>
      </c>
      <c r="E78" s="830" t="s">
        <v>1439</v>
      </c>
      <c r="P78" s="865"/>
      <c r="Q78" s="865"/>
      <c r="R78" s="865"/>
      <c r="S78" s="883"/>
      <c r="T78" s="1057"/>
      <c r="U78" s="1057"/>
      <c r="V78" s="1057"/>
      <c r="W78" s="1057"/>
      <c r="X78" s="1057">
        <f>7*'Phân loại dược phẩm'!E316</f>
        <v>2.5454545454545454</v>
      </c>
      <c r="Y78" s="1057">
        <f t="shared" si="23"/>
        <v>2.5454545454545454</v>
      </c>
      <c r="Z78" s="1057">
        <f t="shared" si="23"/>
        <v>2.5454545454545454</v>
      </c>
      <c r="AA78" s="1057">
        <f t="shared" si="23"/>
        <v>2.5454545454545454</v>
      </c>
      <c r="AB78" s="1057">
        <f t="shared" si="23"/>
        <v>2.5454545454545454</v>
      </c>
      <c r="AC78" s="1057">
        <f t="shared" si="23"/>
        <v>2.5454545454545454</v>
      </c>
      <c r="AD78" s="1057">
        <f t="shared" si="23"/>
        <v>2.5454545454545454</v>
      </c>
      <c r="AE78" s="838"/>
      <c r="AF78" s="838"/>
      <c r="AG78" s="838"/>
      <c r="AH78" s="838"/>
      <c r="AI78" s="838"/>
      <c r="AJ78" s="838"/>
      <c r="AK78" s="838"/>
      <c r="AL78" s="838"/>
      <c r="AM78" s="838"/>
      <c r="AN78" s="838"/>
      <c r="AO78" s="838"/>
      <c r="AP78" s="838"/>
      <c r="AQ78" s="838"/>
      <c r="AR78" s="838"/>
      <c r="AS78" s="838"/>
      <c r="AT78" s="838"/>
      <c r="AU78" s="838"/>
      <c r="AV78" s="838"/>
      <c r="AW78" s="838"/>
      <c r="AX78" s="838"/>
      <c r="AY78" s="838"/>
      <c r="AZ78" s="838"/>
      <c r="BA78" s="838"/>
      <c r="BB78" s="838"/>
      <c r="BC78" s="838"/>
      <c r="BD78" s="838"/>
    </row>
    <row r="79" spans="1:56" s="833" customFormat="1" x14ac:dyDescent="0.25">
      <c r="A79" s="835"/>
      <c r="B79" s="828" t="s">
        <v>1431</v>
      </c>
      <c r="C79" s="829" t="s">
        <v>1432</v>
      </c>
      <c r="D79" s="829"/>
      <c r="P79" s="865"/>
      <c r="Q79" s="865"/>
      <c r="R79" s="865"/>
      <c r="S79" s="887"/>
      <c r="T79" s="1057"/>
      <c r="U79" s="1057"/>
      <c r="V79" s="1057"/>
      <c r="W79" s="1057"/>
      <c r="X79" s="1057"/>
      <c r="Y79" s="1057"/>
      <c r="Z79" s="1057"/>
      <c r="AA79" s="1057"/>
      <c r="AB79" s="1057"/>
      <c r="AC79" s="1057"/>
      <c r="AD79" s="1052"/>
      <c r="AE79" s="838"/>
      <c r="AF79" s="838"/>
      <c r="AG79" s="838"/>
      <c r="AH79" s="838"/>
      <c r="AI79" s="838"/>
      <c r="AJ79" s="838"/>
      <c r="AK79" s="838"/>
      <c r="AL79" s="838"/>
      <c r="AM79" s="838"/>
      <c r="AN79" s="838"/>
      <c r="AO79" s="838"/>
      <c r="AP79" s="838"/>
      <c r="AQ79" s="838"/>
      <c r="AR79" s="838"/>
      <c r="AS79" s="838"/>
      <c r="AT79" s="838"/>
      <c r="AU79" s="838"/>
      <c r="AV79" s="838"/>
      <c r="AW79" s="838"/>
      <c r="AX79" s="838"/>
      <c r="AY79" s="838"/>
      <c r="AZ79" s="838"/>
      <c r="BA79" s="838"/>
      <c r="BB79" s="838"/>
      <c r="BC79" s="838"/>
      <c r="BD79" s="838"/>
    </row>
    <row r="80" spans="1:56" s="800" customFormat="1" x14ac:dyDescent="0.25">
      <c r="A80" s="799"/>
      <c r="B80" s="844" t="s">
        <v>1443</v>
      </c>
      <c r="C80" s="844"/>
      <c r="D80" s="844"/>
      <c r="E80" s="845" t="s">
        <v>1440</v>
      </c>
      <c r="F80" s="844"/>
      <c r="G80" s="844"/>
      <c r="H80" s="844"/>
      <c r="I80" s="844"/>
      <c r="J80" s="844"/>
      <c r="K80" s="888"/>
      <c r="L80" s="889"/>
      <c r="M80" s="889"/>
      <c r="N80" s="889"/>
      <c r="O80" s="889"/>
      <c r="P80" s="889">
        <f>SUM(P59,P60,P61,P62,P63,P64,P65,P68,P69,P70,P72,P73,P75,P76,P77,P78)</f>
        <v>1630.8819999999998</v>
      </c>
      <c r="Q80" s="889">
        <f t="shared" ref="Q80:AD80" si="24">SUM(Q59,Q60,Q61,Q62,Q63,Q64,Q65,Q68,Q69,Q70,Q72,Q73,Q75,Q76,Q77,Q78)</f>
        <v>1630.8819999999998</v>
      </c>
      <c r="R80" s="889">
        <f t="shared" si="24"/>
        <v>1630.8819999999998</v>
      </c>
      <c r="S80" s="1073">
        <f t="shared" si="24"/>
        <v>1657.8819999999998</v>
      </c>
      <c r="T80" s="1075">
        <f t="shared" si="24"/>
        <v>2957.8819999999996</v>
      </c>
      <c r="U80" s="1075">
        <f t="shared" si="24"/>
        <v>2957.8819999999996</v>
      </c>
      <c r="V80" s="1075">
        <f t="shared" si="24"/>
        <v>3357.8819999999996</v>
      </c>
      <c r="W80" s="1075">
        <f t="shared" si="24"/>
        <v>3372.8819999999996</v>
      </c>
      <c r="X80" s="1075">
        <f t="shared" si="24"/>
        <v>3379.8819999999996</v>
      </c>
      <c r="Y80" s="1075">
        <f t="shared" si="24"/>
        <v>3379.8819999999996</v>
      </c>
      <c r="Z80" s="1075">
        <f t="shared" si="24"/>
        <v>3419.8819999999996</v>
      </c>
      <c r="AA80" s="1075">
        <f t="shared" si="24"/>
        <v>3419.8819999999996</v>
      </c>
      <c r="AB80" s="1075">
        <f t="shared" si="24"/>
        <v>3419.8819999999996</v>
      </c>
      <c r="AC80" s="1075">
        <f t="shared" si="24"/>
        <v>3419.8819999999996</v>
      </c>
      <c r="AD80" s="1075">
        <f t="shared" si="24"/>
        <v>3419.8819999999996</v>
      </c>
      <c r="AE80" s="1076"/>
      <c r="AF80" s="1076"/>
      <c r="AG80" s="1076"/>
      <c r="AH80" s="1076"/>
      <c r="AI80" s="1076">
        <f t="shared" ref="AI80:BD80" si="25">SUM(AI62:AI64)</f>
        <v>0</v>
      </c>
      <c r="AJ80" s="1076">
        <f t="shared" si="25"/>
        <v>0</v>
      </c>
      <c r="AK80" s="1076">
        <f t="shared" si="25"/>
        <v>0</v>
      </c>
      <c r="AL80" s="1076">
        <f t="shared" si="25"/>
        <v>0</v>
      </c>
      <c r="AM80" s="1076">
        <f t="shared" si="25"/>
        <v>0</v>
      </c>
      <c r="AN80" s="1076">
        <f t="shared" si="25"/>
        <v>0</v>
      </c>
      <c r="AO80" s="1076">
        <f t="shared" si="25"/>
        <v>0</v>
      </c>
      <c r="AP80" s="1076">
        <f t="shared" si="25"/>
        <v>0</v>
      </c>
      <c r="AQ80" s="1076">
        <f t="shared" si="25"/>
        <v>0</v>
      </c>
      <c r="AR80" s="1076">
        <f t="shared" si="25"/>
        <v>0</v>
      </c>
      <c r="AS80" s="1076">
        <f t="shared" si="25"/>
        <v>0</v>
      </c>
      <c r="AT80" s="1076">
        <f t="shared" si="25"/>
        <v>0</v>
      </c>
      <c r="AU80" s="1076">
        <f t="shared" si="25"/>
        <v>0</v>
      </c>
      <c r="AV80" s="1076">
        <f t="shared" si="25"/>
        <v>0</v>
      </c>
      <c r="AW80" s="1076">
        <f t="shared" si="25"/>
        <v>0</v>
      </c>
      <c r="AX80" s="1076">
        <f t="shared" si="25"/>
        <v>0</v>
      </c>
      <c r="AY80" s="1076">
        <f t="shared" si="25"/>
        <v>0</v>
      </c>
      <c r="AZ80" s="1076">
        <f t="shared" si="25"/>
        <v>0</v>
      </c>
      <c r="BA80" s="1076">
        <f t="shared" si="25"/>
        <v>0</v>
      </c>
      <c r="BB80" s="1076">
        <f t="shared" si="25"/>
        <v>0</v>
      </c>
      <c r="BC80" s="1076">
        <f t="shared" si="25"/>
        <v>0</v>
      </c>
      <c r="BD80" s="1076">
        <f t="shared" si="25"/>
        <v>0</v>
      </c>
    </row>
    <row r="81" spans="1:56" s="860" customFormat="1" x14ac:dyDescent="0.25">
      <c r="A81" s="859"/>
      <c r="B81" s="851"/>
      <c r="C81" s="851"/>
      <c r="D81" s="851"/>
      <c r="E81" s="852"/>
      <c r="F81" s="891"/>
      <c r="G81" s="891"/>
      <c r="H81" s="891"/>
      <c r="I81" s="891"/>
      <c r="J81" s="891"/>
      <c r="K81" s="892"/>
      <c r="L81" s="892"/>
      <c r="M81" s="892"/>
      <c r="N81" s="892"/>
      <c r="O81" s="892"/>
      <c r="P81" s="892"/>
      <c r="Q81" s="892"/>
      <c r="R81" s="892"/>
      <c r="S81" s="893"/>
      <c r="T81" s="892"/>
      <c r="U81" s="892"/>
      <c r="V81" s="892"/>
      <c r="W81" s="892"/>
      <c r="X81" s="892"/>
      <c r="Y81" s="892"/>
      <c r="Z81" s="892"/>
      <c r="AA81" s="892"/>
      <c r="AB81" s="892"/>
      <c r="AC81" s="892"/>
      <c r="AD81" s="892"/>
      <c r="AE81" s="892"/>
      <c r="AF81" s="892"/>
      <c r="AG81" s="892"/>
      <c r="AH81" s="892"/>
      <c r="AI81" s="892"/>
      <c r="AJ81" s="892"/>
      <c r="AK81" s="892"/>
      <c r="AL81" s="892"/>
      <c r="AM81" s="892"/>
      <c r="AN81" s="892"/>
      <c r="AO81" s="892"/>
      <c r="AP81" s="892"/>
      <c r="AQ81" s="892"/>
      <c r="AR81" s="892"/>
      <c r="AS81" s="892"/>
      <c r="AT81" s="892"/>
      <c r="AU81" s="892"/>
      <c r="AV81" s="892"/>
      <c r="AW81" s="892"/>
      <c r="AX81" s="892"/>
      <c r="AY81" s="892"/>
      <c r="AZ81" s="892"/>
      <c r="BA81" s="892"/>
      <c r="BB81" s="892"/>
      <c r="BC81" s="892"/>
      <c r="BD81" s="892"/>
    </row>
    <row r="82" spans="1:56" s="879" customFormat="1" x14ac:dyDescent="0.25">
      <c r="A82" s="873">
        <v>4</v>
      </c>
      <c r="B82" s="824" t="s">
        <v>1444</v>
      </c>
      <c r="C82" s="824"/>
      <c r="D82" s="824"/>
      <c r="E82" s="824"/>
      <c r="F82" s="874"/>
      <c r="G82" s="874"/>
      <c r="H82" s="874"/>
      <c r="I82" s="874"/>
      <c r="J82" s="874"/>
      <c r="K82" s="875"/>
      <c r="L82" s="876"/>
      <c r="M82" s="876"/>
      <c r="N82" s="876"/>
      <c r="O82" s="876"/>
      <c r="P82" s="876"/>
      <c r="Q82" s="876"/>
      <c r="R82" s="876"/>
      <c r="S82" s="878"/>
      <c r="T82" s="876"/>
      <c r="U82" s="876"/>
      <c r="V82" s="876"/>
      <c r="W82" s="876"/>
      <c r="X82" s="876"/>
      <c r="Y82" s="876"/>
      <c r="Z82" s="876"/>
      <c r="AA82" s="876"/>
      <c r="AB82" s="876"/>
      <c r="AC82" s="876"/>
      <c r="AD82" s="876"/>
      <c r="AE82" s="876"/>
      <c r="AF82" s="876"/>
      <c r="AG82" s="876"/>
      <c r="AH82" s="876"/>
      <c r="AI82" s="876"/>
      <c r="AJ82" s="876"/>
      <c r="AK82" s="876"/>
      <c r="AL82" s="876"/>
      <c r="AM82" s="876"/>
      <c r="AN82" s="876"/>
      <c r="AO82" s="876"/>
      <c r="AP82" s="876"/>
      <c r="AQ82" s="876"/>
      <c r="AR82" s="876"/>
      <c r="AS82" s="876"/>
      <c r="AT82" s="876"/>
      <c r="AU82" s="876"/>
      <c r="AV82" s="876"/>
      <c r="AW82" s="876"/>
      <c r="AX82" s="876"/>
      <c r="AY82" s="876"/>
      <c r="AZ82" s="876"/>
      <c r="BA82" s="876"/>
      <c r="BB82" s="876"/>
      <c r="BC82" s="876"/>
      <c r="BD82" s="876"/>
    </row>
    <row r="83" spans="1:56" s="800" customFormat="1" x14ac:dyDescent="0.25">
      <c r="A83" s="799"/>
      <c r="B83" s="828" t="s">
        <v>1400</v>
      </c>
      <c r="C83" s="829" t="s">
        <v>714</v>
      </c>
      <c r="D83" s="829" t="s">
        <v>1401</v>
      </c>
      <c r="E83" s="830" t="s">
        <v>1438</v>
      </c>
      <c r="F83" s="833"/>
      <c r="G83" s="833"/>
      <c r="H83" s="852"/>
      <c r="I83" s="852"/>
      <c r="J83" s="852"/>
      <c r="K83" s="852"/>
      <c r="L83" s="880"/>
      <c r="M83" s="880"/>
      <c r="N83" s="880"/>
      <c r="O83" s="880"/>
      <c r="P83" s="881">
        <v>24</v>
      </c>
      <c r="Q83" s="881">
        <v>24</v>
      </c>
      <c r="R83" s="881">
        <v>24</v>
      </c>
      <c r="S83" s="882">
        <v>24</v>
      </c>
      <c r="T83" s="1056">
        <v>24</v>
      </c>
      <c r="U83" s="1056">
        <v>24</v>
      </c>
      <c r="V83" s="1056">
        <v>24</v>
      </c>
      <c r="W83" s="1056">
        <v>24</v>
      </c>
      <c r="X83" s="1056">
        <v>24</v>
      </c>
      <c r="Y83" s="1056">
        <v>24</v>
      </c>
      <c r="Z83" s="1056">
        <v>24</v>
      </c>
      <c r="AA83" s="1056">
        <v>24</v>
      </c>
      <c r="AB83" s="1056">
        <v>24</v>
      </c>
      <c r="AC83" s="1056">
        <v>24</v>
      </c>
      <c r="AD83" s="1056">
        <v>24</v>
      </c>
      <c r="AE83" s="858"/>
      <c r="AF83" s="858"/>
      <c r="AG83" s="858"/>
      <c r="AH83" s="858"/>
      <c r="AI83" s="858"/>
      <c r="AJ83" s="858"/>
      <c r="AK83" s="858"/>
      <c r="AL83" s="858"/>
      <c r="AM83" s="858"/>
      <c r="AN83" s="858"/>
      <c r="AO83" s="858"/>
      <c r="AP83" s="858"/>
      <c r="AQ83" s="858"/>
      <c r="AR83" s="858"/>
      <c r="AS83" s="858"/>
      <c r="AT83" s="858"/>
      <c r="AU83" s="858"/>
      <c r="AV83" s="858"/>
      <c r="AW83" s="858"/>
      <c r="AX83" s="858"/>
      <c r="AY83" s="858"/>
      <c r="AZ83" s="858"/>
      <c r="BA83" s="858"/>
      <c r="BB83" s="858"/>
      <c r="BC83" s="858"/>
      <c r="BD83" s="858"/>
    </row>
    <row r="84" spans="1:56" s="800" customFormat="1" x14ac:dyDescent="0.25">
      <c r="A84" s="799"/>
      <c r="B84" s="828" t="s">
        <v>1402</v>
      </c>
      <c r="C84" s="829" t="s">
        <v>739</v>
      </c>
      <c r="D84" s="829" t="s">
        <v>1401</v>
      </c>
      <c r="E84" s="830" t="s">
        <v>1439</v>
      </c>
      <c r="F84" s="833"/>
      <c r="G84" s="833"/>
      <c r="H84" s="852"/>
      <c r="I84" s="852"/>
      <c r="J84" s="852"/>
      <c r="K84" s="852"/>
      <c r="L84" s="880"/>
      <c r="M84" s="880"/>
      <c r="N84" s="833"/>
      <c r="O84" s="833"/>
      <c r="P84" s="865">
        <v>1000</v>
      </c>
      <c r="Q84" s="865">
        <v>1000</v>
      </c>
      <c r="R84" s="865">
        <v>1000</v>
      </c>
      <c r="S84" s="883">
        <v>1000</v>
      </c>
      <c r="T84" s="1057">
        <v>1000</v>
      </c>
      <c r="U84" s="1057">
        <v>1000</v>
      </c>
      <c r="V84" s="1057">
        <v>1000</v>
      </c>
      <c r="W84" s="1057">
        <v>1000</v>
      </c>
      <c r="X84" s="1057">
        <v>1000</v>
      </c>
      <c r="Y84" s="1057">
        <v>1000</v>
      </c>
      <c r="Z84" s="1057">
        <v>1000</v>
      </c>
      <c r="AA84" s="1057">
        <v>1000</v>
      </c>
      <c r="AB84" s="1057">
        <v>1000</v>
      </c>
      <c r="AC84" s="1057">
        <v>1000</v>
      </c>
      <c r="AD84" s="1057">
        <v>1000</v>
      </c>
      <c r="AE84" s="858"/>
      <c r="AF84" s="858"/>
      <c r="AG84" s="858"/>
      <c r="AH84" s="858"/>
      <c r="AI84" s="858"/>
      <c r="AJ84" s="858"/>
      <c r="AK84" s="858"/>
      <c r="AL84" s="858"/>
      <c r="AM84" s="858"/>
      <c r="AN84" s="858"/>
      <c r="AO84" s="858"/>
      <c r="AP84" s="858"/>
      <c r="AQ84" s="858"/>
      <c r="AR84" s="858"/>
      <c r="AS84" s="858"/>
      <c r="AT84" s="858"/>
      <c r="AU84" s="858"/>
      <c r="AV84" s="858"/>
      <c r="AW84" s="858"/>
      <c r="AX84" s="858"/>
      <c r="AY84" s="858"/>
      <c r="AZ84" s="858"/>
      <c r="BA84" s="858"/>
      <c r="BB84" s="858"/>
      <c r="BC84" s="858"/>
      <c r="BD84" s="858"/>
    </row>
    <row r="85" spans="1:56" s="800" customFormat="1" x14ac:dyDescent="0.25">
      <c r="A85" s="799"/>
      <c r="B85" s="828" t="s">
        <v>1403</v>
      </c>
      <c r="C85" s="829" t="s">
        <v>701</v>
      </c>
      <c r="D85" s="829" t="s">
        <v>1401</v>
      </c>
      <c r="E85" s="830" t="s">
        <v>1439</v>
      </c>
      <c r="F85" s="833"/>
      <c r="G85" s="833"/>
      <c r="H85" s="833"/>
      <c r="I85" s="833"/>
      <c r="J85" s="833"/>
      <c r="K85" s="833"/>
      <c r="L85" s="884"/>
      <c r="M85" s="884"/>
      <c r="N85" s="833"/>
      <c r="O85" s="833"/>
      <c r="P85" s="865">
        <v>500</v>
      </c>
      <c r="Q85" s="865">
        <v>500</v>
      </c>
      <c r="R85" s="865">
        <v>500</v>
      </c>
      <c r="S85" s="883">
        <v>500</v>
      </c>
      <c r="T85" s="1057">
        <v>500</v>
      </c>
      <c r="U85" s="1057">
        <v>500</v>
      </c>
      <c r="V85" s="1052">
        <v>500</v>
      </c>
      <c r="W85" s="1057">
        <v>500</v>
      </c>
      <c r="X85" s="1057">
        <v>500</v>
      </c>
      <c r="Y85" s="1057">
        <v>500</v>
      </c>
      <c r="Z85" s="1057">
        <v>500</v>
      </c>
      <c r="AA85" s="1057">
        <v>500</v>
      </c>
      <c r="AB85" s="1057">
        <v>500</v>
      </c>
      <c r="AC85" s="1057">
        <v>500</v>
      </c>
      <c r="AD85" s="1057">
        <v>500</v>
      </c>
      <c r="AE85" s="858"/>
      <c r="AF85" s="858"/>
      <c r="AG85" s="858"/>
      <c r="AH85" s="858"/>
      <c r="AI85" s="858"/>
      <c r="AJ85" s="858"/>
      <c r="AK85" s="858"/>
      <c r="AL85" s="858"/>
      <c r="AM85" s="858"/>
      <c r="AN85" s="858"/>
      <c r="AO85" s="858"/>
      <c r="AP85" s="858"/>
      <c r="AQ85" s="858"/>
      <c r="AR85" s="858"/>
      <c r="AS85" s="858"/>
      <c r="AT85" s="858"/>
      <c r="AU85" s="858"/>
      <c r="AV85" s="858"/>
      <c r="AW85" s="858"/>
      <c r="AX85" s="858"/>
      <c r="AY85" s="858"/>
      <c r="AZ85" s="858"/>
      <c r="BA85" s="858"/>
      <c r="BB85" s="858"/>
      <c r="BC85" s="858"/>
      <c r="BD85" s="858"/>
    </row>
    <row r="86" spans="1:56" s="800" customFormat="1" x14ac:dyDescent="0.25">
      <c r="A86" s="799"/>
      <c r="B86" s="828" t="s">
        <v>1404</v>
      </c>
      <c r="C86" s="829" t="s">
        <v>839</v>
      </c>
      <c r="D86" s="829" t="s">
        <v>1401</v>
      </c>
      <c r="E86" s="830" t="s">
        <v>1439</v>
      </c>
      <c r="F86" s="833"/>
      <c r="G86" s="833"/>
      <c r="H86" s="833"/>
      <c r="I86" s="833"/>
      <c r="J86" s="833"/>
      <c r="K86" s="833"/>
      <c r="L86" s="833"/>
      <c r="M86" s="833"/>
      <c r="N86" s="833"/>
      <c r="O86" s="833"/>
      <c r="P86" s="886">
        <f>1631*0.02</f>
        <v>32.619999999999997</v>
      </c>
      <c r="Q86" s="886">
        <f>P86</f>
        <v>32.619999999999997</v>
      </c>
      <c r="R86" s="886">
        <f t="shared" ref="R86:AD86" si="26">Q86</f>
        <v>32.619999999999997</v>
      </c>
      <c r="S86" s="1059">
        <f t="shared" si="26"/>
        <v>32.619999999999997</v>
      </c>
      <c r="T86" s="1058">
        <f t="shared" si="26"/>
        <v>32.619999999999997</v>
      </c>
      <c r="U86" s="1058">
        <f t="shared" si="26"/>
        <v>32.619999999999997</v>
      </c>
      <c r="V86" s="1058">
        <f t="shared" si="26"/>
        <v>32.619999999999997</v>
      </c>
      <c r="W86" s="1058">
        <f t="shared" si="26"/>
        <v>32.619999999999997</v>
      </c>
      <c r="X86" s="1058">
        <f t="shared" si="26"/>
        <v>32.619999999999997</v>
      </c>
      <c r="Y86" s="1058">
        <f t="shared" si="26"/>
        <v>32.619999999999997</v>
      </c>
      <c r="Z86" s="1058">
        <f t="shared" si="26"/>
        <v>32.619999999999997</v>
      </c>
      <c r="AA86" s="1058">
        <f t="shared" si="26"/>
        <v>32.619999999999997</v>
      </c>
      <c r="AB86" s="1058">
        <f t="shared" si="26"/>
        <v>32.619999999999997</v>
      </c>
      <c r="AC86" s="1058">
        <f t="shared" si="26"/>
        <v>32.619999999999997</v>
      </c>
      <c r="AD86" s="1058">
        <f t="shared" si="26"/>
        <v>32.619999999999997</v>
      </c>
      <c r="AE86" s="858"/>
      <c r="AF86" s="858"/>
      <c r="AG86" s="858"/>
      <c r="AH86" s="858"/>
      <c r="AI86" s="858"/>
      <c r="AJ86" s="858"/>
      <c r="AK86" s="858"/>
      <c r="AL86" s="858"/>
      <c r="AM86" s="858"/>
      <c r="AN86" s="858"/>
      <c r="AO86" s="858"/>
      <c r="AP86" s="858"/>
      <c r="AQ86" s="858"/>
      <c r="AR86" s="858"/>
      <c r="AS86" s="858"/>
      <c r="AT86" s="858"/>
      <c r="AU86" s="858"/>
      <c r="AV86" s="858"/>
      <c r="AW86" s="858"/>
      <c r="AX86" s="858"/>
      <c r="AY86" s="858"/>
      <c r="AZ86" s="858"/>
      <c r="BA86" s="858"/>
      <c r="BB86" s="858"/>
      <c r="BC86" s="858"/>
      <c r="BD86" s="858"/>
    </row>
    <row r="87" spans="1:56" s="800" customFormat="1" x14ac:dyDescent="0.25">
      <c r="A87" s="799"/>
      <c r="B87" s="828" t="s">
        <v>1405</v>
      </c>
      <c r="C87" s="829" t="s">
        <v>928</v>
      </c>
      <c r="D87" s="829" t="s">
        <v>1401</v>
      </c>
      <c r="E87" s="830" t="s">
        <v>1438</v>
      </c>
      <c r="F87" s="833"/>
      <c r="G87" s="833"/>
      <c r="H87" s="833"/>
      <c r="I87" s="833"/>
      <c r="J87" s="833"/>
      <c r="K87" s="833"/>
      <c r="L87" s="833"/>
      <c r="M87" s="833"/>
      <c r="N87" s="833"/>
      <c r="O87" s="833"/>
      <c r="P87" s="865">
        <v>36</v>
      </c>
      <c r="Q87" s="865">
        <v>36</v>
      </c>
      <c r="R87" s="865">
        <v>36</v>
      </c>
      <c r="S87" s="883">
        <v>36</v>
      </c>
      <c r="T87" s="1057">
        <v>36</v>
      </c>
      <c r="U87" s="1057">
        <v>36</v>
      </c>
      <c r="V87" s="1057">
        <v>36</v>
      </c>
      <c r="W87" s="1057">
        <v>36</v>
      </c>
      <c r="X87" s="1057">
        <v>36</v>
      </c>
      <c r="Y87" s="1057">
        <v>36</v>
      </c>
      <c r="Z87" s="1057">
        <v>36</v>
      </c>
      <c r="AA87" s="1057">
        <v>36</v>
      </c>
      <c r="AB87" s="1057">
        <v>36</v>
      </c>
      <c r="AC87" s="1057">
        <v>36</v>
      </c>
      <c r="AD87" s="1057">
        <v>36</v>
      </c>
      <c r="AE87" s="858"/>
      <c r="AF87" s="858"/>
      <c r="AG87" s="858"/>
      <c r="AH87" s="858"/>
      <c r="AI87" s="858"/>
      <c r="AJ87" s="858"/>
      <c r="AK87" s="858"/>
      <c r="AL87" s="858"/>
      <c r="AM87" s="858"/>
      <c r="AN87" s="858"/>
      <c r="AO87" s="858"/>
      <c r="AP87" s="858"/>
      <c r="AQ87" s="858"/>
      <c r="AR87" s="858"/>
      <c r="AS87" s="858"/>
      <c r="AT87" s="858"/>
      <c r="AU87" s="858"/>
      <c r="AV87" s="858"/>
      <c r="AW87" s="858"/>
      <c r="AX87" s="858"/>
      <c r="AY87" s="858"/>
      <c r="AZ87" s="858"/>
      <c r="BA87" s="858"/>
      <c r="BB87" s="858"/>
      <c r="BC87" s="858"/>
      <c r="BD87" s="858"/>
    </row>
    <row r="88" spans="1:56" s="800" customFormat="1" x14ac:dyDescent="0.25">
      <c r="A88" s="799"/>
      <c r="B88" s="828" t="s">
        <v>1406</v>
      </c>
      <c r="C88" s="829" t="s">
        <v>723</v>
      </c>
      <c r="D88" s="829" t="s">
        <v>1401</v>
      </c>
      <c r="E88" s="830" t="s">
        <v>1440</v>
      </c>
      <c r="F88" s="833"/>
      <c r="G88" s="833"/>
      <c r="H88" s="833"/>
      <c r="I88" s="833"/>
      <c r="J88" s="833"/>
      <c r="K88" s="833"/>
      <c r="L88" s="833"/>
      <c r="M88" s="833"/>
      <c r="N88" s="833"/>
      <c r="O88" s="833"/>
      <c r="P88" s="886">
        <f>1631*0.002</f>
        <v>3.262</v>
      </c>
      <c r="Q88" s="886">
        <f>P88</f>
        <v>3.262</v>
      </c>
      <c r="R88" s="886">
        <f t="shared" ref="R88:AD88" si="27">Q88</f>
        <v>3.262</v>
      </c>
      <c r="S88" s="1059">
        <f t="shared" si="27"/>
        <v>3.262</v>
      </c>
      <c r="T88" s="1058">
        <f t="shared" si="27"/>
        <v>3.262</v>
      </c>
      <c r="U88" s="1058">
        <f t="shared" si="27"/>
        <v>3.262</v>
      </c>
      <c r="V88" s="1058">
        <f t="shared" si="27"/>
        <v>3.262</v>
      </c>
      <c r="W88" s="1058">
        <f t="shared" si="27"/>
        <v>3.262</v>
      </c>
      <c r="X88" s="1058">
        <f t="shared" si="27"/>
        <v>3.262</v>
      </c>
      <c r="Y88" s="1058">
        <f t="shared" si="27"/>
        <v>3.262</v>
      </c>
      <c r="Z88" s="1058">
        <f t="shared" si="27"/>
        <v>3.262</v>
      </c>
      <c r="AA88" s="1058">
        <f t="shared" si="27"/>
        <v>3.262</v>
      </c>
      <c r="AB88" s="1058">
        <f t="shared" si="27"/>
        <v>3.262</v>
      </c>
      <c r="AC88" s="1058">
        <f t="shared" si="27"/>
        <v>3.262</v>
      </c>
      <c r="AD88" s="1058">
        <f t="shared" si="27"/>
        <v>3.262</v>
      </c>
      <c r="AE88" s="858"/>
      <c r="AF88" s="858"/>
      <c r="AG88" s="858"/>
      <c r="AH88" s="858"/>
      <c r="AI88" s="858"/>
      <c r="AJ88" s="858"/>
      <c r="AK88" s="858"/>
      <c r="AL88" s="858"/>
      <c r="AM88" s="858"/>
      <c r="AN88" s="858"/>
      <c r="AO88" s="858"/>
      <c r="AP88" s="858"/>
      <c r="AQ88" s="858"/>
      <c r="AR88" s="858"/>
      <c r="AS88" s="858"/>
      <c r="AT88" s="858"/>
      <c r="AU88" s="858"/>
      <c r="AV88" s="858"/>
      <c r="AW88" s="858"/>
      <c r="AX88" s="858"/>
      <c r="AY88" s="858"/>
      <c r="AZ88" s="858"/>
      <c r="BA88" s="858"/>
      <c r="BB88" s="858"/>
      <c r="BC88" s="858"/>
      <c r="BD88" s="858"/>
    </row>
    <row r="89" spans="1:56" s="800" customFormat="1" x14ac:dyDescent="0.25">
      <c r="A89" s="799"/>
      <c r="B89" s="828" t="s">
        <v>1407</v>
      </c>
      <c r="C89" s="829" t="s">
        <v>695</v>
      </c>
      <c r="D89" s="829" t="s">
        <v>1401</v>
      </c>
      <c r="E89" s="830" t="s">
        <v>1438</v>
      </c>
      <c r="F89" s="833"/>
      <c r="G89" s="833"/>
      <c r="H89" s="833"/>
      <c r="I89" s="833"/>
      <c r="J89" s="833"/>
      <c r="K89" s="833"/>
      <c r="L89" s="833"/>
      <c r="M89" s="833"/>
      <c r="N89" s="833"/>
      <c r="O89" s="833"/>
      <c r="P89" s="865">
        <v>35</v>
      </c>
      <c r="Q89" s="865">
        <v>35</v>
      </c>
      <c r="R89" s="865">
        <v>35</v>
      </c>
      <c r="S89" s="883">
        <v>35</v>
      </c>
      <c r="T89" s="1057">
        <v>35</v>
      </c>
      <c r="U89" s="1057">
        <v>35</v>
      </c>
      <c r="V89" s="1057">
        <v>35</v>
      </c>
      <c r="W89" s="1057">
        <v>35</v>
      </c>
      <c r="X89" s="1057">
        <v>35</v>
      </c>
      <c r="Y89" s="1057">
        <v>35</v>
      </c>
      <c r="Z89" s="1057">
        <v>35</v>
      </c>
      <c r="AA89" s="1057">
        <v>35</v>
      </c>
      <c r="AB89" s="1057">
        <v>35</v>
      </c>
      <c r="AC89" s="1057">
        <v>35</v>
      </c>
      <c r="AD89" s="1057">
        <v>35</v>
      </c>
      <c r="AE89" s="858"/>
      <c r="AF89" s="858"/>
      <c r="AG89" s="858"/>
      <c r="AH89" s="858"/>
      <c r="AI89" s="858"/>
      <c r="AJ89" s="858"/>
      <c r="AK89" s="858"/>
      <c r="AL89" s="858"/>
      <c r="AM89" s="858"/>
      <c r="AN89" s="858"/>
      <c r="AO89" s="858"/>
      <c r="AP89" s="858"/>
      <c r="AQ89" s="858"/>
      <c r="AR89" s="858"/>
      <c r="AS89" s="858"/>
      <c r="AT89" s="858"/>
      <c r="AU89" s="858"/>
      <c r="AV89" s="858"/>
      <c r="AW89" s="858"/>
      <c r="AX89" s="858"/>
      <c r="AY89" s="858"/>
      <c r="AZ89" s="858"/>
      <c r="BA89" s="858"/>
      <c r="BB89" s="858"/>
      <c r="BC89" s="858"/>
      <c r="BD89" s="858"/>
    </row>
    <row r="90" spans="1:56" s="800" customFormat="1" x14ac:dyDescent="0.25">
      <c r="A90" s="799"/>
      <c r="B90" s="828" t="s">
        <v>1408</v>
      </c>
      <c r="C90" s="828"/>
      <c r="D90" s="828"/>
      <c r="E90" s="830"/>
      <c r="F90" s="833"/>
      <c r="G90" s="833"/>
      <c r="H90" s="833"/>
      <c r="I90" s="833"/>
      <c r="J90" s="833"/>
      <c r="K90" s="833"/>
      <c r="L90" s="833"/>
      <c r="M90" s="833"/>
      <c r="N90" s="833"/>
      <c r="O90" s="833"/>
      <c r="P90" s="833"/>
      <c r="Q90" s="833"/>
      <c r="R90" s="833"/>
      <c r="S90" s="830"/>
      <c r="T90" s="1052"/>
      <c r="U90" s="1052"/>
      <c r="V90" s="1052"/>
      <c r="W90" s="1052"/>
      <c r="X90" s="1052"/>
      <c r="Y90" s="1052"/>
      <c r="Z90" s="1052"/>
      <c r="AA90" s="1052"/>
      <c r="AB90" s="1052"/>
      <c r="AC90" s="1052"/>
      <c r="AD90" s="1052"/>
      <c r="AE90" s="858"/>
      <c r="AF90" s="858"/>
      <c r="AG90" s="858"/>
      <c r="AH90" s="858"/>
      <c r="AI90" s="858"/>
      <c r="AJ90" s="858"/>
      <c r="AK90" s="858"/>
      <c r="AL90" s="858"/>
      <c r="AM90" s="858"/>
      <c r="AN90" s="858"/>
      <c r="AO90" s="858"/>
      <c r="AP90" s="858"/>
      <c r="AQ90" s="858"/>
      <c r="AR90" s="858"/>
      <c r="AS90" s="858"/>
      <c r="AT90" s="858"/>
      <c r="AU90" s="858"/>
      <c r="AV90" s="858"/>
      <c r="AW90" s="858"/>
      <c r="AX90" s="858"/>
      <c r="AY90" s="858"/>
      <c r="AZ90" s="858"/>
      <c r="BA90" s="858"/>
      <c r="BB90" s="858"/>
      <c r="BC90" s="858"/>
      <c r="BD90" s="858"/>
    </row>
    <row r="91" spans="1:56" s="800" customFormat="1" x14ac:dyDescent="0.25">
      <c r="A91" s="799"/>
      <c r="B91" s="840" t="s">
        <v>1409</v>
      </c>
      <c r="C91" s="840"/>
      <c r="D91" s="840"/>
      <c r="E91" s="830"/>
      <c r="F91" s="833"/>
      <c r="G91" s="833"/>
      <c r="H91" s="833"/>
      <c r="I91" s="833"/>
      <c r="J91" s="833"/>
      <c r="K91" s="833"/>
      <c r="L91" s="833"/>
      <c r="M91" s="833"/>
      <c r="N91" s="833"/>
      <c r="O91" s="833"/>
      <c r="P91" s="833"/>
      <c r="Q91" s="833"/>
      <c r="R91" s="833"/>
      <c r="S91" s="830"/>
      <c r="T91" s="1052"/>
      <c r="U91" s="1052"/>
      <c r="V91" s="1052"/>
      <c r="W91" s="1052"/>
      <c r="X91" s="1052"/>
      <c r="Y91" s="1052"/>
      <c r="Z91" s="1052"/>
      <c r="AA91" s="1052"/>
      <c r="AB91" s="1052"/>
      <c r="AC91" s="1052"/>
      <c r="AD91" s="1052"/>
      <c r="AE91" s="858"/>
      <c r="AF91" s="858"/>
      <c r="AG91" s="858"/>
      <c r="AH91" s="858"/>
      <c r="AI91" s="858"/>
      <c r="AJ91" s="858"/>
      <c r="AK91" s="858"/>
      <c r="AL91" s="858"/>
      <c r="AM91" s="858"/>
      <c r="AN91" s="858"/>
      <c r="AO91" s="858"/>
      <c r="AP91" s="858"/>
      <c r="AQ91" s="858"/>
      <c r="AR91" s="858"/>
      <c r="AS91" s="858"/>
      <c r="AT91" s="858"/>
      <c r="AU91" s="858"/>
      <c r="AV91" s="858"/>
      <c r="AW91" s="858"/>
      <c r="AX91" s="858"/>
      <c r="AY91" s="858"/>
      <c r="AZ91" s="858"/>
      <c r="BA91" s="858"/>
      <c r="BB91" s="858"/>
      <c r="BC91" s="858"/>
      <c r="BD91" s="858"/>
    </row>
    <row r="92" spans="1:56" s="800" customFormat="1" x14ac:dyDescent="0.25">
      <c r="A92" s="799"/>
      <c r="B92" s="840" t="s">
        <v>1441</v>
      </c>
      <c r="C92" s="841" t="s">
        <v>1411</v>
      </c>
      <c r="D92" s="841" t="s">
        <v>1412</v>
      </c>
      <c r="E92" s="830" t="s">
        <v>1439</v>
      </c>
      <c r="F92" s="833"/>
      <c r="G92" s="833"/>
      <c r="H92" s="833"/>
      <c r="I92" s="833"/>
      <c r="J92" s="833"/>
      <c r="K92" s="833"/>
      <c r="L92" s="833"/>
      <c r="M92" s="833"/>
      <c r="N92" s="833"/>
      <c r="O92" s="833"/>
      <c r="P92" s="865"/>
      <c r="Q92" s="865"/>
      <c r="R92" s="865"/>
      <c r="S92" s="883">
        <v>2</v>
      </c>
      <c r="T92" s="1057">
        <v>2</v>
      </c>
      <c r="U92" s="1057">
        <v>2</v>
      </c>
      <c r="V92" s="1057">
        <v>2</v>
      </c>
      <c r="W92" s="1057">
        <v>2</v>
      </c>
      <c r="X92" s="1057">
        <v>2</v>
      </c>
      <c r="Y92" s="1057">
        <v>2</v>
      </c>
      <c r="Z92" s="1057">
        <v>2</v>
      </c>
      <c r="AA92" s="1057">
        <v>2</v>
      </c>
      <c r="AB92" s="1057">
        <v>2</v>
      </c>
      <c r="AC92" s="1057">
        <v>2</v>
      </c>
      <c r="AD92" s="1057">
        <v>2</v>
      </c>
      <c r="AE92" s="858"/>
      <c r="AF92" s="858"/>
      <c r="AG92" s="858"/>
      <c r="AH92" s="858"/>
      <c r="AI92" s="858"/>
      <c r="AJ92" s="858"/>
      <c r="AK92" s="858"/>
      <c r="AL92" s="858"/>
      <c r="AM92" s="858"/>
      <c r="AN92" s="858"/>
      <c r="AO92" s="858"/>
      <c r="AP92" s="858"/>
      <c r="AQ92" s="858"/>
      <c r="AR92" s="858"/>
      <c r="AS92" s="858"/>
      <c r="AT92" s="858"/>
      <c r="AU92" s="858"/>
      <c r="AV92" s="858"/>
      <c r="AW92" s="858"/>
      <c r="AX92" s="858"/>
      <c r="AY92" s="858"/>
      <c r="AZ92" s="858"/>
      <c r="BA92" s="858"/>
      <c r="BB92" s="858"/>
      <c r="BC92" s="858"/>
      <c r="BD92" s="858"/>
    </row>
    <row r="93" spans="1:56" s="800" customFormat="1" x14ac:dyDescent="0.25">
      <c r="A93" s="799"/>
      <c r="B93" s="840" t="s">
        <v>1442</v>
      </c>
      <c r="C93" s="841" t="s">
        <v>1414</v>
      </c>
      <c r="D93" s="841" t="s">
        <v>1412</v>
      </c>
      <c r="E93" s="830" t="s">
        <v>1438</v>
      </c>
      <c r="F93" s="833"/>
      <c r="G93" s="833"/>
      <c r="H93" s="833"/>
      <c r="I93" s="833"/>
      <c r="J93" s="833"/>
      <c r="K93" s="833"/>
      <c r="L93" s="833"/>
      <c r="M93" s="833"/>
      <c r="N93" s="833"/>
      <c r="O93" s="833"/>
      <c r="P93" s="865"/>
      <c r="Q93" s="865"/>
      <c r="R93" s="865"/>
      <c r="S93" s="883">
        <v>25</v>
      </c>
      <c r="T93" s="1057">
        <v>25</v>
      </c>
      <c r="U93" s="1057">
        <v>25</v>
      </c>
      <c r="V93" s="1057">
        <v>25</v>
      </c>
      <c r="W93" s="1057">
        <v>25</v>
      </c>
      <c r="X93" s="1057">
        <v>25</v>
      </c>
      <c r="Y93" s="1057">
        <v>25</v>
      </c>
      <c r="Z93" s="1057">
        <v>25</v>
      </c>
      <c r="AA93" s="1057">
        <v>25</v>
      </c>
      <c r="AB93" s="1057">
        <v>25</v>
      </c>
      <c r="AC93" s="1057">
        <v>25</v>
      </c>
      <c r="AD93" s="1057">
        <v>25</v>
      </c>
      <c r="AE93" s="858"/>
      <c r="AF93" s="858"/>
      <c r="AG93" s="858"/>
      <c r="AH93" s="858"/>
      <c r="AI93" s="858"/>
      <c r="AJ93" s="858"/>
      <c r="AK93" s="858"/>
      <c r="AL93" s="858"/>
      <c r="AM93" s="858"/>
      <c r="AN93" s="858"/>
      <c r="AO93" s="858"/>
      <c r="AP93" s="858"/>
      <c r="AQ93" s="858"/>
      <c r="AR93" s="858"/>
      <c r="AS93" s="858"/>
      <c r="AT93" s="858"/>
      <c r="AU93" s="858"/>
      <c r="AV93" s="858"/>
      <c r="AW93" s="858"/>
      <c r="AX93" s="858"/>
      <c r="AY93" s="858"/>
      <c r="AZ93" s="858"/>
      <c r="BA93" s="858"/>
      <c r="BB93" s="858"/>
      <c r="BC93" s="858"/>
      <c r="BD93" s="858"/>
    </row>
    <row r="94" spans="1:56" s="800" customFormat="1" x14ac:dyDescent="0.25">
      <c r="A94" s="799"/>
      <c r="B94" s="840" t="s">
        <v>1415</v>
      </c>
      <c r="C94" s="841" t="s">
        <v>1416</v>
      </c>
      <c r="D94" s="841" t="s">
        <v>1412</v>
      </c>
      <c r="E94" s="830" t="s">
        <v>1439</v>
      </c>
      <c r="F94" s="833"/>
      <c r="G94" s="833"/>
      <c r="H94" s="833"/>
      <c r="I94" s="833"/>
      <c r="J94" s="833"/>
      <c r="K94" s="833"/>
      <c r="L94" s="833"/>
      <c r="M94" s="833"/>
      <c r="N94" s="833"/>
      <c r="O94" s="833"/>
      <c r="P94" s="865"/>
      <c r="Q94" s="865"/>
      <c r="R94" s="865"/>
      <c r="S94" s="883"/>
      <c r="T94" s="1057">
        <v>1300</v>
      </c>
      <c r="U94" s="1057">
        <v>1300</v>
      </c>
      <c r="V94" s="1057">
        <v>1300</v>
      </c>
      <c r="W94" s="1057">
        <v>1300</v>
      </c>
      <c r="X94" s="1057">
        <v>1300</v>
      </c>
      <c r="Y94" s="1057">
        <v>1300</v>
      </c>
      <c r="Z94" s="1057">
        <v>1300</v>
      </c>
      <c r="AA94" s="1057">
        <v>1300</v>
      </c>
      <c r="AB94" s="1057">
        <v>1300</v>
      </c>
      <c r="AC94" s="1057">
        <v>1300</v>
      </c>
      <c r="AD94" s="1057">
        <v>1300</v>
      </c>
      <c r="AE94" s="894"/>
      <c r="AF94" s="894"/>
      <c r="AG94" s="894"/>
      <c r="AH94" s="894"/>
      <c r="AI94" s="894"/>
      <c r="AJ94" s="894"/>
      <c r="AK94" s="894"/>
      <c r="AL94" s="894"/>
      <c r="AM94" s="894"/>
      <c r="AN94" s="894"/>
      <c r="AO94" s="894"/>
      <c r="AP94" s="894"/>
      <c r="AQ94" s="894"/>
      <c r="AR94" s="894"/>
      <c r="AS94" s="894"/>
      <c r="AT94" s="894"/>
      <c r="AU94" s="894"/>
      <c r="AV94" s="894"/>
      <c r="AW94" s="894"/>
      <c r="AX94" s="894"/>
      <c r="AY94" s="894"/>
      <c r="AZ94" s="894"/>
      <c r="BA94" s="894"/>
      <c r="BB94" s="894"/>
      <c r="BC94" s="894"/>
      <c r="BD94" s="894"/>
    </row>
    <row r="95" spans="1:56" s="800" customFormat="1" x14ac:dyDescent="0.25">
      <c r="A95" s="799"/>
      <c r="B95" s="828" t="s">
        <v>1417</v>
      </c>
      <c r="C95" s="828"/>
      <c r="D95" s="828"/>
      <c r="E95" s="830" t="s">
        <v>1440</v>
      </c>
      <c r="F95" s="833"/>
      <c r="G95" s="833"/>
      <c r="H95" s="833"/>
      <c r="I95" s="833"/>
      <c r="J95" s="833"/>
      <c r="K95" s="833"/>
      <c r="L95" s="833"/>
      <c r="M95" s="833"/>
      <c r="N95" s="833"/>
      <c r="O95" s="833"/>
      <c r="P95" s="865"/>
      <c r="Q95" s="865"/>
      <c r="R95" s="865"/>
      <c r="S95" s="883"/>
      <c r="T95" s="1057"/>
      <c r="U95" s="1057"/>
      <c r="V95" s="1057"/>
      <c r="W95" s="1057"/>
      <c r="X95" s="1057"/>
      <c r="Y95" s="1057"/>
      <c r="Z95" s="1057"/>
      <c r="AA95" s="1057"/>
      <c r="AB95" s="1057"/>
      <c r="AC95" s="1057"/>
      <c r="AD95" s="1057"/>
      <c r="AE95" s="894"/>
      <c r="AF95" s="894"/>
      <c r="AG95" s="894"/>
      <c r="AH95" s="894"/>
      <c r="AI95" s="894"/>
      <c r="AJ95" s="894"/>
      <c r="AK95" s="894"/>
      <c r="AL95" s="894"/>
      <c r="AM95" s="894"/>
      <c r="AN95" s="894"/>
      <c r="AO95" s="894"/>
      <c r="AP95" s="894"/>
      <c r="AQ95" s="894"/>
      <c r="AR95" s="894"/>
      <c r="AS95" s="894"/>
      <c r="AT95" s="894"/>
      <c r="AU95" s="894"/>
      <c r="AV95" s="894"/>
      <c r="AW95" s="894"/>
      <c r="AX95" s="894"/>
      <c r="AY95" s="894"/>
      <c r="AZ95" s="894"/>
      <c r="BA95" s="894"/>
      <c r="BB95" s="894"/>
      <c r="BC95" s="894"/>
      <c r="BD95" s="894"/>
    </row>
    <row r="96" spans="1:56" s="800" customFormat="1" x14ac:dyDescent="0.25">
      <c r="A96" s="799"/>
      <c r="B96" s="840" t="s">
        <v>1418</v>
      </c>
      <c r="C96" s="841" t="s">
        <v>1419</v>
      </c>
      <c r="D96" s="829" t="s">
        <v>1401</v>
      </c>
      <c r="E96" s="830" t="s">
        <v>1438</v>
      </c>
      <c r="F96" s="833"/>
      <c r="G96" s="833"/>
      <c r="H96" s="833"/>
      <c r="I96" s="833"/>
      <c r="J96" s="833"/>
      <c r="K96" s="833"/>
      <c r="L96" s="833"/>
      <c r="M96" s="833"/>
      <c r="N96" s="833"/>
      <c r="O96" s="833"/>
      <c r="P96" s="865"/>
      <c r="Q96" s="865"/>
      <c r="R96" s="865"/>
      <c r="S96" s="883"/>
      <c r="T96" s="1057"/>
      <c r="U96" s="1057"/>
      <c r="V96" s="1052">
        <v>233</v>
      </c>
      <c r="W96" s="1052">
        <v>233</v>
      </c>
      <c r="X96" s="1052">
        <v>233</v>
      </c>
      <c r="Y96" s="1052">
        <v>233</v>
      </c>
      <c r="Z96" s="1052">
        <v>233</v>
      </c>
      <c r="AA96" s="1052">
        <v>233</v>
      </c>
      <c r="AB96" s="1052">
        <v>233</v>
      </c>
      <c r="AC96" s="1052">
        <v>233</v>
      </c>
      <c r="AD96" s="1052">
        <v>233</v>
      </c>
      <c r="AE96" s="894"/>
      <c r="AF96" s="894"/>
      <c r="AG96" s="894"/>
      <c r="AH96" s="894"/>
      <c r="AI96" s="894"/>
      <c r="AJ96" s="894"/>
      <c r="AK96" s="894"/>
      <c r="AL96" s="894"/>
      <c r="AM96" s="894"/>
      <c r="AN96" s="894"/>
      <c r="AO96" s="894"/>
      <c r="AP96" s="894"/>
      <c r="AQ96" s="894"/>
      <c r="AR96" s="894"/>
      <c r="AS96" s="894"/>
      <c r="AT96" s="894"/>
      <c r="AU96" s="894"/>
      <c r="AV96" s="894"/>
      <c r="AW96" s="894"/>
      <c r="AX96" s="894"/>
      <c r="AY96" s="894"/>
      <c r="AZ96" s="894"/>
      <c r="BA96" s="894"/>
      <c r="BB96" s="894"/>
      <c r="BC96" s="894"/>
      <c r="BD96" s="894"/>
    </row>
    <row r="97" spans="1:56" s="800" customFormat="1" x14ac:dyDescent="0.25">
      <c r="A97" s="799"/>
      <c r="B97" s="840" t="s">
        <v>1420</v>
      </c>
      <c r="C97" s="841" t="s">
        <v>1421</v>
      </c>
      <c r="D97" s="829" t="s">
        <v>1401</v>
      </c>
      <c r="E97" s="830" t="s">
        <v>1439</v>
      </c>
      <c r="F97" s="833"/>
      <c r="G97" s="833"/>
      <c r="H97" s="833"/>
      <c r="I97" s="833"/>
      <c r="J97" s="833"/>
      <c r="K97" s="833"/>
      <c r="L97" s="833"/>
      <c r="M97" s="833"/>
      <c r="N97" s="833"/>
      <c r="O97" s="833"/>
      <c r="P97" s="865"/>
      <c r="Q97" s="865"/>
      <c r="R97" s="865"/>
      <c r="S97" s="883"/>
      <c r="T97" s="1057"/>
      <c r="U97" s="1057"/>
      <c r="V97" s="1052">
        <v>167</v>
      </c>
      <c r="W97" s="1052">
        <v>167</v>
      </c>
      <c r="X97" s="1052">
        <v>167</v>
      </c>
      <c r="Y97" s="1052">
        <v>167</v>
      </c>
      <c r="Z97" s="1052">
        <v>167</v>
      </c>
      <c r="AA97" s="1052">
        <v>167</v>
      </c>
      <c r="AB97" s="1052">
        <v>167</v>
      </c>
      <c r="AC97" s="1052">
        <v>167</v>
      </c>
      <c r="AD97" s="1052">
        <v>167</v>
      </c>
      <c r="AE97" s="894"/>
      <c r="AF97" s="894"/>
      <c r="AG97" s="894"/>
      <c r="AH97" s="894"/>
      <c r="AI97" s="894"/>
      <c r="AJ97" s="894"/>
      <c r="AK97" s="894"/>
      <c r="AL97" s="894"/>
      <c r="AM97" s="894"/>
      <c r="AN97" s="894"/>
      <c r="AO97" s="894"/>
      <c r="AP97" s="894"/>
      <c r="AQ97" s="894"/>
      <c r="AR97" s="894"/>
      <c r="AS97" s="894"/>
      <c r="AT97" s="894"/>
      <c r="AU97" s="894"/>
      <c r="AV97" s="894"/>
      <c r="AW97" s="894"/>
      <c r="AX97" s="894"/>
      <c r="AY97" s="894"/>
      <c r="AZ97" s="894"/>
      <c r="BA97" s="894"/>
      <c r="BB97" s="894"/>
      <c r="BC97" s="894"/>
      <c r="BD97" s="894"/>
    </row>
    <row r="98" spans="1:56" s="800" customFormat="1" x14ac:dyDescent="0.25">
      <c r="A98" s="799"/>
      <c r="B98" s="828" t="s">
        <v>1422</v>
      </c>
      <c r="C98" s="828"/>
      <c r="D98" s="828"/>
      <c r="E98" s="830" t="s">
        <v>1440</v>
      </c>
      <c r="F98" s="833"/>
      <c r="G98" s="833"/>
      <c r="H98" s="833"/>
      <c r="I98" s="833"/>
      <c r="J98" s="833"/>
      <c r="K98" s="833"/>
      <c r="L98" s="833"/>
      <c r="M98" s="833"/>
      <c r="N98" s="833"/>
      <c r="O98" s="833"/>
      <c r="P98" s="865"/>
      <c r="Q98" s="865"/>
      <c r="R98" s="865"/>
      <c r="S98" s="883"/>
      <c r="T98" s="1057"/>
      <c r="U98" s="1057"/>
      <c r="V98" s="1057"/>
      <c r="W98" s="1057"/>
      <c r="X98" s="1057"/>
      <c r="Y98" s="1057"/>
      <c r="Z98" s="1057"/>
      <c r="AA98" s="1057"/>
      <c r="AB98" s="1057"/>
      <c r="AC98" s="1057"/>
      <c r="AD98" s="1057"/>
      <c r="AE98" s="894"/>
      <c r="AF98" s="894"/>
      <c r="AG98" s="894"/>
      <c r="AH98" s="894"/>
      <c r="AI98" s="894"/>
      <c r="AJ98" s="894"/>
      <c r="AK98" s="894"/>
      <c r="AL98" s="894"/>
      <c r="AM98" s="894"/>
      <c r="AN98" s="894"/>
      <c r="AO98" s="894"/>
      <c r="AP98" s="894"/>
      <c r="AQ98" s="894"/>
      <c r="AR98" s="894"/>
      <c r="AS98" s="894"/>
      <c r="AT98" s="894"/>
      <c r="AU98" s="894"/>
      <c r="AV98" s="894"/>
      <c r="AW98" s="894"/>
      <c r="AX98" s="894"/>
      <c r="AY98" s="894"/>
      <c r="AZ98" s="894"/>
      <c r="BA98" s="894"/>
      <c r="BB98" s="894"/>
      <c r="BC98" s="894"/>
      <c r="BD98" s="894"/>
    </row>
    <row r="99" spans="1:56" s="800" customFormat="1" x14ac:dyDescent="0.25">
      <c r="A99" s="799"/>
      <c r="B99" s="840" t="s">
        <v>1423</v>
      </c>
      <c r="C99" s="841" t="s">
        <v>1424</v>
      </c>
      <c r="D99" s="841" t="s">
        <v>1412</v>
      </c>
      <c r="E99" s="830" t="s">
        <v>1438</v>
      </c>
      <c r="F99" s="833"/>
      <c r="G99" s="833"/>
      <c r="H99" s="833"/>
      <c r="I99" s="833"/>
      <c r="J99" s="833"/>
      <c r="K99" s="833"/>
      <c r="L99" s="833"/>
      <c r="M99" s="833"/>
      <c r="N99" s="833"/>
      <c r="O99" s="833"/>
      <c r="P99" s="865"/>
      <c r="Q99" s="865"/>
      <c r="R99" s="865"/>
      <c r="S99" s="883"/>
      <c r="T99" s="1057"/>
      <c r="U99" s="1057"/>
      <c r="V99" s="1057"/>
      <c r="W99" s="1057">
        <v>15</v>
      </c>
      <c r="X99" s="1057">
        <v>15</v>
      </c>
      <c r="Y99" s="1057">
        <v>15</v>
      </c>
      <c r="Z99" s="1057">
        <v>15</v>
      </c>
      <c r="AA99" s="1057">
        <v>15</v>
      </c>
      <c r="AB99" s="1057">
        <v>15</v>
      </c>
      <c r="AC99" s="1057">
        <v>15</v>
      </c>
      <c r="AD99" s="1057">
        <v>15</v>
      </c>
      <c r="AE99" s="894"/>
      <c r="AF99" s="894"/>
      <c r="AG99" s="894"/>
      <c r="AH99" s="894"/>
      <c r="AI99" s="894"/>
      <c r="AJ99" s="894"/>
      <c r="AK99" s="894"/>
      <c r="AL99" s="894"/>
      <c r="AM99" s="894"/>
      <c r="AN99" s="894"/>
      <c r="AO99" s="894"/>
      <c r="AP99" s="894"/>
      <c r="AQ99" s="894"/>
      <c r="AR99" s="894"/>
      <c r="AS99" s="894"/>
      <c r="AT99" s="894"/>
      <c r="AU99" s="894"/>
      <c r="AV99" s="894"/>
      <c r="AW99" s="894"/>
      <c r="AX99" s="894"/>
      <c r="AY99" s="894"/>
      <c r="AZ99" s="894"/>
      <c r="BA99" s="894"/>
      <c r="BB99" s="894"/>
      <c r="BC99" s="894"/>
      <c r="BD99" s="894"/>
    </row>
    <row r="100" spans="1:56" s="800" customFormat="1" x14ac:dyDescent="0.25">
      <c r="A100" s="799"/>
      <c r="B100" s="840" t="s">
        <v>1425</v>
      </c>
      <c r="C100" s="841" t="s">
        <v>1426</v>
      </c>
      <c r="D100" s="829" t="s">
        <v>1401</v>
      </c>
      <c r="E100" s="830" t="s">
        <v>1439</v>
      </c>
      <c r="F100" s="833"/>
      <c r="G100" s="833"/>
      <c r="H100" s="833"/>
      <c r="I100" s="833"/>
      <c r="J100" s="833"/>
      <c r="K100" s="833"/>
      <c r="L100" s="833"/>
      <c r="M100" s="833"/>
      <c r="N100" s="833"/>
      <c r="O100" s="833"/>
      <c r="P100" s="865"/>
      <c r="Q100" s="865"/>
      <c r="R100" s="865"/>
      <c r="S100" s="883"/>
      <c r="T100" s="1057"/>
      <c r="U100" s="1057"/>
      <c r="V100" s="1057"/>
      <c r="W100" s="1057"/>
      <c r="X100" s="1057"/>
      <c r="Y100" s="1057"/>
      <c r="Z100" s="1057">
        <v>40</v>
      </c>
      <c r="AA100" s="1057">
        <f>Z100</f>
        <v>40</v>
      </c>
      <c r="AB100" s="1057">
        <f>AA100</f>
        <v>40</v>
      </c>
      <c r="AC100" s="1057">
        <f>AB100</f>
        <v>40</v>
      </c>
      <c r="AD100" s="1057">
        <v>40</v>
      </c>
      <c r="AE100" s="894"/>
      <c r="AF100" s="894"/>
      <c r="AG100" s="894"/>
      <c r="AH100" s="894"/>
      <c r="AI100" s="894"/>
      <c r="AJ100" s="894"/>
      <c r="AK100" s="894"/>
      <c r="AL100" s="894"/>
      <c r="AM100" s="894"/>
      <c r="AN100" s="894"/>
      <c r="AO100" s="894"/>
      <c r="AP100" s="894"/>
      <c r="AQ100" s="894"/>
      <c r="AR100" s="894"/>
      <c r="AS100" s="894"/>
      <c r="AT100" s="894"/>
      <c r="AU100" s="894"/>
      <c r="AV100" s="894"/>
      <c r="AW100" s="894"/>
      <c r="AX100" s="894"/>
      <c r="AY100" s="894"/>
      <c r="AZ100" s="894"/>
      <c r="BA100" s="894"/>
      <c r="BB100" s="894"/>
      <c r="BC100" s="894"/>
      <c r="BD100" s="894"/>
    </row>
    <row r="101" spans="1:56" s="800" customFormat="1" x14ac:dyDescent="0.25">
      <c r="A101" s="799"/>
      <c r="B101" s="840" t="s">
        <v>1427</v>
      </c>
      <c r="C101" s="841" t="s">
        <v>1428</v>
      </c>
      <c r="D101" s="829" t="s">
        <v>1401</v>
      </c>
      <c r="E101" s="830" t="s">
        <v>1438</v>
      </c>
      <c r="F101" s="833"/>
      <c r="G101" s="833"/>
      <c r="H101" s="833"/>
      <c r="I101" s="833"/>
      <c r="J101" s="833"/>
      <c r="K101" s="833"/>
      <c r="L101" s="833"/>
      <c r="M101" s="833"/>
      <c r="N101" s="833"/>
      <c r="O101" s="833"/>
      <c r="P101" s="865"/>
      <c r="Q101" s="865"/>
      <c r="R101" s="865"/>
      <c r="S101" s="883"/>
      <c r="T101" s="1057"/>
      <c r="U101" s="1057"/>
      <c r="V101" s="1057"/>
      <c r="W101" s="1057"/>
      <c r="X101" s="1057">
        <v>4.5</v>
      </c>
      <c r="Y101" s="1057">
        <v>4.5</v>
      </c>
      <c r="Z101" s="1057">
        <v>4.5</v>
      </c>
      <c r="AA101" s="1057">
        <v>4.5</v>
      </c>
      <c r="AB101" s="1057">
        <v>4.5</v>
      </c>
      <c r="AC101" s="1057">
        <v>4.5</v>
      </c>
      <c r="AD101" s="1057">
        <v>4.5</v>
      </c>
      <c r="AE101" s="894"/>
      <c r="AF101" s="894"/>
      <c r="AG101" s="894"/>
      <c r="AH101" s="894"/>
      <c r="AI101" s="894"/>
      <c r="AJ101" s="894"/>
      <c r="AK101" s="894"/>
      <c r="AL101" s="894"/>
      <c r="AM101" s="894"/>
      <c r="AN101" s="894"/>
      <c r="AO101" s="894"/>
      <c r="AP101" s="894"/>
      <c r="AQ101" s="894"/>
      <c r="AR101" s="894"/>
      <c r="AS101" s="894"/>
      <c r="AT101" s="894"/>
      <c r="AU101" s="894"/>
      <c r="AV101" s="894"/>
      <c r="AW101" s="894"/>
      <c r="AX101" s="894"/>
      <c r="AY101" s="894"/>
      <c r="AZ101" s="894"/>
      <c r="BA101" s="894"/>
      <c r="BB101" s="894"/>
      <c r="BC101" s="894"/>
      <c r="BD101" s="894"/>
    </row>
    <row r="102" spans="1:56" s="800" customFormat="1" x14ac:dyDescent="0.25">
      <c r="A102" s="799"/>
      <c r="B102" s="840" t="s">
        <v>1429</v>
      </c>
      <c r="C102" s="841" t="s">
        <v>1430</v>
      </c>
      <c r="D102" s="829" t="s">
        <v>1401</v>
      </c>
      <c r="E102" s="830" t="s">
        <v>1439</v>
      </c>
      <c r="F102" s="833"/>
      <c r="G102" s="833"/>
      <c r="H102" s="833"/>
      <c r="I102" s="833"/>
      <c r="J102" s="833"/>
      <c r="K102" s="833"/>
      <c r="L102" s="833"/>
      <c r="M102" s="833"/>
      <c r="N102" s="833"/>
      <c r="O102" s="833"/>
      <c r="P102" s="865"/>
      <c r="Q102" s="865"/>
      <c r="R102" s="865"/>
      <c r="S102" s="883"/>
      <c r="T102" s="1057"/>
      <c r="U102" s="1057"/>
      <c r="V102" s="1057"/>
      <c r="W102" s="1057"/>
      <c r="X102" s="1057">
        <v>2.5</v>
      </c>
      <c r="Y102" s="1057">
        <v>2.5</v>
      </c>
      <c r="Z102" s="1057">
        <v>2.5</v>
      </c>
      <c r="AA102" s="1057">
        <v>2.5</v>
      </c>
      <c r="AB102" s="1057">
        <v>2.5</v>
      </c>
      <c r="AC102" s="1057">
        <v>2.5</v>
      </c>
      <c r="AD102" s="1057">
        <v>2.5</v>
      </c>
      <c r="AE102" s="894"/>
      <c r="AF102" s="894"/>
      <c r="AG102" s="894"/>
      <c r="AH102" s="894"/>
      <c r="AI102" s="894"/>
      <c r="AJ102" s="894"/>
      <c r="AK102" s="894"/>
      <c r="AL102" s="894"/>
      <c r="AM102" s="894"/>
      <c r="AN102" s="894"/>
      <c r="AO102" s="894"/>
      <c r="AP102" s="894"/>
      <c r="AQ102" s="894"/>
      <c r="AR102" s="894"/>
      <c r="AS102" s="894"/>
      <c r="AT102" s="894"/>
      <c r="AU102" s="894"/>
      <c r="AV102" s="894"/>
      <c r="AW102" s="894"/>
      <c r="AX102" s="894"/>
      <c r="AY102" s="894"/>
      <c r="AZ102" s="894"/>
      <c r="BA102" s="894"/>
      <c r="BB102" s="894"/>
      <c r="BC102" s="894"/>
      <c r="BD102" s="894"/>
    </row>
    <row r="103" spans="1:56" s="800" customFormat="1" ht="18.600000000000001" customHeight="1" x14ac:dyDescent="0.25">
      <c r="A103" s="799"/>
      <c r="B103" s="828" t="s">
        <v>1431</v>
      </c>
      <c r="C103" s="829" t="s">
        <v>1432</v>
      </c>
      <c r="D103" s="829"/>
      <c r="E103" s="833"/>
      <c r="F103" s="833"/>
      <c r="G103" s="833"/>
      <c r="H103" s="833"/>
      <c r="I103" s="833"/>
      <c r="J103" s="833"/>
      <c r="K103" s="833"/>
      <c r="L103" s="833"/>
      <c r="M103" s="833"/>
      <c r="N103" s="833"/>
      <c r="O103" s="833"/>
      <c r="P103" s="865"/>
      <c r="Q103" s="865"/>
      <c r="R103" s="865"/>
      <c r="S103" s="887"/>
      <c r="T103" s="1057"/>
      <c r="U103" s="1057"/>
      <c r="V103" s="1057"/>
      <c r="W103" s="1057"/>
      <c r="X103" s="1057"/>
      <c r="Y103" s="1057"/>
      <c r="Z103" s="1057"/>
      <c r="AA103" s="1057"/>
      <c r="AB103" s="1057"/>
      <c r="AC103" s="1057"/>
      <c r="AD103" s="1052"/>
      <c r="AE103" s="894"/>
      <c r="AF103" s="894"/>
      <c r="AG103" s="894"/>
      <c r="AH103" s="894"/>
      <c r="AI103" s="894"/>
      <c r="AJ103" s="894"/>
      <c r="AK103" s="894"/>
      <c r="AL103" s="894"/>
      <c r="AM103" s="894"/>
      <c r="AN103" s="894"/>
      <c r="AO103" s="894"/>
      <c r="AP103" s="894"/>
      <c r="AQ103" s="894"/>
      <c r="AR103" s="894"/>
      <c r="AS103" s="894"/>
      <c r="AT103" s="894"/>
      <c r="AU103" s="894"/>
      <c r="AV103" s="894"/>
      <c r="AW103" s="894"/>
      <c r="AX103" s="894"/>
      <c r="AY103" s="894"/>
      <c r="AZ103" s="894"/>
      <c r="BA103" s="894"/>
      <c r="BB103" s="894"/>
      <c r="BC103" s="894"/>
      <c r="BD103" s="894"/>
    </row>
    <row r="104" spans="1:56" s="800" customFormat="1" ht="16.2" customHeight="1" x14ac:dyDescent="0.25">
      <c r="A104" s="799"/>
      <c r="B104" s="844" t="s">
        <v>1443</v>
      </c>
      <c r="C104" s="844"/>
      <c r="D104" s="844"/>
      <c r="E104" s="845" t="s">
        <v>1440</v>
      </c>
      <c r="F104" s="895"/>
      <c r="G104" s="895"/>
      <c r="H104" s="844"/>
      <c r="I104" s="844"/>
      <c r="J104" s="844"/>
      <c r="K104" s="888"/>
      <c r="L104" s="888"/>
      <c r="M104" s="888"/>
      <c r="N104" s="888"/>
      <c r="O104" s="888"/>
      <c r="P104" s="888">
        <f>SUM(P83,P84,P85,P86,P87,P88,P89,P92,P93,P94,P96,P97,P99,P100,P101,P102,P103)</f>
        <v>1630.8819999999998</v>
      </c>
      <c r="Q104" s="888">
        <f t="shared" ref="Q104:AD104" si="28">SUM(Q83,Q84,Q85,Q86,Q87,Q88,Q89,Q92,Q93,Q94,Q96,Q97,Q99,Q100,Q101,Q102,Q103)</f>
        <v>1630.8819999999998</v>
      </c>
      <c r="R104" s="888">
        <f t="shared" si="28"/>
        <v>1630.8819999999998</v>
      </c>
      <c r="S104" s="1074">
        <f t="shared" si="28"/>
        <v>1657.8819999999998</v>
      </c>
      <c r="T104" s="1072">
        <f t="shared" si="28"/>
        <v>2957.8819999999996</v>
      </c>
      <c r="U104" s="1072">
        <f t="shared" si="28"/>
        <v>2957.8819999999996</v>
      </c>
      <c r="V104" s="1072">
        <f t="shared" si="28"/>
        <v>3357.8819999999996</v>
      </c>
      <c r="W104" s="1072">
        <f t="shared" si="28"/>
        <v>3372.8819999999996</v>
      </c>
      <c r="X104" s="1072">
        <f t="shared" si="28"/>
        <v>3379.8819999999996</v>
      </c>
      <c r="Y104" s="1072">
        <f t="shared" si="28"/>
        <v>3379.8819999999996</v>
      </c>
      <c r="Z104" s="1072">
        <f t="shared" si="28"/>
        <v>3419.8819999999996</v>
      </c>
      <c r="AA104" s="1072">
        <f t="shared" si="28"/>
        <v>3419.8819999999996</v>
      </c>
      <c r="AB104" s="1072">
        <f t="shared" si="28"/>
        <v>3419.8819999999996</v>
      </c>
      <c r="AC104" s="1072">
        <f t="shared" si="28"/>
        <v>3419.8819999999996</v>
      </c>
      <c r="AD104" s="1072">
        <f t="shared" si="28"/>
        <v>3419.8819999999996</v>
      </c>
      <c r="AE104" s="896"/>
      <c r="AF104" s="896"/>
      <c r="AG104" s="896"/>
      <c r="AH104" s="896"/>
      <c r="AI104" s="896">
        <f t="shared" ref="AI104:AR104" si="29">SUM(AI94:AI103)</f>
        <v>0</v>
      </c>
      <c r="AJ104" s="896">
        <f t="shared" si="29"/>
        <v>0</v>
      </c>
      <c r="AK104" s="896">
        <f t="shared" si="29"/>
        <v>0</v>
      </c>
      <c r="AL104" s="896">
        <f t="shared" si="29"/>
        <v>0</v>
      </c>
      <c r="AM104" s="896">
        <f t="shared" si="29"/>
        <v>0</v>
      </c>
      <c r="AN104" s="896">
        <f t="shared" si="29"/>
        <v>0</v>
      </c>
      <c r="AO104" s="896">
        <f t="shared" si="29"/>
        <v>0</v>
      </c>
      <c r="AP104" s="896">
        <f t="shared" si="29"/>
        <v>0</v>
      </c>
      <c r="AQ104" s="896">
        <f t="shared" si="29"/>
        <v>0</v>
      </c>
      <c r="AR104" s="896">
        <f t="shared" si="29"/>
        <v>0</v>
      </c>
      <c r="AS104" s="896">
        <f t="shared" ref="AS104:BD104" si="30">SUM(AS94:AS103)</f>
        <v>0</v>
      </c>
      <c r="AT104" s="896">
        <f t="shared" si="30"/>
        <v>0</v>
      </c>
      <c r="AU104" s="896">
        <f t="shared" si="30"/>
        <v>0</v>
      </c>
      <c r="AV104" s="896">
        <f t="shared" si="30"/>
        <v>0</v>
      </c>
      <c r="AW104" s="896">
        <f t="shared" si="30"/>
        <v>0</v>
      </c>
      <c r="AX104" s="896">
        <f t="shared" si="30"/>
        <v>0</v>
      </c>
      <c r="AY104" s="896">
        <f t="shared" si="30"/>
        <v>0</v>
      </c>
      <c r="AZ104" s="896">
        <f t="shared" si="30"/>
        <v>0</v>
      </c>
      <c r="BA104" s="896">
        <f t="shared" si="30"/>
        <v>0</v>
      </c>
      <c r="BB104" s="896">
        <f t="shared" si="30"/>
        <v>0</v>
      </c>
      <c r="BC104" s="896">
        <f t="shared" si="30"/>
        <v>0</v>
      </c>
      <c r="BD104" s="896">
        <f t="shared" si="30"/>
        <v>0</v>
      </c>
    </row>
    <row r="105" spans="1:56" s="860" customFormat="1" ht="15" customHeight="1" x14ac:dyDescent="0.25">
      <c r="A105" s="859"/>
      <c r="B105" s="851"/>
      <c r="C105" s="851"/>
      <c r="D105" s="851"/>
      <c r="E105" s="852"/>
      <c r="F105" s="891"/>
      <c r="G105" s="891"/>
      <c r="H105" s="891"/>
      <c r="I105" s="891"/>
      <c r="J105" s="891"/>
      <c r="K105" s="892"/>
      <c r="L105" s="892"/>
      <c r="M105" s="892"/>
      <c r="N105" s="892"/>
      <c r="O105" s="892"/>
      <c r="P105" s="892"/>
      <c r="Q105" s="892"/>
      <c r="R105" s="892"/>
      <c r="S105" s="893"/>
      <c r="T105" s="892"/>
      <c r="U105" s="892"/>
      <c r="V105" s="892"/>
      <c r="W105" s="892"/>
      <c r="X105" s="892"/>
      <c r="Y105" s="892"/>
      <c r="Z105" s="892"/>
      <c r="AA105" s="892"/>
      <c r="AB105" s="892"/>
      <c r="AC105" s="892"/>
      <c r="AD105" s="892"/>
      <c r="AE105" s="892"/>
      <c r="AF105" s="892"/>
      <c r="AG105" s="892"/>
      <c r="AH105" s="892"/>
      <c r="AI105" s="892"/>
      <c r="AJ105" s="892"/>
      <c r="AK105" s="892"/>
      <c r="AL105" s="892"/>
      <c r="AM105" s="892"/>
      <c r="AN105" s="892"/>
      <c r="AO105" s="892"/>
      <c r="AP105" s="892"/>
      <c r="AQ105" s="892"/>
      <c r="AR105" s="892"/>
      <c r="AS105" s="892"/>
      <c r="AT105" s="892"/>
      <c r="AU105" s="892"/>
      <c r="AV105" s="892"/>
      <c r="AW105" s="892"/>
      <c r="AX105" s="892"/>
      <c r="AY105" s="892"/>
      <c r="AZ105" s="892"/>
      <c r="BA105" s="892"/>
      <c r="BB105" s="892"/>
      <c r="BC105" s="892"/>
      <c r="BD105" s="892"/>
    </row>
    <row r="106" spans="1:56" s="860" customFormat="1" ht="1.95" hidden="1" customHeight="1" x14ac:dyDescent="0.25">
      <c r="A106" s="859">
        <v>5</v>
      </c>
      <c r="B106" s="824" t="s">
        <v>1445</v>
      </c>
      <c r="C106" s="824"/>
      <c r="D106" s="824"/>
      <c r="E106" s="891"/>
      <c r="F106" s="891"/>
      <c r="G106" s="891"/>
      <c r="H106" s="891"/>
      <c r="I106" s="891"/>
      <c r="J106" s="891"/>
      <c r="K106" s="892"/>
      <c r="L106" s="897"/>
      <c r="M106" s="897"/>
      <c r="N106" s="897"/>
      <c r="O106" s="897"/>
      <c r="P106" s="897"/>
      <c r="Q106" s="897"/>
      <c r="R106" s="897"/>
      <c r="S106" s="898"/>
      <c r="T106" s="897"/>
      <c r="U106" s="897"/>
      <c r="V106" s="897"/>
      <c r="W106" s="897"/>
      <c r="X106" s="897"/>
      <c r="Y106" s="897"/>
      <c r="Z106" s="897"/>
      <c r="AA106" s="897"/>
      <c r="AB106" s="897"/>
      <c r="AC106" s="897"/>
      <c r="AD106" s="897"/>
      <c r="AE106" s="897"/>
      <c r="AF106" s="897"/>
      <c r="AG106" s="897"/>
      <c r="AH106" s="897"/>
      <c r="AI106" s="897"/>
      <c r="AJ106" s="897"/>
      <c r="AK106" s="897"/>
      <c r="AL106" s="897"/>
      <c r="AM106" s="897"/>
      <c r="AN106" s="897"/>
      <c r="AO106" s="897"/>
      <c r="AP106" s="897"/>
      <c r="AQ106" s="897"/>
      <c r="AR106" s="897"/>
      <c r="AS106" s="897"/>
      <c r="AT106" s="897"/>
      <c r="AU106" s="897"/>
      <c r="AV106" s="897"/>
      <c r="AW106" s="897"/>
      <c r="AX106" s="897"/>
      <c r="AY106" s="897"/>
      <c r="AZ106" s="897"/>
      <c r="BA106" s="897"/>
      <c r="BB106" s="897"/>
      <c r="BC106" s="897"/>
      <c r="BD106" s="897"/>
    </row>
    <row r="107" spans="1:56" s="800" customFormat="1" ht="19.2" hidden="1" customHeight="1" x14ac:dyDescent="0.25">
      <c r="A107" s="799"/>
      <c r="B107" s="899" t="s">
        <v>1446</v>
      </c>
      <c r="C107" s="899"/>
      <c r="D107" s="899"/>
      <c r="E107" s="833" t="s">
        <v>1447</v>
      </c>
      <c r="F107" s="833" t="s">
        <v>1448</v>
      </c>
      <c r="G107" s="833"/>
      <c r="H107" s="851"/>
      <c r="I107" s="851"/>
      <c r="J107" s="851"/>
      <c r="K107" s="900"/>
      <c r="L107" s="901"/>
      <c r="M107" s="901"/>
      <c r="N107" s="901"/>
      <c r="O107" s="901"/>
      <c r="P107" s="901"/>
      <c r="Q107" s="902"/>
      <c r="R107" s="902"/>
      <c r="S107" s="903"/>
      <c r="T107" s="902"/>
      <c r="U107" s="902"/>
      <c r="V107" s="902"/>
      <c r="W107" s="902"/>
      <c r="X107" s="902"/>
      <c r="Y107" s="902"/>
      <c r="Z107" s="902"/>
      <c r="AA107" s="902"/>
      <c r="AB107" s="902"/>
      <c r="AC107" s="902"/>
      <c r="AD107" s="902"/>
      <c r="AE107" s="902"/>
      <c r="AF107" s="902"/>
      <c r="AG107" s="902"/>
      <c r="AH107" s="902"/>
      <c r="AI107" s="902"/>
      <c r="AJ107" s="902"/>
      <c r="AK107" s="902"/>
      <c r="AL107" s="902"/>
      <c r="AM107" s="902"/>
      <c r="AN107" s="902"/>
      <c r="AO107" s="902"/>
      <c r="AP107" s="902"/>
      <c r="AQ107" s="902"/>
      <c r="AR107" s="902"/>
      <c r="AS107" s="902"/>
      <c r="AT107" s="902"/>
      <c r="AU107" s="902"/>
      <c r="AV107" s="902"/>
      <c r="AW107" s="902"/>
      <c r="AX107" s="902"/>
      <c r="AY107" s="902"/>
      <c r="AZ107" s="902"/>
      <c r="BA107" s="902"/>
      <c r="BB107" s="902"/>
      <c r="BC107" s="902"/>
      <c r="BD107" s="902"/>
    </row>
    <row r="108" spans="1:56" s="800" customFormat="1" ht="1.2" hidden="1" customHeight="1" x14ac:dyDescent="0.25">
      <c r="A108" s="799"/>
      <c r="B108" s="899" t="s">
        <v>1449</v>
      </c>
      <c r="C108" s="899"/>
      <c r="D108" s="899"/>
      <c r="E108" s="833" t="s">
        <v>1447</v>
      </c>
      <c r="F108" s="833" t="s">
        <v>1450</v>
      </c>
      <c r="G108" s="833"/>
      <c r="H108" s="851"/>
      <c r="I108" s="851"/>
      <c r="J108" s="851"/>
      <c r="K108" s="900"/>
      <c r="L108" s="901"/>
      <c r="M108" s="901"/>
      <c r="N108" s="901"/>
      <c r="O108" s="901"/>
      <c r="P108" s="901"/>
      <c r="Q108" s="902"/>
      <c r="R108" s="902"/>
      <c r="S108" s="903"/>
      <c r="T108" s="902"/>
      <c r="U108" s="902"/>
      <c r="V108" s="902"/>
      <c r="W108" s="902"/>
      <c r="X108" s="902"/>
      <c r="Y108" s="902"/>
      <c r="Z108" s="902"/>
      <c r="AA108" s="902"/>
      <c r="AB108" s="902"/>
      <c r="AC108" s="902"/>
      <c r="AD108" s="902"/>
      <c r="AE108" s="902"/>
      <c r="AF108" s="902"/>
      <c r="AG108" s="902"/>
      <c r="AH108" s="902"/>
      <c r="AI108" s="902"/>
      <c r="AJ108" s="902"/>
      <c r="AK108" s="902"/>
      <c r="AL108" s="902"/>
      <c r="AM108" s="902"/>
      <c r="AN108" s="902"/>
      <c r="AO108" s="902"/>
      <c r="AP108" s="902"/>
      <c r="AQ108" s="902"/>
      <c r="AR108" s="902"/>
      <c r="AS108" s="902"/>
      <c r="AT108" s="902"/>
      <c r="AU108" s="902"/>
      <c r="AV108" s="902"/>
      <c r="AW108" s="902"/>
      <c r="AX108" s="902"/>
      <c r="AY108" s="902"/>
      <c r="AZ108" s="902"/>
      <c r="BA108" s="902"/>
      <c r="BB108" s="902"/>
      <c r="BC108" s="902"/>
      <c r="BD108" s="902"/>
    </row>
    <row r="109" spans="1:56" s="800" customFormat="1" ht="1.95" hidden="1" customHeight="1" x14ac:dyDescent="0.25">
      <c r="A109" s="799"/>
      <c r="B109" s="899" t="s">
        <v>1451</v>
      </c>
      <c r="C109" s="899"/>
      <c r="D109" s="899"/>
      <c r="E109" s="833" t="s">
        <v>1447</v>
      </c>
      <c r="F109" s="833" t="s">
        <v>1450</v>
      </c>
      <c r="G109" s="833"/>
      <c r="K109" s="839"/>
      <c r="L109" s="904"/>
      <c r="M109" s="904"/>
      <c r="N109" s="904"/>
      <c r="O109" s="904"/>
      <c r="P109" s="904"/>
      <c r="Q109" s="894"/>
      <c r="R109" s="894"/>
      <c r="S109" s="905"/>
      <c r="T109" s="894"/>
      <c r="U109" s="894"/>
      <c r="V109" s="894"/>
      <c r="W109" s="894"/>
      <c r="X109" s="894"/>
      <c r="Y109" s="894"/>
      <c r="Z109" s="894"/>
      <c r="AA109" s="894"/>
      <c r="AB109" s="894"/>
      <c r="AC109" s="894"/>
      <c r="AD109" s="894"/>
      <c r="AE109" s="894"/>
      <c r="AF109" s="894"/>
      <c r="AG109" s="894"/>
      <c r="AH109" s="894"/>
      <c r="AI109" s="894"/>
      <c r="AJ109" s="894"/>
      <c r="AK109" s="894"/>
      <c r="AL109" s="894"/>
      <c r="AM109" s="894"/>
      <c r="AN109" s="894"/>
      <c r="AO109" s="894"/>
      <c r="AP109" s="894"/>
      <c r="AQ109" s="894"/>
      <c r="AR109" s="894"/>
      <c r="AS109" s="894"/>
      <c r="AT109" s="894"/>
      <c r="AU109" s="894"/>
      <c r="AV109" s="894"/>
      <c r="AW109" s="894"/>
      <c r="AX109" s="894"/>
      <c r="AY109" s="894"/>
      <c r="AZ109" s="894"/>
      <c r="BA109" s="894"/>
      <c r="BB109" s="894"/>
      <c r="BC109" s="894"/>
      <c r="BD109" s="894"/>
    </row>
    <row r="110" spans="1:56" s="800" customFormat="1" ht="1.2" hidden="1" customHeight="1" x14ac:dyDescent="0.25">
      <c r="A110" s="799"/>
      <c r="B110" s="899" t="s">
        <v>1452</v>
      </c>
      <c r="C110" s="899"/>
      <c r="D110" s="899"/>
      <c r="E110" s="833" t="s">
        <v>1447</v>
      </c>
      <c r="F110" s="833" t="s">
        <v>1450</v>
      </c>
      <c r="G110" s="833"/>
      <c r="K110" s="839"/>
      <c r="L110" s="904"/>
      <c r="M110" s="904"/>
      <c r="N110" s="904"/>
      <c r="O110" s="904"/>
      <c r="P110" s="904"/>
      <c r="Q110" s="894"/>
      <c r="R110" s="894"/>
      <c r="S110" s="905"/>
      <c r="T110" s="894"/>
      <c r="U110" s="894"/>
      <c r="V110" s="894"/>
      <c r="W110" s="894"/>
      <c r="X110" s="894"/>
      <c r="Y110" s="894"/>
      <c r="Z110" s="894"/>
      <c r="AA110" s="894"/>
      <c r="AB110" s="894"/>
      <c r="AC110" s="894"/>
      <c r="AD110" s="894"/>
      <c r="AE110" s="894"/>
      <c r="AF110" s="894"/>
      <c r="AG110" s="894"/>
      <c r="AH110" s="894"/>
      <c r="AI110" s="894"/>
      <c r="AJ110" s="894"/>
      <c r="AK110" s="894"/>
      <c r="AL110" s="894"/>
      <c r="AM110" s="894"/>
      <c r="AN110" s="894"/>
      <c r="AO110" s="894"/>
      <c r="AP110" s="894"/>
      <c r="AQ110" s="894"/>
      <c r="AR110" s="894"/>
      <c r="AS110" s="894"/>
      <c r="AT110" s="894"/>
      <c r="AU110" s="894"/>
      <c r="AV110" s="894"/>
      <c r="AW110" s="894"/>
      <c r="AX110" s="894"/>
      <c r="AY110" s="894"/>
      <c r="AZ110" s="894"/>
      <c r="BA110" s="894"/>
      <c r="BB110" s="894"/>
      <c r="BC110" s="894"/>
      <c r="BD110" s="894"/>
    </row>
    <row r="111" spans="1:56" s="800" customFormat="1" ht="12" hidden="1" customHeight="1" x14ac:dyDescent="0.25">
      <c r="A111" s="799"/>
      <c r="B111" s="899" t="s">
        <v>1453</v>
      </c>
      <c r="C111" s="899"/>
      <c r="D111" s="899"/>
      <c r="E111" s="833" t="s">
        <v>1447</v>
      </c>
      <c r="F111" s="833" t="s">
        <v>1450</v>
      </c>
      <c r="G111" s="833"/>
      <c r="K111" s="839"/>
      <c r="L111" s="904"/>
      <c r="M111" s="904"/>
      <c r="N111" s="904"/>
      <c r="O111" s="904"/>
      <c r="P111" s="904"/>
      <c r="Q111" s="894"/>
      <c r="R111" s="894"/>
      <c r="S111" s="905"/>
      <c r="T111" s="894"/>
      <c r="U111" s="894"/>
      <c r="V111" s="894"/>
      <c r="W111" s="894"/>
      <c r="X111" s="894"/>
      <c r="Y111" s="894"/>
      <c r="Z111" s="894"/>
      <c r="AA111" s="894"/>
      <c r="AB111" s="894"/>
      <c r="AC111" s="894"/>
      <c r="AD111" s="894"/>
      <c r="AE111" s="894"/>
      <c r="AF111" s="894"/>
      <c r="AG111" s="894"/>
      <c r="AH111" s="894"/>
      <c r="AI111" s="894"/>
      <c r="AJ111" s="894"/>
      <c r="AK111" s="894"/>
      <c r="AL111" s="894"/>
      <c r="AM111" s="894"/>
      <c r="AN111" s="894"/>
      <c r="AO111" s="894"/>
      <c r="AP111" s="894"/>
      <c r="AQ111" s="894"/>
      <c r="AR111" s="894"/>
      <c r="AS111" s="894"/>
      <c r="AT111" s="894"/>
      <c r="AU111" s="894"/>
      <c r="AV111" s="894"/>
      <c r="AW111" s="894"/>
      <c r="AX111" s="894"/>
      <c r="AY111" s="894"/>
      <c r="AZ111" s="894"/>
      <c r="BA111" s="894"/>
      <c r="BB111" s="894"/>
      <c r="BC111" s="894"/>
      <c r="BD111" s="894"/>
    </row>
    <row r="112" spans="1:56" s="800" customFormat="1" ht="25.95" hidden="1" customHeight="1" x14ac:dyDescent="0.25">
      <c r="A112" s="799"/>
      <c r="B112" s="899" t="s">
        <v>1431</v>
      </c>
      <c r="C112" s="899"/>
      <c r="D112" s="899"/>
      <c r="E112" s="833"/>
      <c r="F112" s="833"/>
      <c r="G112" s="833"/>
      <c r="K112" s="839"/>
      <c r="L112" s="904"/>
      <c r="M112" s="904"/>
      <c r="N112" s="904"/>
      <c r="O112" s="904"/>
      <c r="P112" s="904"/>
      <c r="Q112" s="894"/>
      <c r="R112" s="894"/>
      <c r="S112" s="905"/>
      <c r="T112" s="894"/>
      <c r="U112" s="894"/>
      <c r="V112" s="894"/>
      <c r="W112" s="894"/>
      <c r="X112" s="894"/>
      <c r="Y112" s="894"/>
      <c r="Z112" s="894"/>
      <c r="AA112" s="894"/>
      <c r="AB112" s="894"/>
      <c r="AC112" s="894"/>
      <c r="AD112" s="894"/>
      <c r="AE112" s="894"/>
      <c r="AF112" s="894"/>
      <c r="AG112" s="894"/>
      <c r="AH112" s="894"/>
      <c r="AI112" s="894"/>
      <c r="AJ112" s="894"/>
      <c r="AK112" s="894"/>
      <c r="AL112" s="894"/>
      <c r="AM112" s="894"/>
      <c r="AN112" s="894"/>
      <c r="AO112" s="894"/>
      <c r="AP112" s="894"/>
      <c r="AQ112" s="894"/>
      <c r="AR112" s="894"/>
      <c r="AS112" s="894"/>
      <c r="AT112" s="894"/>
      <c r="AU112" s="894"/>
      <c r="AV112" s="894"/>
      <c r="AW112" s="894"/>
      <c r="AX112" s="894"/>
      <c r="AY112" s="894"/>
      <c r="AZ112" s="894"/>
      <c r="BA112" s="894"/>
      <c r="BB112" s="894"/>
      <c r="BC112" s="894"/>
      <c r="BD112" s="894"/>
    </row>
    <row r="113" spans="1:56" s="800" customFormat="1" ht="3.6" hidden="1" customHeight="1" x14ac:dyDescent="0.25">
      <c r="A113" s="799"/>
      <c r="B113" s="844" t="s">
        <v>1454</v>
      </c>
      <c r="C113" s="844"/>
      <c r="D113" s="844"/>
      <c r="E113" s="844" t="s">
        <v>1447</v>
      </c>
      <c r="F113" s="844"/>
      <c r="G113" s="844"/>
      <c r="H113" s="844"/>
      <c r="I113" s="844"/>
      <c r="J113" s="844"/>
      <c r="K113" s="888"/>
      <c r="L113" s="888"/>
      <c r="M113" s="888"/>
      <c r="N113" s="888"/>
      <c r="O113" s="869"/>
      <c r="P113" s="869"/>
      <c r="Q113" s="906"/>
      <c r="R113" s="906"/>
      <c r="S113" s="907"/>
      <c r="T113" s="906"/>
      <c r="U113" s="906"/>
      <c r="V113" s="906"/>
      <c r="W113" s="906"/>
      <c r="X113" s="906"/>
      <c r="Y113" s="906"/>
      <c r="Z113" s="906"/>
      <c r="AA113" s="906"/>
      <c r="AB113" s="906"/>
      <c r="AC113" s="906"/>
      <c r="AD113" s="906"/>
      <c r="AE113" s="906"/>
      <c r="AF113" s="906"/>
      <c r="AG113" s="906"/>
      <c r="AH113" s="906"/>
      <c r="AI113" s="906"/>
      <c r="AJ113" s="906"/>
      <c r="AK113" s="906"/>
      <c r="AL113" s="906"/>
      <c r="AM113" s="906"/>
      <c r="AN113" s="906"/>
      <c r="AO113" s="906"/>
      <c r="AP113" s="906"/>
      <c r="AQ113" s="906"/>
      <c r="AR113" s="906"/>
      <c r="AS113" s="906"/>
      <c r="AT113" s="906"/>
      <c r="AU113" s="906"/>
      <c r="AV113" s="906"/>
      <c r="AW113" s="906"/>
      <c r="AX113" s="906"/>
      <c r="AY113" s="906"/>
      <c r="AZ113" s="906"/>
      <c r="BA113" s="906"/>
      <c r="BB113" s="906"/>
      <c r="BC113" s="906"/>
      <c r="BD113" s="906"/>
    </row>
    <row r="114" spans="1:56" s="800" customFormat="1" ht="1.2" hidden="1" customHeight="1" x14ac:dyDescent="0.25">
      <c r="A114" s="799"/>
      <c r="B114" s="851" t="s">
        <v>1455</v>
      </c>
      <c r="C114" s="851"/>
      <c r="D114" s="851"/>
      <c r="E114" s="851" t="s">
        <v>1447</v>
      </c>
      <c r="F114" s="851"/>
      <c r="G114" s="851"/>
      <c r="H114" s="851"/>
      <c r="I114" s="851"/>
      <c r="J114" s="851"/>
      <c r="K114" s="900"/>
      <c r="L114" s="900"/>
      <c r="M114" s="900"/>
      <c r="N114" s="900"/>
      <c r="O114" s="901"/>
      <c r="P114" s="901"/>
      <c r="Q114" s="901"/>
      <c r="R114" s="901"/>
      <c r="S114" s="908"/>
      <c r="T114" s="901"/>
      <c r="U114" s="901"/>
      <c r="V114" s="901"/>
      <c r="W114" s="901"/>
      <c r="X114" s="901"/>
      <c r="Y114" s="901"/>
      <c r="Z114" s="901"/>
      <c r="AA114" s="901"/>
      <c r="AB114" s="901"/>
      <c r="AC114" s="901"/>
      <c r="AD114" s="901"/>
      <c r="AE114" s="901"/>
      <c r="AF114" s="901"/>
      <c r="AG114" s="901"/>
      <c r="AH114" s="901"/>
      <c r="AI114" s="901">
        <f t="shared" ref="AI114:BD114" si="31">AH114</f>
        <v>0</v>
      </c>
      <c r="AJ114" s="901">
        <f t="shared" si="31"/>
        <v>0</v>
      </c>
      <c r="AK114" s="901">
        <f t="shared" si="31"/>
        <v>0</v>
      </c>
      <c r="AL114" s="901">
        <f t="shared" si="31"/>
        <v>0</v>
      </c>
      <c r="AM114" s="901">
        <f t="shared" si="31"/>
        <v>0</v>
      </c>
      <c r="AN114" s="901">
        <f t="shared" si="31"/>
        <v>0</v>
      </c>
      <c r="AO114" s="901">
        <f t="shared" si="31"/>
        <v>0</v>
      </c>
      <c r="AP114" s="901">
        <f t="shared" si="31"/>
        <v>0</v>
      </c>
      <c r="AQ114" s="901">
        <f t="shared" si="31"/>
        <v>0</v>
      </c>
      <c r="AR114" s="901">
        <f t="shared" si="31"/>
        <v>0</v>
      </c>
      <c r="AS114" s="901">
        <f t="shared" si="31"/>
        <v>0</v>
      </c>
      <c r="AT114" s="901">
        <f t="shared" si="31"/>
        <v>0</v>
      </c>
      <c r="AU114" s="901">
        <f t="shared" si="31"/>
        <v>0</v>
      </c>
      <c r="AV114" s="901">
        <f t="shared" si="31"/>
        <v>0</v>
      </c>
      <c r="AW114" s="901">
        <f t="shared" si="31"/>
        <v>0</v>
      </c>
      <c r="AX114" s="901">
        <f t="shared" si="31"/>
        <v>0</v>
      </c>
      <c r="AY114" s="901">
        <f t="shared" si="31"/>
        <v>0</v>
      </c>
      <c r="AZ114" s="901">
        <f t="shared" si="31"/>
        <v>0</v>
      </c>
      <c r="BA114" s="901">
        <f t="shared" si="31"/>
        <v>0</v>
      </c>
      <c r="BB114" s="901">
        <f t="shared" si="31"/>
        <v>0</v>
      </c>
      <c r="BC114" s="901">
        <f t="shared" si="31"/>
        <v>0</v>
      </c>
      <c r="BD114" s="901">
        <f t="shared" si="31"/>
        <v>0</v>
      </c>
    </row>
    <row r="115" spans="1:56" s="860" customFormat="1" x14ac:dyDescent="0.25">
      <c r="A115" s="859"/>
      <c r="B115" s="891"/>
      <c r="C115" s="891"/>
      <c r="D115" s="891"/>
      <c r="E115" s="891"/>
      <c r="F115" s="891"/>
      <c r="G115" s="891"/>
      <c r="H115" s="891"/>
      <c r="I115" s="891"/>
      <c r="J115" s="891"/>
      <c r="K115" s="892"/>
      <c r="L115" s="892"/>
      <c r="M115" s="892"/>
      <c r="N115" s="892"/>
      <c r="O115" s="892"/>
      <c r="P115" s="892"/>
      <c r="Q115" s="892"/>
      <c r="R115" s="892"/>
      <c r="S115" s="893"/>
      <c r="T115" s="909" t="s">
        <v>1481</v>
      </c>
      <c r="U115" s="909"/>
      <c r="V115" s="909"/>
      <c r="W115" s="909"/>
      <c r="X115" s="909"/>
      <c r="Y115" s="909"/>
      <c r="Z115" s="909"/>
      <c r="AA115" s="909"/>
      <c r="AB115" s="910"/>
      <c r="AC115" s="892"/>
      <c r="AD115" s="892"/>
      <c r="AE115" s="892"/>
      <c r="AF115" s="892"/>
      <c r="AG115" s="892"/>
      <c r="AH115" s="892"/>
      <c r="AI115" s="892"/>
      <c r="AJ115" s="892"/>
      <c r="AK115" s="892"/>
      <c r="AL115" s="892"/>
      <c r="AM115" s="892"/>
      <c r="AN115" s="892"/>
      <c r="AO115" s="892"/>
      <c r="AP115" s="892"/>
      <c r="AQ115" s="892"/>
      <c r="AR115" s="892"/>
      <c r="AS115" s="892"/>
      <c r="AT115" s="892"/>
      <c r="AU115" s="892"/>
      <c r="AV115" s="892"/>
      <c r="AW115" s="892"/>
      <c r="AX115" s="892"/>
      <c r="AY115" s="892"/>
      <c r="AZ115" s="892"/>
      <c r="BA115" s="892"/>
      <c r="BB115" s="892"/>
      <c r="BC115" s="892"/>
      <c r="BD115" s="892"/>
    </row>
    <row r="116" spans="1:56" s="825" customFormat="1" ht="14.25" customHeight="1" x14ac:dyDescent="0.25">
      <c r="A116" s="823">
        <v>6</v>
      </c>
      <c r="B116" s="824" t="s">
        <v>1456</v>
      </c>
      <c r="C116" s="824"/>
      <c r="D116" s="824"/>
      <c r="E116" s="911"/>
      <c r="F116" s="911"/>
      <c r="G116" s="911"/>
      <c r="H116" s="911"/>
      <c r="I116" s="911"/>
      <c r="J116" s="911"/>
      <c r="K116" s="912"/>
      <c r="L116" s="912"/>
      <c r="M116" s="912"/>
      <c r="N116" s="912"/>
      <c r="O116" s="912"/>
      <c r="P116" s="912"/>
      <c r="Q116" s="912"/>
      <c r="R116" s="912"/>
      <c r="S116" s="913"/>
      <c r="T116" s="912"/>
      <c r="U116" s="912"/>
      <c r="V116" s="912"/>
      <c r="W116" s="912"/>
      <c r="X116" s="912"/>
      <c r="Y116" s="912"/>
      <c r="Z116" s="912"/>
      <c r="AA116" s="912"/>
      <c r="AB116" s="912"/>
      <c r="AC116" s="912"/>
      <c r="AD116" s="912"/>
      <c r="AE116" s="912"/>
      <c r="AF116" s="912"/>
      <c r="AG116" s="912"/>
      <c r="AH116" s="912"/>
      <c r="AI116" s="912"/>
      <c r="AJ116" s="912"/>
      <c r="AK116" s="912"/>
      <c r="AL116" s="912"/>
      <c r="AM116" s="912"/>
      <c r="AN116" s="912"/>
      <c r="AO116" s="912"/>
      <c r="AP116" s="912"/>
      <c r="AQ116" s="912"/>
      <c r="AR116" s="912"/>
      <c r="AS116" s="912"/>
      <c r="AT116" s="912"/>
      <c r="AU116" s="912"/>
      <c r="AV116" s="912"/>
      <c r="AW116" s="912"/>
      <c r="AX116" s="912"/>
      <c r="AY116" s="912"/>
      <c r="AZ116" s="912"/>
      <c r="BA116" s="912"/>
      <c r="BB116" s="912"/>
      <c r="BC116" s="912"/>
      <c r="BD116" s="912"/>
    </row>
    <row r="117" spans="1:56" s="800" customFormat="1" ht="14.25" customHeight="1" x14ac:dyDescent="0.25">
      <c r="A117" s="799"/>
      <c r="B117" s="828" t="s">
        <v>1400</v>
      </c>
      <c r="C117" s="829" t="s">
        <v>714</v>
      </c>
      <c r="D117" s="829" t="s">
        <v>1401</v>
      </c>
      <c r="E117" s="830" t="s">
        <v>1438</v>
      </c>
      <c r="F117" s="833"/>
      <c r="G117" s="833"/>
      <c r="H117" s="851"/>
      <c r="I117" s="851"/>
      <c r="J117" s="851"/>
      <c r="K117" s="900"/>
      <c r="L117" s="901"/>
      <c r="M117" s="901"/>
      <c r="N117" s="901"/>
      <c r="O117" s="901"/>
      <c r="P117" s="901"/>
      <c r="Q117" s="839"/>
      <c r="R117" s="914">
        <v>0.47599999999999998</v>
      </c>
      <c r="S117" s="915">
        <v>0.47599999999999998</v>
      </c>
      <c r="T117" s="1068">
        <f>S117*1.01</f>
        <v>0.48075999999999997</v>
      </c>
      <c r="U117" s="1068">
        <f t="shared" ref="U117:AD117" si="32">T117*1.01</f>
        <v>0.48556759999999999</v>
      </c>
      <c r="V117" s="1068">
        <f t="shared" si="32"/>
        <v>0.49042327600000002</v>
      </c>
      <c r="W117" s="1068">
        <f t="shared" si="32"/>
        <v>0.49532750876000003</v>
      </c>
      <c r="X117" s="1068">
        <f t="shared" si="32"/>
        <v>0.5002807838476</v>
      </c>
      <c r="Y117" s="1068">
        <f t="shared" si="32"/>
        <v>0.50528359168607595</v>
      </c>
      <c r="Z117" s="1068">
        <f t="shared" si="32"/>
        <v>0.51033642760293674</v>
      </c>
      <c r="AA117" s="1068">
        <f t="shared" si="32"/>
        <v>0.51543979187896616</v>
      </c>
      <c r="AB117" s="1068">
        <f t="shared" si="32"/>
        <v>0.52059418979775585</v>
      </c>
      <c r="AC117" s="1068">
        <f t="shared" si="32"/>
        <v>0.52580013169573336</v>
      </c>
      <c r="AD117" s="1068">
        <f t="shared" si="32"/>
        <v>0.53105813301269067</v>
      </c>
      <c r="AE117" s="916"/>
      <c r="AF117" s="917"/>
      <c r="AG117" s="918"/>
      <c r="AH117" s="918"/>
      <c r="AI117" s="918"/>
      <c r="AJ117" s="918"/>
      <c r="AK117" s="918"/>
      <c r="AL117" s="918"/>
      <c r="AM117" s="918"/>
      <c r="AN117" s="918"/>
      <c r="AO117" s="918"/>
      <c r="AP117" s="918"/>
      <c r="AQ117" s="918"/>
      <c r="AR117" s="918"/>
      <c r="AS117" s="918"/>
      <c r="AT117" s="918"/>
      <c r="AU117" s="918"/>
      <c r="AV117" s="918"/>
      <c r="AW117" s="918"/>
      <c r="AX117" s="918"/>
      <c r="AY117" s="918"/>
      <c r="AZ117" s="918"/>
      <c r="BA117" s="918"/>
      <c r="BB117" s="918"/>
      <c r="BC117" s="918"/>
      <c r="BD117" s="918"/>
    </row>
    <row r="118" spans="1:56" s="800" customFormat="1" ht="14.25" customHeight="1" x14ac:dyDescent="0.25">
      <c r="A118" s="799"/>
      <c r="B118" s="828" t="s">
        <v>1402</v>
      </c>
      <c r="C118" s="829" t="s">
        <v>739</v>
      </c>
      <c r="D118" s="829" t="s">
        <v>1401</v>
      </c>
      <c r="E118" s="830" t="s">
        <v>1439</v>
      </c>
      <c r="F118" s="833"/>
      <c r="G118" s="833"/>
      <c r="H118" s="851"/>
      <c r="I118" s="851"/>
      <c r="J118" s="851"/>
      <c r="K118" s="900"/>
      <c r="L118" s="901"/>
      <c r="M118" s="901"/>
      <c r="N118" s="901"/>
      <c r="O118" s="901"/>
      <c r="P118" s="901"/>
      <c r="Q118" s="839"/>
      <c r="R118" s="914">
        <v>0.22600000000000001</v>
      </c>
      <c r="S118" s="915">
        <v>0.22600000000000001</v>
      </c>
      <c r="T118" s="1068">
        <f>S118*1.01</f>
        <v>0.22826000000000002</v>
      </c>
      <c r="U118" s="1068">
        <f t="shared" ref="U118:AD118" si="33">T118*1.01</f>
        <v>0.23054260000000001</v>
      </c>
      <c r="V118" s="1068">
        <f t="shared" si="33"/>
        <v>0.23284802600000001</v>
      </c>
      <c r="W118" s="1068">
        <f t="shared" si="33"/>
        <v>0.23517650626000003</v>
      </c>
      <c r="X118" s="1068">
        <f t="shared" si="33"/>
        <v>0.23752827132260004</v>
      </c>
      <c r="Y118" s="1068">
        <f t="shared" si="33"/>
        <v>0.23990355403582606</v>
      </c>
      <c r="Z118" s="1068">
        <f t="shared" si="33"/>
        <v>0.24230258957618431</v>
      </c>
      <c r="AA118" s="1068">
        <f t="shared" si="33"/>
        <v>0.24472561547194616</v>
      </c>
      <c r="AB118" s="1068">
        <f t="shared" si="33"/>
        <v>0.24717287162666562</v>
      </c>
      <c r="AC118" s="1068">
        <f t="shared" si="33"/>
        <v>0.24964460034293229</v>
      </c>
      <c r="AD118" s="1068">
        <f t="shared" si="33"/>
        <v>0.25214104634636159</v>
      </c>
      <c r="AE118" s="916"/>
      <c r="AF118" s="917"/>
      <c r="AG118" s="918"/>
      <c r="AH118" s="918"/>
      <c r="AI118" s="918"/>
      <c r="AJ118" s="918"/>
      <c r="AK118" s="918"/>
      <c r="AL118" s="918"/>
      <c r="AM118" s="918"/>
      <c r="AN118" s="918"/>
      <c r="AO118" s="918"/>
      <c r="AP118" s="918"/>
      <c r="AQ118" s="918"/>
      <c r="AR118" s="918"/>
      <c r="AS118" s="918"/>
      <c r="AT118" s="918"/>
      <c r="AU118" s="918"/>
      <c r="AV118" s="918"/>
      <c r="AW118" s="918"/>
      <c r="AX118" s="918"/>
      <c r="AY118" s="918"/>
      <c r="AZ118" s="918"/>
      <c r="BA118" s="918"/>
      <c r="BB118" s="918"/>
      <c r="BC118" s="918"/>
      <c r="BD118" s="918"/>
    </row>
    <row r="119" spans="1:56" s="800" customFormat="1" ht="14.25" customHeight="1" x14ac:dyDescent="0.25">
      <c r="A119" s="799"/>
      <c r="B119" s="828" t="s">
        <v>1403</v>
      </c>
      <c r="C119" s="829" t="s">
        <v>701</v>
      </c>
      <c r="D119" s="829" t="s">
        <v>1401</v>
      </c>
      <c r="E119" s="830" t="s">
        <v>1439</v>
      </c>
      <c r="F119" s="833"/>
      <c r="G119" s="833"/>
      <c r="H119" s="851"/>
      <c r="I119" s="851"/>
      <c r="J119" s="851"/>
      <c r="K119" s="900"/>
      <c r="L119" s="901"/>
      <c r="M119" s="901"/>
      <c r="N119" s="901"/>
      <c r="O119" s="901"/>
      <c r="P119" s="901"/>
      <c r="Q119" s="839"/>
      <c r="R119" s="914">
        <v>0.14099999999999999</v>
      </c>
      <c r="S119" s="915">
        <v>0.14099999999999999</v>
      </c>
      <c r="T119" s="1068">
        <f>S119*1.01</f>
        <v>0.14240999999999998</v>
      </c>
      <c r="U119" s="1068">
        <f t="shared" ref="U119:AD119" si="34">T119*1.01</f>
        <v>0.14383409999999999</v>
      </c>
      <c r="V119" s="1068">
        <f t="shared" si="34"/>
        <v>0.145272441</v>
      </c>
      <c r="W119" s="1068">
        <f t="shared" si="34"/>
        <v>0.14672516541</v>
      </c>
      <c r="X119" s="1068">
        <f t="shared" si="34"/>
        <v>0.1481924170641</v>
      </c>
      <c r="Y119" s="1068">
        <f t="shared" si="34"/>
        <v>0.14967434123474099</v>
      </c>
      <c r="Z119" s="1068">
        <f t="shared" si="34"/>
        <v>0.15117108464708839</v>
      </c>
      <c r="AA119" s="1068">
        <f t="shared" si="34"/>
        <v>0.15268279549355929</v>
      </c>
      <c r="AB119" s="1068">
        <f t="shared" si="34"/>
        <v>0.15420962344849487</v>
      </c>
      <c r="AC119" s="1068">
        <f t="shared" si="34"/>
        <v>0.15575171968297982</v>
      </c>
      <c r="AD119" s="1068">
        <f t="shared" si="34"/>
        <v>0.15730923687980963</v>
      </c>
      <c r="AE119" s="916"/>
      <c r="AF119" s="917"/>
      <c r="AG119" s="918"/>
      <c r="AH119" s="918"/>
      <c r="AI119" s="918"/>
      <c r="AJ119" s="918"/>
      <c r="AK119" s="918"/>
      <c r="AL119" s="918"/>
      <c r="AM119" s="918"/>
      <c r="AN119" s="918"/>
      <c r="AO119" s="918"/>
      <c r="AP119" s="918"/>
      <c r="AQ119" s="918"/>
      <c r="AR119" s="918"/>
      <c r="AS119" s="918"/>
      <c r="AT119" s="918"/>
      <c r="AU119" s="918"/>
      <c r="AV119" s="918"/>
      <c r="AW119" s="918"/>
      <c r="AX119" s="918"/>
      <c r="AY119" s="918"/>
      <c r="AZ119" s="918"/>
      <c r="BA119" s="918"/>
      <c r="BB119" s="918"/>
      <c r="BC119" s="918"/>
      <c r="BD119" s="918"/>
    </row>
    <row r="120" spans="1:56" s="800" customFormat="1" ht="14.25" customHeight="1" x14ac:dyDescent="0.25">
      <c r="A120" s="799"/>
      <c r="B120" s="828" t="s">
        <v>1404</v>
      </c>
      <c r="C120" s="829" t="s">
        <v>839</v>
      </c>
      <c r="D120" s="829" t="s">
        <v>1401</v>
      </c>
      <c r="E120" s="830" t="s">
        <v>1439</v>
      </c>
      <c r="F120" s="833"/>
      <c r="G120" s="833"/>
      <c r="H120" s="851"/>
      <c r="I120" s="851"/>
      <c r="J120" s="851"/>
      <c r="K120" s="900"/>
      <c r="L120" s="901"/>
      <c r="M120" s="901"/>
      <c r="N120" s="901"/>
      <c r="O120" s="901"/>
      <c r="P120" s="901"/>
      <c r="Q120" s="839"/>
      <c r="R120" s="914">
        <v>1</v>
      </c>
      <c r="S120" s="915">
        <v>1</v>
      </c>
      <c r="T120" s="1068">
        <f>S120</f>
        <v>1</v>
      </c>
      <c r="U120" s="1068">
        <f t="shared" ref="U120:AD120" si="35">T120</f>
        <v>1</v>
      </c>
      <c r="V120" s="1068">
        <f t="shared" si="35"/>
        <v>1</v>
      </c>
      <c r="W120" s="1068">
        <f t="shared" si="35"/>
        <v>1</v>
      </c>
      <c r="X120" s="1068">
        <f t="shared" si="35"/>
        <v>1</v>
      </c>
      <c r="Y120" s="1068">
        <f t="shared" si="35"/>
        <v>1</v>
      </c>
      <c r="Z120" s="1068">
        <f t="shared" si="35"/>
        <v>1</v>
      </c>
      <c r="AA120" s="1068">
        <f t="shared" si="35"/>
        <v>1</v>
      </c>
      <c r="AB120" s="1068">
        <f t="shared" si="35"/>
        <v>1</v>
      </c>
      <c r="AC120" s="1068">
        <f t="shared" si="35"/>
        <v>1</v>
      </c>
      <c r="AD120" s="1068">
        <f t="shared" si="35"/>
        <v>1</v>
      </c>
      <c r="AE120" s="916"/>
      <c r="AF120" s="917"/>
      <c r="AG120" s="918"/>
      <c r="AH120" s="918"/>
      <c r="AI120" s="918"/>
      <c r="AJ120" s="918"/>
      <c r="AK120" s="918"/>
      <c r="AL120" s="918"/>
      <c r="AM120" s="918"/>
      <c r="AN120" s="918"/>
      <c r="AO120" s="918"/>
      <c r="AP120" s="918"/>
      <c r="AQ120" s="918"/>
      <c r="AR120" s="918"/>
      <c r="AS120" s="918"/>
      <c r="AT120" s="918"/>
      <c r="AU120" s="918"/>
      <c r="AV120" s="918"/>
      <c r="AW120" s="918"/>
      <c r="AX120" s="918"/>
      <c r="AY120" s="918"/>
      <c r="AZ120" s="918"/>
      <c r="BA120" s="918"/>
      <c r="BB120" s="918"/>
      <c r="BC120" s="918"/>
      <c r="BD120" s="918"/>
    </row>
    <row r="121" spans="1:56" s="800" customFormat="1" ht="14.25" customHeight="1" x14ac:dyDescent="0.25">
      <c r="A121" s="799"/>
      <c r="B121" s="828" t="s">
        <v>1405</v>
      </c>
      <c r="C121" s="829" t="s">
        <v>928</v>
      </c>
      <c r="D121" s="829" t="s">
        <v>1401</v>
      </c>
      <c r="E121" s="830" t="s">
        <v>1438</v>
      </c>
      <c r="F121" s="833"/>
      <c r="G121" s="833"/>
      <c r="H121" s="851"/>
      <c r="I121" s="851"/>
      <c r="J121" s="851"/>
      <c r="K121" s="900"/>
      <c r="L121" s="901"/>
      <c r="M121" s="901"/>
      <c r="N121" s="901"/>
      <c r="O121" s="901"/>
      <c r="P121" s="901"/>
      <c r="Q121" s="839"/>
      <c r="R121" s="914">
        <v>8.1000000000000003E-2</v>
      </c>
      <c r="S121" s="915">
        <v>8.1000000000000003E-2</v>
      </c>
      <c r="T121" s="1068">
        <f>S121*1.01</f>
        <v>8.1810000000000008E-2</v>
      </c>
      <c r="U121" s="1068">
        <f t="shared" ref="U121:AD121" si="36">T121*1.01</f>
        <v>8.262810000000001E-2</v>
      </c>
      <c r="V121" s="1068">
        <f t="shared" si="36"/>
        <v>8.3454381000000008E-2</v>
      </c>
      <c r="W121" s="1068">
        <f t="shared" si="36"/>
        <v>8.4288924810000013E-2</v>
      </c>
      <c r="X121" s="1068">
        <f t="shared" si="36"/>
        <v>8.5131814058100011E-2</v>
      </c>
      <c r="Y121" s="1068">
        <f t="shared" si="36"/>
        <v>8.5983132198681006E-2</v>
      </c>
      <c r="Z121" s="1068">
        <f t="shared" si="36"/>
        <v>8.6842963520667824E-2</v>
      </c>
      <c r="AA121" s="1068">
        <f t="shared" si="36"/>
        <v>8.7711393155874506E-2</v>
      </c>
      <c r="AB121" s="1068">
        <f t="shared" si="36"/>
        <v>8.8588507087433252E-2</v>
      </c>
      <c r="AC121" s="1068">
        <f t="shared" si="36"/>
        <v>8.9474392158307589E-2</v>
      </c>
      <c r="AD121" s="1068">
        <f t="shared" si="36"/>
        <v>9.0369136079890666E-2</v>
      </c>
      <c r="AE121" s="916"/>
      <c r="AF121" s="917"/>
      <c r="AG121" s="918"/>
      <c r="AH121" s="918"/>
      <c r="AI121" s="918"/>
      <c r="AJ121" s="918"/>
      <c r="AK121" s="918"/>
      <c r="AL121" s="918"/>
      <c r="AM121" s="918"/>
      <c r="AN121" s="918"/>
      <c r="AO121" s="918"/>
      <c r="AP121" s="918"/>
      <c r="AQ121" s="918"/>
      <c r="AR121" s="918"/>
      <c r="AS121" s="918"/>
      <c r="AT121" s="918"/>
      <c r="AU121" s="918"/>
      <c r="AV121" s="918"/>
      <c r="AW121" s="918"/>
      <c r="AX121" s="918"/>
      <c r="AY121" s="918"/>
      <c r="AZ121" s="918"/>
      <c r="BA121" s="918"/>
      <c r="BB121" s="918"/>
      <c r="BC121" s="918"/>
      <c r="BD121" s="918"/>
    </row>
    <row r="122" spans="1:56" s="800" customFormat="1" ht="14.25" customHeight="1" x14ac:dyDescent="0.25">
      <c r="A122" s="799"/>
      <c r="B122" s="828" t="s">
        <v>1406</v>
      </c>
      <c r="C122" s="829" t="s">
        <v>723</v>
      </c>
      <c r="D122" s="829" t="s">
        <v>1401</v>
      </c>
      <c r="E122" s="830" t="s">
        <v>1440</v>
      </c>
      <c r="F122" s="833"/>
      <c r="G122" s="833"/>
      <c r="H122" s="851"/>
      <c r="I122" s="851"/>
      <c r="J122" s="851"/>
      <c r="K122" s="900"/>
      <c r="L122" s="901"/>
      <c r="M122" s="901"/>
      <c r="N122" s="901"/>
      <c r="O122" s="901"/>
      <c r="P122" s="901"/>
      <c r="Q122" s="839"/>
      <c r="R122" s="914">
        <v>1</v>
      </c>
      <c r="S122" s="915">
        <v>1</v>
      </c>
      <c r="T122" s="1068">
        <f>S122</f>
        <v>1</v>
      </c>
      <c r="U122" s="1068">
        <f t="shared" ref="U122:AD122" si="37">T122</f>
        <v>1</v>
      </c>
      <c r="V122" s="1068">
        <f t="shared" si="37"/>
        <v>1</v>
      </c>
      <c r="W122" s="1068">
        <f t="shared" si="37"/>
        <v>1</v>
      </c>
      <c r="X122" s="1068">
        <f t="shared" si="37"/>
        <v>1</v>
      </c>
      <c r="Y122" s="1068">
        <f t="shared" si="37"/>
        <v>1</v>
      </c>
      <c r="Z122" s="1068">
        <f t="shared" si="37"/>
        <v>1</v>
      </c>
      <c r="AA122" s="1068">
        <f t="shared" si="37"/>
        <v>1</v>
      </c>
      <c r="AB122" s="1068">
        <f t="shared" si="37"/>
        <v>1</v>
      </c>
      <c r="AC122" s="1068">
        <f t="shared" si="37"/>
        <v>1</v>
      </c>
      <c r="AD122" s="1068">
        <f t="shared" si="37"/>
        <v>1</v>
      </c>
      <c r="AE122" s="916"/>
      <c r="AF122" s="917"/>
      <c r="AG122" s="918"/>
      <c r="AH122" s="918"/>
      <c r="AI122" s="918"/>
      <c r="AJ122" s="918"/>
      <c r="AK122" s="918"/>
      <c r="AL122" s="918"/>
      <c r="AM122" s="918"/>
      <c r="AN122" s="918"/>
      <c r="AO122" s="918"/>
      <c r="AP122" s="918"/>
      <c r="AQ122" s="918"/>
      <c r="AR122" s="918"/>
      <c r="AS122" s="918"/>
      <c r="AT122" s="918"/>
      <c r="AU122" s="918"/>
      <c r="AV122" s="918"/>
      <c r="AW122" s="918"/>
      <c r="AX122" s="918"/>
      <c r="AY122" s="918"/>
      <c r="AZ122" s="918"/>
      <c r="BA122" s="918"/>
      <c r="BB122" s="918"/>
      <c r="BC122" s="918"/>
      <c r="BD122" s="918"/>
    </row>
    <row r="123" spans="1:56" s="800" customFormat="1" ht="14.25" customHeight="1" x14ac:dyDescent="0.25">
      <c r="A123" s="799"/>
      <c r="B123" s="828" t="s">
        <v>1407</v>
      </c>
      <c r="C123" s="829" t="s">
        <v>695</v>
      </c>
      <c r="D123" s="829" t="s">
        <v>1401</v>
      </c>
      <c r="E123" s="830" t="s">
        <v>1438</v>
      </c>
      <c r="F123" s="833"/>
      <c r="G123" s="833"/>
      <c r="H123" s="851"/>
      <c r="I123" s="851"/>
      <c r="J123" s="851"/>
      <c r="K123" s="900"/>
      <c r="L123" s="901"/>
      <c r="M123" s="901"/>
      <c r="N123" s="901"/>
      <c r="O123" s="901"/>
      <c r="P123" s="901"/>
      <c r="Q123" s="839"/>
      <c r="R123" s="914">
        <v>0.90400000000000003</v>
      </c>
      <c r="S123" s="915">
        <v>0.90400000000000003</v>
      </c>
      <c r="T123" s="1068">
        <f>S123*1.02</f>
        <v>0.92208000000000001</v>
      </c>
      <c r="U123" s="1068">
        <f t="shared" ref="U123:X123" si="38">T123*1.02</f>
        <v>0.94052160000000007</v>
      </c>
      <c r="V123" s="1068">
        <f t="shared" si="38"/>
        <v>0.95933203200000006</v>
      </c>
      <c r="W123" s="1068">
        <f t="shared" si="38"/>
        <v>0.97851867264000003</v>
      </c>
      <c r="X123" s="1068">
        <f t="shared" si="38"/>
        <v>0.99808904609280003</v>
      </c>
      <c r="Y123" s="1068">
        <v>1</v>
      </c>
      <c r="Z123" s="1068">
        <v>1</v>
      </c>
      <c r="AA123" s="1068">
        <v>1</v>
      </c>
      <c r="AB123" s="1068">
        <v>1</v>
      </c>
      <c r="AC123" s="1068">
        <v>1</v>
      </c>
      <c r="AD123" s="1068">
        <v>1</v>
      </c>
      <c r="AE123" s="916"/>
      <c r="AF123" s="917"/>
      <c r="AG123" s="918"/>
      <c r="AH123" s="918"/>
      <c r="AI123" s="918"/>
      <c r="AJ123" s="918"/>
      <c r="AK123" s="918"/>
      <c r="AL123" s="918"/>
      <c r="AM123" s="918"/>
      <c r="AN123" s="918"/>
      <c r="AO123" s="918"/>
      <c r="AP123" s="918"/>
      <c r="AQ123" s="918"/>
      <c r="AR123" s="918"/>
      <c r="AS123" s="918"/>
      <c r="AT123" s="918"/>
      <c r="AU123" s="918"/>
      <c r="AV123" s="918"/>
      <c r="AW123" s="918"/>
      <c r="AX123" s="918"/>
      <c r="AY123" s="918"/>
      <c r="AZ123" s="918"/>
      <c r="BA123" s="918"/>
      <c r="BB123" s="918"/>
      <c r="BC123" s="918"/>
      <c r="BD123" s="918"/>
    </row>
    <row r="124" spans="1:56" s="800" customFormat="1" ht="14.25" customHeight="1" x14ac:dyDescent="0.25">
      <c r="A124" s="799"/>
      <c r="B124" s="828" t="s">
        <v>1408</v>
      </c>
      <c r="C124" s="828"/>
      <c r="D124" s="828"/>
      <c r="E124" s="830"/>
      <c r="F124" s="833"/>
      <c r="G124" s="833"/>
      <c r="H124" s="851"/>
      <c r="I124" s="851"/>
      <c r="J124" s="851"/>
      <c r="K124" s="900"/>
      <c r="L124" s="901"/>
      <c r="M124" s="901"/>
      <c r="N124" s="901"/>
      <c r="O124" s="901"/>
      <c r="P124" s="901"/>
      <c r="Q124" s="839"/>
      <c r="R124" s="839"/>
      <c r="S124" s="866"/>
      <c r="T124" s="1068"/>
      <c r="U124" s="1068"/>
      <c r="V124" s="1068"/>
      <c r="W124" s="1068"/>
      <c r="X124" s="1068"/>
      <c r="Y124" s="1068"/>
      <c r="Z124" s="1068"/>
      <c r="AA124" s="1068"/>
      <c r="AB124" s="1068"/>
      <c r="AC124" s="1068"/>
      <c r="AD124" s="1068"/>
      <c r="AE124" s="916"/>
      <c r="AF124" s="917"/>
      <c r="AG124" s="918"/>
      <c r="AH124" s="918"/>
      <c r="AI124" s="918"/>
      <c r="AJ124" s="918"/>
      <c r="AK124" s="918"/>
      <c r="AL124" s="918"/>
      <c r="AM124" s="918"/>
      <c r="AN124" s="918"/>
      <c r="AO124" s="918"/>
      <c r="AP124" s="918"/>
      <c r="AQ124" s="918"/>
      <c r="AR124" s="918"/>
      <c r="AS124" s="918"/>
      <c r="AT124" s="918"/>
      <c r="AU124" s="918"/>
      <c r="AV124" s="918"/>
      <c r="AW124" s="918"/>
      <c r="AX124" s="918"/>
      <c r="AY124" s="918"/>
      <c r="AZ124" s="918"/>
      <c r="BA124" s="918"/>
      <c r="BB124" s="918"/>
      <c r="BC124" s="918"/>
      <c r="BD124" s="918"/>
    </row>
    <row r="125" spans="1:56" s="800" customFormat="1" ht="14.25" customHeight="1" x14ac:dyDescent="0.25">
      <c r="A125" s="799"/>
      <c r="B125" s="840" t="s">
        <v>1409</v>
      </c>
      <c r="C125" s="840"/>
      <c r="D125" s="840"/>
      <c r="E125" s="830"/>
      <c r="F125" s="833"/>
      <c r="G125" s="833"/>
      <c r="H125" s="851"/>
      <c r="I125" s="851"/>
      <c r="J125" s="851"/>
      <c r="K125" s="900"/>
      <c r="L125" s="901"/>
      <c r="M125" s="901"/>
      <c r="N125" s="901"/>
      <c r="O125" s="901"/>
      <c r="P125" s="901"/>
      <c r="Q125" s="839"/>
      <c r="R125" s="839"/>
      <c r="S125" s="866"/>
      <c r="T125" s="919" t="s">
        <v>1482</v>
      </c>
      <c r="U125" s="920"/>
      <c r="V125" s="920"/>
      <c r="W125" s="920"/>
      <c r="X125" s="920"/>
      <c r="Y125" s="920"/>
      <c r="Z125" s="920"/>
      <c r="AA125" s="920"/>
      <c r="AB125" s="920"/>
      <c r="AC125" s="920"/>
      <c r="AD125" s="920"/>
      <c r="AE125" s="920"/>
      <c r="AF125" s="920"/>
      <c r="AG125" s="921"/>
      <c r="AH125" s="921"/>
      <c r="AI125" s="921"/>
      <c r="AJ125" s="921"/>
      <c r="AK125" s="921"/>
      <c r="AL125" s="921"/>
      <c r="AM125" s="921"/>
      <c r="AN125" s="921"/>
      <c r="AO125" s="921"/>
      <c r="AP125" s="921"/>
      <c r="AQ125" s="921"/>
      <c r="AR125" s="921"/>
      <c r="AS125" s="921"/>
      <c r="AT125" s="921"/>
      <c r="AU125" s="921"/>
      <c r="AV125" s="921"/>
      <c r="AW125" s="918"/>
      <c r="AX125" s="918"/>
      <c r="AY125" s="918"/>
      <c r="AZ125" s="918"/>
      <c r="BA125" s="918"/>
      <c r="BB125" s="918"/>
      <c r="BC125" s="918"/>
      <c r="BD125" s="918"/>
    </row>
    <row r="126" spans="1:56" s="800" customFormat="1" ht="14.25" customHeight="1" x14ac:dyDescent="0.25">
      <c r="A126" s="799"/>
      <c r="B126" s="840" t="s">
        <v>1441</v>
      </c>
      <c r="C126" s="841" t="s">
        <v>1411</v>
      </c>
      <c r="D126" s="841" t="s">
        <v>1412</v>
      </c>
      <c r="E126" s="830" t="s">
        <v>1439</v>
      </c>
      <c r="F126" s="833"/>
      <c r="G126" s="833"/>
      <c r="H126" s="851"/>
      <c r="I126" s="851"/>
      <c r="J126" s="851"/>
      <c r="K126" s="900"/>
      <c r="L126" s="901"/>
      <c r="M126" s="901"/>
      <c r="N126" s="901"/>
      <c r="O126" s="901"/>
      <c r="P126" s="901"/>
      <c r="Q126" s="839"/>
      <c r="R126" s="839"/>
      <c r="S126" s="915">
        <v>0.15</v>
      </c>
      <c r="T126" s="1068">
        <f>S126*1.07</f>
        <v>0.1605</v>
      </c>
      <c r="U126" s="1068">
        <f t="shared" ref="U126" si="39">T126*1.07</f>
        <v>0.17173500000000003</v>
      </c>
      <c r="V126" s="1068">
        <f>U126*1.14</f>
        <v>0.1957779</v>
      </c>
      <c r="W126" s="1068">
        <f t="shared" ref="W126:AD126" si="40">V126*1.14</f>
        <v>0.22318680599999999</v>
      </c>
      <c r="X126" s="1068">
        <f t="shared" si="40"/>
        <v>0.25443295883999995</v>
      </c>
      <c r="Y126" s="1068">
        <f t="shared" si="40"/>
        <v>0.29005357307759994</v>
      </c>
      <c r="Z126" s="1068">
        <f t="shared" si="40"/>
        <v>0.33066107330846389</v>
      </c>
      <c r="AA126" s="1068">
        <f t="shared" si="40"/>
        <v>0.3769536235716488</v>
      </c>
      <c r="AB126" s="1068">
        <f t="shared" si="40"/>
        <v>0.42972713087167957</v>
      </c>
      <c r="AC126" s="1068">
        <f t="shared" si="40"/>
        <v>0.48988892919371468</v>
      </c>
      <c r="AD126" s="1068">
        <f t="shared" si="40"/>
        <v>0.55847337928083474</v>
      </c>
      <c r="AE126" s="917"/>
      <c r="AF126" s="917"/>
      <c r="AG126" s="918"/>
      <c r="AH126" s="918"/>
      <c r="AI126" s="918"/>
      <c r="AJ126" s="918"/>
      <c r="AK126" s="918"/>
      <c r="AL126" s="918"/>
      <c r="AM126" s="918"/>
      <c r="AN126" s="918"/>
      <c r="AO126" s="918"/>
      <c r="AP126" s="918"/>
      <c r="AQ126" s="918"/>
      <c r="AR126" s="918"/>
      <c r="AS126" s="918"/>
      <c r="AT126" s="918"/>
      <c r="AU126" s="918"/>
      <c r="AV126" s="918"/>
      <c r="AW126" s="918"/>
      <c r="AX126" s="918"/>
      <c r="AY126" s="918"/>
      <c r="AZ126" s="918"/>
      <c r="BA126" s="918"/>
      <c r="BB126" s="918"/>
      <c r="BC126" s="918"/>
      <c r="BD126" s="918"/>
    </row>
    <row r="127" spans="1:56" s="800" customFormat="1" ht="14.25" customHeight="1" x14ac:dyDescent="0.25">
      <c r="A127" s="799"/>
      <c r="B127" s="840" t="s">
        <v>1442</v>
      </c>
      <c r="C127" s="841" t="s">
        <v>1414</v>
      </c>
      <c r="D127" s="841" t="s">
        <v>1412</v>
      </c>
      <c r="E127" s="830" t="s">
        <v>1438</v>
      </c>
      <c r="F127" s="833"/>
      <c r="G127" s="833"/>
      <c r="H127" s="851"/>
      <c r="I127" s="851"/>
      <c r="J127" s="851"/>
      <c r="K127" s="900"/>
      <c r="L127" s="901"/>
      <c r="M127" s="901"/>
      <c r="N127" s="901"/>
      <c r="O127" s="901"/>
      <c r="P127" s="922"/>
      <c r="Q127" s="922"/>
      <c r="R127" s="922"/>
      <c r="S127" s="915">
        <v>0.15</v>
      </c>
      <c r="T127" s="1069">
        <f>T126</f>
        <v>0.1605</v>
      </c>
      <c r="U127" s="1069">
        <f t="shared" ref="U127:AD127" si="41">U126</f>
        <v>0.17173500000000003</v>
      </c>
      <c r="V127" s="1069">
        <f t="shared" si="41"/>
        <v>0.1957779</v>
      </c>
      <c r="W127" s="1069">
        <f t="shared" si="41"/>
        <v>0.22318680599999999</v>
      </c>
      <c r="X127" s="1069">
        <f t="shared" si="41"/>
        <v>0.25443295883999995</v>
      </c>
      <c r="Y127" s="1069">
        <f t="shared" si="41"/>
        <v>0.29005357307759994</v>
      </c>
      <c r="Z127" s="1069">
        <f t="shared" si="41"/>
        <v>0.33066107330846389</v>
      </c>
      <c r="AA127" s="1069">
        <f t="shared" si="41"/>
        <v>0.3769536235716488</v>
      </c>
      <c r="AB127" s="1069">
        <f t="shared" si="41"/>
        <v>0.42972713087167957</v>
      </c>
      <c r="AC127" s="1069">
        <f t="shared" si="41"/>
        <v>0.48988892919371468</v>
      </c>
      <c r="AD127" s="1069">
        <f t="shared" si="41"/>
        <v>0.55847337928083474</v>
      </c>
      <c r="AE127" s="917"/>
      <c r="AF127" s="917"/>
      <c r="AG127" s="918"/>
      <c r="AH127" s="918"/>
      <c r="AI127" s="918"/>
      <c r="AJ127" s="918"/>
      <c r="AK127" s="918"/>
      <c r="AL127" s="918"/>
      <c r="AM127" s="918"/>
      <c r="AN127" s="918"/>
      <c r="AO127" s="918"/>
      <c r="AP127" s="918"/>
      <c r="AQ127" s="918"/>
      <c r="AR127" s="918"/>
      <c r="AS127" s="918"/>
      <c r="AT127" s="918"/>
      <c r="AU127" s="918"/>
      <c r="AV127" s="918"/>
      <c r="AW127" s="918"/>
      <c r="AX127" s="918"/>
      <c r="AY127" s="918"/>
      <c r="AZ127" s="918"/>
      <c r="BA127" s="918"/>
      <c r="BB127" s="918"/>
      <c r="BC127" s="918"/>
      <c r="BD127" s="918"/>
    </row>
    <row r="128" spans="1:56" s="800" customFormat="1" ht="14.25" customHeight="1" x14ac:dyDescent="0.25">
      <c r="A128" s="799"/>
      <c r="B128" s="840" t="s">
        <v>1415</v>
      </c>
      <c r="C128" s="841" t="s">
        <v>1416</v>
      </c>
      <c r="D128" s="841" t="s">
        <v>1412</v>
      </c>
      <c r="E128" s="830" t="s">
        <v>1439</v>
      </c>
      <c r="F128" s="833"/>
      <c r="G128" s="833"/>
      <c r="K128" s="839"/>
      <c r="L128" s="922"/>
      <c r="M128" s="922"/>
      <c r="N128" s="901"/>
      <c r="O128" s="922"/>
      <c r="P128" s="922"/>
      <c r="Q128" s="922"/>
      <c r="R128" s="922"/>
      <c r="S128" s="924"/>
      <c r="T128" s="1069">
        <v>0.1</v>
      </c>
      <c r="U128" s="1069">
        <f>T128*1.05</f>
        <v>0.10500000000000001</v>
      </c>
      <c r="V128" s="1069">
        <f>U128*1.05</f>
        <v>0.11025000000000001</v>
      </c>
      <c r="W128" s="1069">
        <f>V128*1.1</f>
        <v>0.12127500000000002</v>
      </c>
      <c r="X128" s="1069">
        <f t="shared" ref="X128:AD128" si="42">W128*1.1</f>
        <v>0.13340250000000003</v>
      </c>
      <c r="Y128" s="1069">
        <f t="shared" si="42"/>
        <v>0.14674275000000006</v>
      </c>
      <c r="Z128" s="1069">
        <f t="shared" si="42"/>
        <v>0.16141702500000008</v>
      </c>
      <c r="AA128" s="1069">
        <f t="shared" si="42"/>
        <v>0.1775587275000001</v>
      </c>
      <c r="AB128" s="1069">
        <f t="shared" si="42"/>
        <v>0.19531460025000011</v>
      </c>
      <c r="AC128" s="1069">
        <f t="shared" si="42"/>
        <v>0.21484606027500014</v>
      </c>
      <c r="AD128" s="1069">
        <f t="shared" si="42"/>
        <v>0.23633066630250016</v>
      </c>
      <c r="AE128" s="923"/>
      <c r="AF128" s="923"/>
      <c r="AG128" s="925"/>
      <c r="AH128" s="925"/>
      <c r="AI128" s="925"/>
      <c r="AJ128" s="925"/>
      <c r="AK128" s="925"/>
      <c r="AL128" s="925"/>
      <c r="AM128" s="925"/>
      <c r="AN128" s="925"/>
      <c r="AO128" s="925"/>
      <c r="AP128" s="925"/>
      <c r="AQ128" s="925"/>
      <c r="AR128" s="925"/>
      <c r="AS128" s="925"/>
      <c r="AT128" s="925"/>
      <c r="AU128" s="925"/>
      <c r="AV128" s="925"/>
      <c r="AW128" s="925"/>
      <c r="AX128" s="925"/>
      <c r="AY128" s="925"/>
      <c r="AZ128" s="925"/>
      <c r="BA128" s="925"/>
      <c r="BB128" s="925"/>
      <c r="BC128" s="925"/>
      <c r="BD128" s="925"/>
    </row>
    <row r="129" spans="1:56" s="800" customFormat="1" ht="14.25" customHeight="1" x14ac:dyDescent="0.25">
      <c r="A129" s="799"/>
      <c r="B129" s="828" t="s">
        <v>1417</v>
      </c>
      <c r="C129" s="828"/>
      <c r="D129" s="828"/>
      <c r="E129" s="830" t="s">
        <v>1440</v>
      </c>
      <c r="F129" s="833"/>
      <c r="G129" s="833"/>
      <c r="K129" s="839"/>
      <c r="L129" s="922"/>
      <c r="M129" s="922"/>
      <c r="N129" s="901"/>
      <c r="O129" s="922"/>
      <c r="P129" s="922"/>
      <c r="Q129" s="926"/>
      <c r="R129" s="926"/>
      <c r="S129" s="927"/>
      <c r="T129" s="1068"/>
      <c r="U129" s="1068"/>
      <c r="V129" s="1068"/>
      <c r="W129" s="1068"/>
      <c r="X129" s="1068"/>
      <c r="Y129" s="1068"/>
      <c r="Z129" s="1068"/>
      <c r="AA129" s="1068"/>
      <c r="AB129" s="1068"/>
      <c r="AC129" s="1068"/>
      <c r="AD129" s="1068"/>
      <c r="AE129" s="916"/>
      <c r="AF129" s="916"/>
      <c r="AG129" s="928"/>
      <c r="AH129" s="928"/>
      <c r="AI129" s="928"/>
      <c r="AJ129" s="928"/>
      <c r="AK129" s="928"/>
      <c r="AL129" s="928"/>
      <c r="AM129" s="928"/>
      <c r="AN129" s="928"/>
      <c r="AO129" s="928"/>
      <c r="AP129" s="928"/>
      <c r="AQ129" s="928"/>
      <c r="AR129" s="928"/>
      <c r="AS129" s="928"/>
      <c r="AT129" s="928"/>
      <c r="AU129" s="928"/>
      <c r="AV129" s="928"/>
      <c r="AW129" s="928"/>
      <c r="AX129" s="928"/>
      <c r="AY129" s="928"/>
      <c r="AZ129" s="928"/>
      <c r="BA129" s="928"/>
      <c r="BB129" s="928"/>
      <c r="BC129" s="928"/>
      <c r="BD129" s="928"/>
    </row>
    <row r="130" spans="1:56" s="800" customFormat="1" ht="14.25" customHeight="1" x14ac:dyDescent="0.25">
      <c r="A130" s="799"/>
      <c r="B130" s="840" t="s">
        <v>1418</v>
      </c>
      <c r="C130" s="841" t="s">
        <v>1419</v>
      </c>
      <c r="D130" s="829" t="s">
        <v>1401</v>
      </c>
      <c r="E130" s="830" t="s">
        <v>1438</v>
      </c>
      <c r="F130" s="833"/>
      <c r="G130" s="833"/>
      <c r="K130" s="839"/>
      <c r="L130" s="922"/>
      <c r="M130" s="922"/>
      <c r="N130" s="901"/>
      <c r="O130" s="922"/>
      <c r="P130" s="922"/>
      <c r="Q130" s="926"/>
      <c r="R130" s="926"/>
      <c r="S130" s="929"/>
      <c r="T130" s="1068"/>
      <c r="U130" s="1068"/>
      <c r="V130" s="1068">
        <v>0.1</v>
      </c>
      <c r="W130" s="1068">
        <f>V130*1.02</f>
        <v>0.10200000000000001</v>
      </c>
      <c r="X130" s="1068">
        <f t="shared" ref="X130:AD130" si="43">W130*1.02</f>
        <v>0.10404000000000001</v>
      </c>
      <c r="Y130" s="1068">
        <f t="shared" si="43"/>
        <v>0.10612080000000002</v>
      </c>
      <c r="Z130" s="1068">
        <f t="shared" si="43"/>
        <v>0.10824321600000002</v>
      </c>
      <c r="AA130" s="1068">
        <f t="shared" si="43"/>
        <v>0.11040808032000002</v>
      </c>
      <c r="AB130" s="1068">
        <f t="shared" si="43"/>
        <v>0.11261624192640002</v>
      </c>
      <c r="AC130" s="1068">
        <f t="shared" si="43"/>
        <v>0.11486856676492802</v>
      </c>
      <c r="AD130" s="1068">
        <f t="shared" si="43"/>
        <v>0.11716593810022657</v>
      </c>
      <c r="AE130" s="916"/>
      <c r="AF130" s="916"/>
      <c r="AG130" s="928"/>
      <c r="AH130" s="928"/>
      <c r="AI130" s="928"/>
      <c r="AJ130" s="928"/>
      <c r="AK130" s="928"/>
      <c r="AL130" s="928"/>
      <c r="AM130" s="928"/>
      <c r="AN130" s="928"/>
      <c r="AO130" s="928"/>
      <c r="AP130" s="928"/>
      <c r="AQ130" s="928"/>
      <c r="AR130" s="928"/>
      <c r="AS130" s="928"/>
      <c r="AT130" s="928"/>
      <c r="AU130" s="928"/>
      <c r="AV130" s="928"/>
      <c r="AW130" s="928"/>
      <c r="AX130" s="928"/>
      <c r="AY130" s="928"/>
      <c r="AZ130" s="928"/>
      <c r="BA130" s="928"/>
      <c r="BB130" s="928"/>
      <c r="BC130" s="928"/>
      <c r="BD130" s="928"/>
    </row>
    <row r="131" spans="1:56" s="800" customFormat="1" ht="14.25" customHeight="1" x14ac:dyDescent="0.25">
      <c r="A131" s="799"/>
      <c r="B131" s="840" t="s">
        <v>1420</v>
      </c>
      <c r="C131" s="841" t="s">
        <v>1421</v>
      </c>
      <c r="D131" s="829" t="s">
        <v>1401</v>
      </c>
      <c r="E131" s="830" t="s">
        <v>1439</v>
      </c>
      <c r="F131" s="833"/>
      <c r="G131" s="833"/>
      <c r="K131" s="839"/>
      <c r="L131" s="922"/>
      <c r="M131" s="922"/>
      <c r="N131" s="901"/>
      <c r="O131" s="922"/>
      <c r="P131" s="922"/>
      <c r="Q131" s="926"/>
      <c r="R131" s="926"/>
      <c r="S131" s="929"/>
      <c r="T131" s="1068"/>
      <c r="U131" s="1068"/>
      <c r="V131" s="1068">
        <f>V130</f>
        <v>0.1</v>
      </c>
      <c r="W131" s="1068">
        <f t="shared" ref="W131:AD131" si="44">W130</f>
        <v>0.10200000000000001</v>
      </c>
      <c r="X131" s="1068">
        <f t="shared" si="44"/>
        <v>0.10404000000000001</v>
      </c>
      <c r="Y131" s="1068">
        <f t="shared" si="44"/>
        <v>0.10612080000000002</v>
      </c>
      <c r="Z131" s="1068">
        <f t="shared" si="44"/>
        <v>0.10824321600000002</v>
      </c>
      <c r="AA131" s="1068">
        <f t="shared" si="44"/>
        <v>0.11040808032000002</v>
      </c>
      <c r="AB131" s="1068">
        <f t="shared" si="44"/>
        <v>0.11261624192640002</v>
      </c>
      <c r="AC131" s="1068">
        <f t="shared" si="44"/>
        <v>0.11486856676492802</v>
      </c>
      <c r="AD131" s="1068">
        <f t="shared" si="44"/>
        <v>0.11716593810022657</v>
      </c>
      <c r="AE131" s="916"/>
      <c r="AF131" s="916"/>
      <c r="AG131" s="928"/>
      <c r="AH131" s="928"/>
      <c r="AI131" s="928"/>
      <c r="AJ131" s="928"/>
      <c r="AK131" s="928"/>
      <c r="AL131" s="928"/>
      <c r="AM131" s="928"/>
      <c r="AN131" s="928"/>
      <c r="AO131" s="928"/>
      <c r="AP131" s="928"/>
      <c r="AQ131" s="928"/>
      <c r="AR131" s="928"/>
      <c r="AS131" s="928"/>
      <c r="AT131" s="928"/>
      <c r="AU131" s="928"/>
      <c r="AV131" s="928"/>
      <c r="AW131" s="928"/>
      <c r="AX131" s="928"/>
      <c r="AY131" s="928"/>
      <c r="AZ131" s="928"/>
      <c r="BA131" s="928"/>
      <c r="BB131" s="928"/>
      <c r="BC131" s="928"/>
      <c r="BD131" s="928"/>
    </row>
    <row r="132" spans="1:56" s="800" customFormat="1" ht="14.25" customHeight="1" x14ac:dyDescent="0.25">
      <c r="A132" s="799"/>
      <c r="B132" s="828" t="s">
        <v>1422</v>
      </c>
      <c r="C132" s="828"/>
      <c r="D132" s="828"/>
      <c r="E132" s="830" t="s">
        <v>1440</v>
      </c>
      <c r="F132" s="833"/>
      <c r="G132" s="833"/>
      <c r="K132" s="839"/>
      <c r="L132" s="922"/>
      <c r="M132" s="922"/>
      <c r="N132" s="901"/>
      <c r="O132" s="922"/>
      <c r="P132" s="922"/>
      <c r="Q132" s="926"/>
      <c r="R132" s="926"/>
      <c r="S132" s="929"/>
      <c r="T132" s="1068"/>
      <c r="U132" s="1068"/>
      <c r="V132" s="1068"/>
      <c r="W132" s="1068"/>
      <c r="X132" s="1068"/>
      <c r="Y132" s="1068"/>
      <c r="Z132" s="1068"/>
      <c r="AA132" s="1068"/>
      <c r="AB132" s="1068"/>
      <c r="AC132" s="1068"/>
      <c r="AD132" s="1068"/>
      <c r="AE132" s="916"/>
      <c r="AF132" s="916"/>
      <c r="AG132" s="928"/>
      <c r="AH132" s="928"/>
      <c r="AI132" s="928"/>
      <c r="AJ132" s="928"/>
      <c r="AK132" s="928"/>
      <c r="AL132" s="928"/>
      <c r="AM132" s="928"/>
      <c r="AN132" s="928"/>
      <c r="AO132" s="928"/>
      <c r="AP132" s="928"/>
      <c r="AQ132" s="928"/>
      <c r="AR132" s="928"/>
      <c r="AS132" s="928"/>
      <c r="AT132" s="928"/>
      <c r="AU132" s="928"/>
      <c r="AV132" s="928"/>
      <c r="AW132" s="928"/>
      <c r="AX132" s="928"/>
      <c r="AY132" s="928"/>
      <c r="AZ132" s="928"/>
      <c r="BA132" s="928"/>
      <c r="BB132" s="928"/>
      <c r="BC132" s="928"/>
      <c r="BD132" s="928"/>
    </row>
    <row r="133" spans="1:56" s="800" customFormat="1" ht="14.25" customHeight="1" x14ac:dyDescent="0.25">
      <c r="A133" s="799"/>
      <c r="B133" s="840" t="s">
        <v>1423</v>
      </c>
      <c r="C133" s="841" t="s">
        <v>1424</v>
      </c>
      <c r="D133" s="841" t="s">
        <v>1412</v>
      </c>
      <c r="E133" s="830" t="s">
        <v>1438</v>
      </c>
      <c r="F133" s="833"/>
      <c r="G133" s="833"/>
      <c r="K133" s="839"/>
      <c r="L133" s="922"/>
      <c r="M133" s="922"/>
      <c r="N133" s="901"/>
      <c r="O133" s="922"/>
      <c r="P133" s="922"/>
      <c r="Q133" s="926"/>
      <c r="R133" s="926"/>
      <c r="S133" s="929"/>
      <c r="T133" s="1068"/>
      <c r="U133" s="1068"/>
      <c r="V133" s="1068"/>
      <c r="W133" s="1068">
        <v>0.1</v>
      </c>
      <c r="X133" s="1068">
        <f>W133*1.06</f>
        <v>0.10600000000000001</v>
      </c>
      <c r="Y133" s="1068">
        <f t="shared" ref="Y133" si="45">X133*1.06</f>
        <v>0.11236000000000002</v>
      </c>
      <c r="Z133" s="1068">
        <f>Y133*1.08</f>
        <v>0.12134880000000002</v>
      </c>
      <c r="AA133" s="1068">
        <f t="shared" ref="AA133:AD133" si="46">Z133*1.08</f>
        <v>0.13105670400000002</v>
      </c>
      <c r="AB133" s="1068">
        <f t="shared" si="46"/>
        <v>0.14154124032000004</v>
      </c>
      <c r="AC133" s="1068">
        <f t="shared" si="46"/>
        <v>0.15286453954560006</v>
      </c>
      <c r="AD133" s="1068">
        <f t="shared" si="46"/>
        <v>0.16509370270924809</v>
      </c>
      <c r="AE133" s="916"/>
      <c r="AF133" s="916"/>
      <c r="AG133" s="928"/>
      <c r="AH133" s="928"/>
      <c r="AI133" s="928"/>
      <c r="AJ133" s="928"/>
      <c r="AK133" s="928"/>
      <c r="AL133" s="928"/>
      <c r="AM133" s="928"/>
      <c r="AN133" s="928"/>
      <c r="AO133" s="928"/>
      <c r="AP133" s="928"/>
      <c r="AQ133" s="928"/>
      <c r="AR133" s="928"/>
      <c r="AS133" s="928"/>
      <c r="AT133" s="928"/>
      <c r="AU133" s="928"/>
      <c r="AV133" s="928"/>
      <c r="AW133" s="928"/>
      <c r="AX133" s="928"/>
      <c r="AY133" s="928"/>
      <c r="AZ133" s="928"/>
      <c r="BA133" s="928"/>
      <c r="BB133" s="928"/>
      <c r="BC133" s="928"/>
      <c r="BD133" s="928"/>
    </row>
    <row r="134" spans="1:56" s="800" customFormat="1" ht="14.25" customHeight="1" x14ac:dyDescent="0.25">
      <c r="A134" s="799"/>
      <c r="B134" s="840" t="s">
        <v>1425</v>
      </c>
      <c r="C134" s="841" t="s">
        <v>1426</v>
      </c>
      <c r="D134" s="829" t="s">
        <v>1401</v>
      </c>
      <c r="E134" s="830" t="s">
        <v>1439</v>
      </c>
      <c r="F134" s="833"/>
      <c r="G134" s="833"/>
      <c r="K134" s="839"/>
      <c r="L134" s="922"/>
      <c r="M134" s="922"/>
      <c r="N134" s="901"/>
      <c r="O134" s="922"/>
      <c r="P134" s="922"/>
      <c r="Q134" s="926"/>
      <c r="R134" s="926"/>
      <c r="S134" s="929"/>
      <c r="T134" s="1068"/>
      <c r="U134" s="1068"/>
      <c r="V134" s="1068"/>
      <c r="W134" s="1068"/>
      <c r="X134" s="1068"/>
      <c r="Y134" s="1068"/>
      <c r="Z134" s="1068">
        <v>0.1</v>
      </c>
      <c r="AA134" s="1068">
        <f>Z134*1.03</f>
        <v>0.10300000000000001</v>
      </c>
      <c r="AB134" s="1068">
        <f t="shared" ref="AB134:AD134" si="47">AA134*1.03</f>
        <v>0.10609000000000002</v>
      </c>
      <c r="AC134" s="1068">
        <f t="shared" si="47"/>
        <v>0.10927270000000001</v>
      </c>
      <c r="AD134" s="1068">
        <f t="shared" si="47"/>
        <v>0.11255088100000002</v>
      </c>
      <c r="AE134" s="916"/>
      <c r="AF134" s="916"/>
      <c r="AG134" s="928"/>
      <c r="AH134" s="928"/>
      <c r="AI134" s="928"/>
      <c r="AJ134" s="928"/>
      <c r="AK134" s="928"/>
      <c r="AL134" s="928"/>
      <c r="AM134" s="928"/>
      <c r="AN134" s="928"/>
      <c r="AO134" s="928"/>
      <c r="AP134" s="928"/>
      <c r="AQ134" s="928"/>
      <c r="AR134" s="928"/>
      <c r="AS134" s="928"/>
      <c r="AT134" s="928"/>
      <c r="AU134" s="928"/>
      <c r="AV134" s="928"/>
      <c r="AW134" s="928"/>
      <c r="AX134" s="928"/>
      <c r="AY134" s="928"/>
      <c r="AZ134" s="928"/>
      <c r="BA134" s="928"/>
      <c r="BB134" s="928"/>
      <c r="BC134" s="928"/>
      <c r="BD134" s="928"/>
    </row>
    <row r="135" spans="1:56" s="800" customFormat="1" ht="14.25" customHeight="1" x14ac:dyDescent="0.25">
      <c r="A135" s="799"/>
      <c r="B135" s="840" t="s">
        <v>1427</v>
      </c>
      <c r="C135" s="841" t="s">
        <v>1428</v>
      </c>
      <c r="D135" s="829" t="s">
        <v>1401</v>
      </c>
      <c r="E135" s="830" t="s">
        <v>1438</v>
      </c>
      <c r="F135" s="833"/>
      <c r="G135" s="833"/>
      <c r="K135" s="839"/>
      <c r="L135" s="922"/>
      <c r="M135" s="922"/>
      <c r="N135" s="901"/>
      <c r="O135" s="922"/>
      <c r="P135" s="922"/>
      <c r="Q135" s="926"/>
      <c r="R135" s="926"/>
      <c r="S135" s="929"/>
      <c r="T135" s="1068"/>
      <c r="U135" s="1068"/>
      <c r="V135" s="1068"/>
      <c r="W135" s="1068"/>
      <c r="X135" s="1068">
        <v>0.1</v>
      </c>
      <c r="Y135" s="1068">
        <f>X135*1.03</f>
        <v>0.10300000000000001</v>
      </c>
      <c r="Z135" s="1068">
        <f t="shared" ref="Z135:AD135" si="48">Y135*1.03</f>
        <v>0.10609000000000002</v>
      </c>
      <c r="AA135" s="1068">
        <f t="shared" si="48"/>
        <v>0.10927270000000001</v>
      </c>
      <c r="AB135" s="1068">
        <f t="shared" si="48"/>
        <v>0.11255088100000002</v>
      </c>
      <c r="AC135" s="1068">
        <f t="shared" si="48"/>
        <v>0.11592740743000002</v>
      </c>
      <c r="AD135" s="1068">
        <f t="shared" si="48"/>
        <v>0.11940522965290003</v>
      </c>
      <c r="AE135" s="916"/>
      <c r="AF135" s="916"/>
      <c r="AG135" s="928"/>
      <c r="AH135" s="928"/>
      <c r="AI135" s="928"/>
      <c r="AJ135" s="928"/>
      <c r="AK135" s="928"/>
      <c r="AL135" s="928"/>
      <c r="AM135" s="928"/>
      <c r="AN135" s="928"/>
      <c r="AO135" s="928"/>
      <c r="AP135" s="928"/>
      <c r="AQ135" s="928"/>
      <c r="AR135" s="928"/>
      <c r="AS135" s="928"/>
      <c r="AT135" s="928"/>
      <c r="AU135" s="928"/>
      <c r="AV135" s="928"/>
      <c r="AW135" s="928"/>
      <c r="AX135" s="928"/>
      <c r="AY135" s="928"/>
      <c r="AZ135" s="928"/>
      <c r="BA135" s="928"/>
      <c r="BB135" s="928"/>
      <c r="BC135" s="928"/>
      <c r="BD135" s="928"/>
    </row>
    <row r="136" spans="1:56" s="800" customFormat="1" ht="14.25" customHeight="1" x14ac:dyDescent="0.25">
      <c r="A136" s="799"/>
      <c r="B136" s="840" t="s">
        <v>1429</v>
      </c>
      <c r="C136" s="841" t="s">
        <v>1430</v>
      </c>
      <c r="D136" s="829" t="s">
        <v>1401</v>
      </c>
      <c r="E136" s="830" t="s">
        <v>1439</v>
      </c>
      <c r="F136" s="833"/>
      <c r="G136" s="833"/>
      <c r="K136" s="839"/>
      <c r="L136" s="922"/>
      <c r="M136" s="922"/>
      <c r="N136" s="901"/>
      <c r="O136" s="922"/>
      <c r="P136" s="922"/>
      <c r="Q136" s="926"/>
      <c r="R136" s="926"/>
      <c r="S136" s="929"/>
      <c r="T136" s="1070"/>
      <c r="U136" s="1070"/>
      <c r="V136" s="1070"/>
      <c r="W136" s="1070"/>
      <c r="X136" s="1068">
        <f>X135</f>
        <v>0.1</v>
      </c>
      <c r="Y136" s="1068">
        <f t="shared" ref="Y136:AD136" si="49">Y135</f>
        <v>0.10300000000000001</v>
      </c>
      <c r="Z136" s="1068">
        <f t="shared" si="49"/>
        <v>0.10609000000000002</v>
      </c>
      <c r="AA136" s="1068">
        <f t="shared" si="49"/>
        <v>0.10927270000000001</v>
      </c>
      <c r="AB136" s="1068">
        <f t="shared" si="49"/>
        <v>0.11255088100000002</v>
      </c>
      <c r="AC136" s="1068">
        <f t="shared" si="49"/>
        <v>0.11592740743000002</v>
      </c>
      <c r="AD136" s="1068">
        <f t="shared" si="49"/>
        <v>0.11940522965290003</v>
      </c>
      <c r="AE136" s="928"/>
      <c r="AF136" s="928"/>
      <c r="AG136" s="928"/>
      <c r="AH136" s="928"/>
      <c r="AI136" s="928"/>
      <c r="AJ136" s="928"/>
      <c r="AK136" s="928"/>
      <c r="AL136" s="928"/>
      <c r="AM136" s="928"/>
      <c r="AN136" s="928"/>
      <c r="AO136" s="928"/>
      <c r="AP136" s="928"/>
      <c r="AQ136" s="928"/>
      <c r="AR136" s="928"/>
      <c r="AS136" s="928"/>
      <c r="AT136" s="928"/>
      <c r="AU136" s="928"/>
      <c r="AV136" s="928"/>
      <c r="AW136" s="928"/>
      <c r="AX136" s="928"/>
      <c r="AY136" s="928"/>
      <c r="AZ136" s="928"/>
      <c r="BA136" s="928"/>
      <c r="BB136" s="928"/>
      <c r="BC136" s="928"/>
      <c r="BD136" s="928"/>
    </row>
    <row r="137" spans="1:56" s="800" customFormat="1" ht="14.25" customHeight="1" x14ac:dyDescent="0.25">
      <c r="A137" s="799"/>
      <c r="B137" s="828" t="s">
        <v>1431</v>
      </c>
      <c r="C137" s="829" t="s">
        <v>1432</v>
      </c>
      <c r="D137" s="829"/>
      <c r="E137" s="833"/>
      <c r="F137" s="833"/>
      <c r="G137" s="833"/>
      <c r="K137" s="839"/>
      <c r="L137" s="922"/>
      <c r="M137" s="922"/>
      <c r="N137" s="922"/>
      <c r="O137" s="922"/>
      <c r="P137" s="922"/>
      <c r="Q137" s="926"/>
      <c r="R137" s="926"/>
      <c r="S137" s="927"/>
      <c r="T137" s="1070" t="s">
        <v>1480</v>
      </c>
      <c r="U137" s="1070"/>
      <c r="V137" s="1070"/>
      <c r="W137" s="1070"/>
      <c r="X137" s="1070"/>
      <c r="Y137" s="1070"/>
      <c r="Z137" s="1070"/>
      <c r="AA137" s="1070"/>
      <c r="AB137" s="1070"/>
      <c r="AC137" s="1070"/>
      <c r="AD137" s="1070"/>
      <c r="AE137" s="928"/>
      <c r="AF137" s="928"/>
      <c r="AG137" s="928"/>
      <c r="AH137" s="928"/>
      <c r="AI137" s="928"/>
      <c r="AJ137" s="928"/>
      <c r="AK137" s="928"/>
      <c r="AL137" s="928"/>
      <c r="AM137" s="928"/>
      <c r="AN137" s="928"/>
      <c r="AO137" s="928"/>
      <c r="AP137" s="928"/>
      <c r="AQ137" s="928"/>
      <c r="AR137" s="928"/>
      <c r="AS137" s="928"/>
      <c r="AT137" s="928"/>
      <c r="AU137" s="928"/>
      <c r="AV137" s="928"/>
      <c r="AW137" s="928"/>
      <c r="AX137" s="928"/>
      <c r="AY137" s="928"/>
      <c r="AZ137" s="928"/>
      <c r="BA137" s="928"/>
      <c r="BB137" s="928"/>
      <c r="BC137" s="928"/>
      <c r="BD137" s="928"/>
    </row>
    <row r="138" spans="1:56" s="800" customFormat="1" x14ac:dyDescent="0.25">
      <c r="A138" s="799"/>
      <c r="B138" s="844" t="s">
        <v>1456</v>
      </c>
      <c r="C138" s="844"/>
      <c r="D138" s="844"/>
      <c r="E138" s="845" t="s">
        <v>1440</v>
      </c>
      <c r="F138" s="844"/>
      <c r="G138" s="844"/>
      <c r="H138" s="844"/>
      <c r="I138" s="844"/>
      <c r="J138" s="844"/>
      <c r="K138" s="888"/>
      <c r="L138" s="888"/>
      <c r="M138" s="888"/>
      <c r="N138" s="888"/>
      <c r="O138" s="869"/>
      <c r="P138" s="869"/>
      <c r="Q138" s="869"/>
      <c r="R138" s="871">
        <f>R163/R104</f>
        <v>0.23199839105465631</v>
      </c>
      <c r="S138" s="871">
        <f t="shared" ref="S138:AD138" si="50">S163/S104</f>
        <v>0.23066297842669142</v>
      </c>
      <c r="T138" s="1071">
        <f t="shared" si="50"/>
        <v>0.17459678918902108</v>
      </c>
      <c r="U138" s="1071">
        <f t="shared" si="50"/>
        <v>0.17817647390937166</v>
      </c>
      <c r="V138" s="1071">
        <f t="shared" si="50"/>
        <v>0.17223011030762847</v>
      </c>
      <c r="W138" s="1071">
        <f t="shared" si="50"/>
        <v>0.17776342243007612</v>
      </c>
      <c r="X138" s="1071">
        <f t="shared" si="50"/>
        <v>0.18394429760418032</v>
      </c>
      <c r="Y138" s="1071">
        <f t="shared" si="50"/>
        <v>0.19062697013857594</v>
      </c>
      <c r="Z138" s="1071">
        <f t="shared" si="50"/>
        <v>0.19672453105933821</v>
      </c>
      <c r="AA138" s="1071">
        <f t="shared" si="50"/>
        <v>0.20453783596974026</v>
      </c>
      <c r="AB138" s="1071">
        <f t="shared" si="50"/>
        <v>0.21303536629687878</v>
      </c>
      <c r="AC138" s="1071">
        <f t="shared" si="50"/>
        <v>0.22228615360404674</v>
      </c>
      <c r="AD138" s="1071">
        <f t="shared" si="50"/>
        <v>0.23236639420295191</v>
      </c>
      <c r="AE138" s="906"/>
      <c r="AF138" s="906"/>
      <c r="AG138" s="906"/>
      <c r="AH138" s="906"/>
      <c r="AI138" s="906"/>
      <c r="AJ138" s="906"/>
      <c r="AK138" s="906"/>
      <c r="AL138" s="906"/>
      <c r="AM138" s="906"/>
      <c r="AN138" s="906"/>
      <c r="AO138" s="906"/>
      <c r="AP138" s="906"/>
      <c r="AQ138" s="906"/>
      <c r="AR138" s="906"/>
      <c r="AS138" s="906"/>
      <c r="AT138" s="906"/>
      <c r="AU138" s="906"/>
      <c r="AV138" s="906"/>
      <c r="AW138" s="906"/>
      <c r="AX138" s="906"/>
      <c r="AY138" s="906"/>
      <c r="AZ138" s="906"/>
      <c r="BA138" s="906"/>
      <c r="BB138" s="906"/>
      <c r="BC138" s="906"/>
      <c r="BD138" s="906"/>
    </row>
    <row r="139" spans="1:56" s="800" customFormat="1" ht="14.4" x14ac:dyDescent="0.3">
      <c r="A139" s="799"/>
      <c r="B139" s="851"/>
      <c r="C139" s="851"/>
      <c r="D139" s="851"/>
      <c r="E139" s="852"/>
      <c r="F139" s="851"/>
      <c r="G139" s="851"/>
      <c r="H139" s="851"/>
      <c r="I139" s="851"/>
      <c r="J139" s="851"/>
      <c r="K139" s="900"/>
      <c r="L139" s="900"/>
      <c r="M139" s="900"/>
      <c r="N139" s="900"/>
      <c r="O139" s="901"/>
      <c r="P139" s="901"/>
      <c r="Q139" s="901"/>
      <c r="R139" s="901"/>
      <c r="S139" s="908"/>
      <c r="T139" s="901"/>
      <c r="U139" s="901"/>
      <c r="V139" s="901"/>
      <c r="W139" s="901"/>
      <c r="X139" s="901"/>
      <c r="Y139" s="901"/>
      <c r="Z139" s="932"/>
      <c r="AA139" s="901"/>
      <c r="AB139" s="901"/>
      <c r="AC139" s="901"/>
      <c r="AD139" s="901"/>
      <c r="AE139" s="901"/>
      <c r="AF139" s="901"/>
      <c r="AG139" s="901"/>
      <c r="AH139" s="901"/>
      <c r="AI139" s="901"/>
      <c r="AJ139" s="901"/>
      <c r="AK139" s="901"/>
      <c r="AL139" s="901"/>
      <c r="AM139" s="901"/>
      <c r="AN139" s="901"/>
      <c r="AO139" s="901"/>
      <c r="AP139" s="901"/>
      <c r="AQ139" s="901"/>
      <c r="AR139" s="901"/>
      <c r="AS139" s="901"/>
      <c r="AT139" s="901"/>
      <c r="AU139" s="901"/>
      <c r="AV139" s="901"/>
      <c r="AW139" s="901"/>
      <c r="AX139" s="901"/>
      <c r="AY139" s="901"/>
      <c r="AZ139" s="901"/>
      <c r="BA139" s="901"/>
      <c r="BB139" s="901"/>
      <c r="BC139" s="901"/>
      <c r="BD139" s="901"/>
    </row>
    <row r="140" spans="1:56" s="860" customFormat="1" x14ac:dyDescent="0.25">
      <c r="A140" s="859"/>
      <c r="B140" s="891"/>
      <c r="C140" s="891"/>
      <c r="D140" s="891"/>
      <c r="E140" s="891"/>
      <c r="F140" s="891"/>
      <c r="G140" s="891"/>
      <c r="H140" s="891"/>
      <c r="I140" s="891"/>
      <c r="J140" s="891"/>
      <c r="K140" s="892"/>
      <c r="L140" s="892"/>
      <c r="M140" s="892"/>
      <c r="N140" s="892"/>
      <c r="O140" s="892"/>
      <c r="P140" s="892"/>
      <c r="Q140" s="892"/>
      <c r="R140" s="892"/>
      <c r="S140" s="893"/>
      <c r="T140" s="892"/>
      <c r="U140" s="892"/>
      <c r="V140" s="892"/>
      <c r="W140" s="892"/>
      <c r="X140" s="892"/>
      <c r="Y140" s="892"/>
      <c r="Z140" s="892"/>
      <c r="AA140" s="892"/>
      <c r="AB140" s="892"/>
      <c r="AC140" s="892"/>
      <c r="AD140" s="892"/>
      <c r="AE140" s="892"/>
      <c r="AF140" s="892"/>
      <c r="AG140" s="892"/>
      <c r="AH140" s="892"/>
      <c r="AI140" s="892"/>
      <c r="AJ140" s="892"/>
      <c r="AK140" s="892"/>
      <c r="AL140" s="892"/>
      <c r="AM140" s="892"/>
      <c r="AN140" s="892"/>
      <c r="AO140" s="892"/>
      <c r="AP140" s="892"/>
      <c r="AQ140" s="892"/>
      <c r="AR140" s="892"/>
      <c r="AS140" s="892"/>
      <c r="AT140" s="892"/>
      <c r="AU140" s="892"/>
      <c r="AV140" s="892"/>
      <c r="AW140" s="892"/>
      <c r="AX140" s="892"/>
      <c r="AY140" s="892"/>
      <c r="AZ140" s="892"/>
      <c r="BA140" s="892"/>
      <c r="BB140" s="892"/>
      <c r="BC140" s="892"/>
      <c r="BD140" s="892"/>
    </row>
    <row r="141" spans="1:56" s="879" customFormat="1" x14ac:dyDescent="0.25">
      <c r="A141" s="873">
        <v>7</v>
      </c>
      <c r="B141" s="824" t="s">
        <v>1457</v>
      </c>
      <c r="C141" s="824"/>
      <c r="D141" s="824"/>
      <c r="E141" s="933"/>
      <c r="F141" s="874"/>
      <c r="G141" s="874"/>
      <c r="H141" s="874"/>
      <c r="I141" s="874"/>
      <c r="J141" s="874"/>
      <c r="K141" s="875"/>
      <c r="L141" s="876"/>
      <c r="M141" s="876"/>
      <c r="N141" s="876"/>
      <c r="O141" s="876"/>
      <c r="P141" s="876"/>
      <c r="Q141" s="876"/>
      <c r="R141" s="876"/>
      <c r="S141" s="878"/>
      <c r="T141" s="876"/>
      <c r="U141" s="876"/>
      <c r="V141" s="876"/>
      <c r="W141" s="876"/>
      <c r="X141" s="876"/>
      <c r="Y141" s="876"/>
      <c r="Z141" s="876"/>
      <c r="AA141" s="876"/>
      <c r="AB141" s="876"/>
      <c r="AC141" s="876"/>
      <c r="AD141" s="876"/>
      <c r="AE141" s="876"/>
      <c r="AF141" s="876"/>
      <c r="AG141" s="876"/>
      <c r="AH141" s="876"/>
      <c r="AI141" s="876"/>
      <c r="AJ141" s="876"/>
      <c r="AK141" s="876"/>
      <c r="AL141" s="876"/>
      <c r="AM141" s="876"/>
      <c r="AN141" s="876"/>
      <c r="AO141" s="876"/>
      <c r="AP141" s="876"/>
      <c r="AQ141" s="876"/>
      <c r="AR141" s="876"/>
      <c r="AS141" s="876"/>
      <c r="AT141" s="876"/>
      <c r="AU141" s="876"/>
      <c r="AV141" s="876"/>
      <c r="AW141" s="876"/>
      <c r="AX141" s="876"/>
      <c r="AY141" s="876"/>
      <c r="AZ141" s="876"/>
      <c r="BA141" s="876"/>
      <c r="BB141" s="876"/>
      <c r="BC141" s="876"/>
      <c r="BD141" s="876"/>
    </row>
    <row r="142" spans="1:56" s="800" customFormat="1" x14ac:dyDescent="0.25">
      <c r="A142" s="799"/>
      <c r="B142" s="828" t="s">
        <v>1400</v>
      </c>
      <c r="C142" s="829" t="s">
        <v>714</v>
      </c>
      <c r="D142" s="829" t="s">
        <v>1401</v>
      </c>
      <c r="E142" s="830" t="s">
        <v>1438</v>
      </c>
      <c r="F142" s="833"/>
      <c r="G142" s="833"/>
      <c r="H142" s="851"/>
      <c r="I142" s="851"/>
      <c r="J142" s="851"/>
      <c r="K142" s="900"/>
      <c r="L142" s="901"/>
      <c r="M142" s="901"/>
      <c r="N142" s="884"/>
      <c r="O142" s="884"/>
      <c r="P142" s="884"/>
      <c r="Q142" s="884"/>
      <c r="R142" s="881">
        <f t="shared" ref="R142:R148" si="51">R83*R117</f>
        <v>11.423999999999999</v>
      </c>
      <c r="S142" s="882">
        <f t="shared" ref="S142:AD142" si="52">S83*S117</f>
        <v>11.423999999999999</v>
      </c>
      <c r="T142" s="1056">
        <f t="shared" si="52"/>
        <v>11.538239999999998</v>
      </c>
      <c r="U142" s="1056">
        <f t="shared" si="52"/>
        <v>11.6536224</v>
      </c>
      <c r="V142" s="1056">
        <f t="shared" si="52"/>
        <v>11.770158624</v>
      </c>
      <c r="W142" s="1056">
        <f t="shared" si="52"/>
        <v>11.887860210240001</v>
      </c>
      <c r="X142" s="1056">
        <f t="shared" si="52"/>
        <v>12.0067388123424</v>
      </c>
      <c r="Y142" s="1056">
        <f t="shared" si="52"/>
        <v>12.126806200465822</v>
      </c>
      <c r="Z142" s="1056">
        <f t="shared" si="52"/>
        <v>12.248074262470482</v>
      </c>
      <c r="AA142" s="1056">
        <f t="shared" si="52"/>
        <v>12.370555005095188</v>
      </c>
      <c r="AB142" s="1056">
        <f t="shared" si="52"/>
        <v>12.494260555146141</v>
      </c>
      <c r="AC142" s="1056">
        <f t="shared" si="52"/>
        <v>12.619203160697602</v>
      </c>
      <c r="AD142" s="1056">
        <f t="shared" si="52"/>
        <v>12.745395192304576</v>
      </c>
      <c r="AE142" s="902"/>
      <c r="AF142" s="902"/>
      <c r="AG142" s="902"/>
      <c r="AH142" s="902"/>
      <c r="AI142" s="902"/>
      <c r="AJ142" s="902"/>
      <c r="AK142" s="902"/>
      <c r="AL142" s="902"/>
      <c r="AM142" s="902"/>
      <c r="AN142" s="902"/>
      <c r="AO142" s="902"/>
      <c r="AP142" s="902"/>
      <c r="AQ142" s="902"/>
      <c r="AR142" s="902"/>
      <c r="AS142" s="902"/>
      <c r="AT142" s="902"/>
      <c r="AU142" s="902"/>
      <c r="AV142" s="902"/>
      <c r="AW142" s="902"/>
      <c r="AX142" s="902"/>
      <c r="AY142" s="902"/>
      <c r="AZ142" s="902"/>
      <c r="BA142" s="902"/>
      <c r="BB142" s="902"/>
      <c r="BC142" s="902"/>
      <c r="BD142" s="902"/>
    </row>
    <row r="143" spans="1:56" s="800" customFormat="1" x14ac:dyDescent="0.25">
      <c r="A143" s="799"/>
      <c r="B143" s="828" t="s">
        <v>1402</v>
      </c>
      <c r="C143" s="829" t="s">
        <v>739</v>
      </c>
      <c r="D143" s="829" t="s">
        <v>1401</v>
      </c>
      <c r="E143" s="830" t="s">
        <v>1439</v>
      </c>
      <c r="F143" s="833"/>
      <c r="G143" s="833"/>
      <c r="H143" s="851"/>
      <c r="I143" s="851"/>
      <c r="J143" s="851"/>
      <c r="K143" s="900"/>
      <c r="L143" s="901"/>
      <c r="M143" s="901"/>
      <c r="N143" s="884"/>
      <c r="O143" s="884"/>
      <c r="P143" s="884"/>
      <c r="Q143" s="884"/>
      <c r="R143" s="881">
        <f t="shared" si="51"/>
        <v>226</v>
      </c>
      <c r="S143" s="882">
        <f t="shared" ref="S143:AD143" si="53">S84*S118</f>
        <v>226</v>
      </c>
      <c r="T143" s="1056">
        <f t="shared" si="53"/>
        <v>228.26000000000002</v>
      </c>
      <c r="U143" s="1056">
        <f t="shared" si="53"/>
        <v>230.54260000000002</v>
      </c>
      <c r="V143" s="1056">
        <f t="shared" si="53"/>
        <v>232.848026</v>
      </c>
      <c r="W143" s="1056">
        <f t="shared" si="53"/>
        <v>235.17650626000002</v>
      </c>
      <c r="X143" s="1056">
        <f t="shared" si="53"/>
        <v>237.52827132260003</v>
      </c>
      <c r="Y143" s="1056">
        <f t="shared" si="53"/>
        <v>239.90355403582606</v>
      </c>
      <c r="Z143" s="1056">
        <f t="shared" si="53"/>
        <v>242.30258957618432</v>
      </c>
      <c r="AA143" s="1056">
        <f t="shared" si="53"/>
        <v>244.72561547194616</v>
      </c>
      <c r="AB143" s="1056">
        <f t="shared" si="53"/>
        <v>247.17287162666562</v>
      </c>
      <c r="AC143" s="1056">
        <f t="shared" si="53"/>
        <v>249.64460034293228</v>
      </c>
      <c r="AD143" s="1056">
        <f t="shared" si="53"/>
        <v>252.14104634636158</v>
      </c>
      <c r="AE143" s="902"/>
      <c r="AF143" s="902"/>
      <c r="AG143" s="902"/>
      <c r="AH143" s="902"/>
      <c r="AI143" s="902"/>
      <c r="AJ143" s="902"/>
      <c r="AK143" s="902"/>
      <c r="AL143" s="902"/>
      <c r="AM143" s="902"/>
      <c r="AN143" s="902"/>
      <c r="AO143" s="902"/>
      <c r="AP143" s="902"/>
      <c r="AQ143" s="902"/>
      <c r="AR143" s="902"/>
      <c r="AS143" s="902"/>
      <c r="AT143" s="902"/>
      <c r="AU143" s="902"/>
      <c r="AV143" s="902"/>
      <c r="AW143" s="902"/>
      <c r="AX143" s="902"/>
      <c r="AY143" s="902"/>
      <c r="AZ143" s="902"/>
      <c r="BA143" s="902"/>
      <c r="BB143" s="902"/>
      <c r="BC143" s="902"/>
      <c r="BD143" s="902"/>
    </row>
    <row r="144" spans="1:56" s="800" customFormat="1" x14ac:dyDescent="0.25">
      <c r="A144" s="799"/>
      <c r="B144" s="828" t="s">
        <v>1403</v>
      </c>
      <c r="C144" s="829" t="s">
        <v>701</v>
      </c>
      <c r="D144" s="829" t="s">
        <v>1401</v>
      </c>
      <c r="E144" s="830" t="s">
        <v>1439</v>
      </c>
      <c r="F144" s="833"/>
      <c r="G144" s="833"/>
      <c r="H144" s="851"/>
      <c r="I144" s="851"/>
      <c r="J144" s="851"/>
      <c r="K144" s="900"/>
      <c r="L144" s="901"/>
      <c r="M144" s="901"/>
      <c r="N144" s="884"/>
      <c r="O144" s="884"/>
      <c r="P144" s="884"/>
      <c r="Q144" s="884"/>
      <c r="R144" s="881">
        <f t="shared" si="51"/>
        <v>70.5</v>
      </c>
      <c r="S144" s="882">
        <f t="shared" ref="S144:AD144" si="54">S85*S119</f>
        <v>70.5</v>
      </c>
      <c r="T144" s="1056">
        <f t="shared" si="54"/>
        <v>71.204999999999984</v>
      </c>
      <c r="U144" s="1056">
        <f t="shared" si="54"/>
        <v>71.917050000000003</v>
      </c>
      <c r="V144" s="1056">
        <f t="shared" si="54"/>
        <v>72.636220500000007</v>
      </c>
      <c r="W144" s="1056">
        <f t="shared" si="54"/>
        <v>73.362582704999994</v>
      </c>
      <c r="X144" s="1056">
        <f t="shared" si="54"/>
        <v>74.096208532049999</v>
      </c>
      <c r="Y144" s="1056">
        <f t="shared" si="54"/>
        <v>74.837170617370504</v>
      </c>
      <c r="Z144" s="1056">
        <f t="shared" si="54"/>
        <v>75.585542323544203</v>
      </c>
      <c r="AA144" s="1056">
        <f t="shared" si="54"/>
        <v>76.341397746779649</v>
      </c>
      <c r="AB144" s="1056">
        <f t="shared" si="54"/>
        <v>77.10481172424744</v>
      </c>
      <c r="AC144" s="1056">
        <f t="shared" si="54"/>
        <v>77.875859841489913</v>
      </c>
      <c r="AD144" s="1056">
        <f t="shared" si="54"/>
        <v>78.654618439904823</v>
      </c>
      <c r="AE144" s="902"/>
      <c r="AF144" s="902"/>
      <c r="AG144" s="902"/>
      <c r="AH144" s="902"/>
      <c r="AI144" s="902"/>
      <c r="AJ144" s="902"/>
      <c r="AK144" s="902"/>
      <c r="AL144" s="902"/>
      <c r="AM144" s="902"/>
      <c r="AN144" s="902"/>
      <c r="AO144" s="902"/>
      <c r="AP144" s="902"/>
      <c r="AQ144" s="902"/>
      <c r="AR144" s="902"/>
      <c r="AS144" s="902"/>
      <c r="AT144" s="902"/>
      <c r="AU144" s="902"/>
      <c r="AV144" s="902"/>
      <c r="AW144" s="902"/>
      <c r="AX144" s="902"/>
      <c r="AY144" s="902"/>
      <c r="AZ144" s="902"/>
      <c r="BA144" s="902"/>
      <c r="BB144" s="902"/>
      <c r="BC144" s="902"/>
      <c r="BD144" s="902"/>
    </row>
    <row r="145" spans="1:56" s="800" customFormat="1" x14ac:dyDescent="0.25">
      <c r="A145" s="799"/>
      <c r="B145" s="828" t="s">
        <v>1404</v>
      </c>
      <c r="C145" s="829" t="s">
        <v>839</v>
      </c>
      <c r="D145" s="829" t="s">
        <v>1401</v>
      </c>
      <c r="E145" s="830" t="s">
        <v>1439</v>
      </c>
      <c r="F145" s="833"/>
      <c r="G145" s="833"/>
      <c r="H145" s="851"/>
      <c r="I145" s="851"/>
      <c r="J145" s="851"/>
      <c r="K145" s="900"/>
      <c r="L145" s="901"/>
      <c r="M145" s="901"/>
      <c r="N145" s="884"/>
      <c r="O145" s="884"/>
      <c r="P145" s="884"/>
      <c r="Q145" s="884"/>
      <c r="R145" s="881">
        <f t="shared" si="51"/>
        <v>32.619999999999997</v>
      </c>
      <c r="S145" s="882">
        <f t="shared" ref="S145:AD145" si="55">S86*S120</f>
        <v>32.619999999999997</v>
      </c>
      <c r="T145" s="1056">
        <f t="shared" si="55"/>
        <v>32.619999999999997</v>
      </c>
      <c r="U145" s="1056">
        <f t="shared" si="55"/>
        <v>32.619999999999997</v>
      </c>
      <c r="V145" s="1056">
        <f t="shared" si="55"/>
        <v>32.619999999999997</v>
      </c>
      <c r="W145" s="1056">
        <f t="shared" si="55"/>
        <v>32.619999999999997</v>
      </c>
      <c r="X145" s="1056">
        <f t="shared" si="55"/>
        <v>32.619999999999997</v>
      </c>
      <c r="Y145" s="1056">
        <f t="shared" si="55"/>
        <v>32.619999999999997</v>
      </c>
      <c r="Z145" s="1056">
        <f t="shared" si="55"/>
        <v>32.619999999999997</v>
      </c>
      <c r="AA145" s="1056">
        <f t="shared" si="55"/>
        <v>32.619999999999997</v>
      </c>
      <c r="AB145" s="1056">
        <f t="shared" si="55"/>
        <v>32.619999999999997</v>
      </c>
      <c r="AC145" s="1056">
        <f t="shared" si="55"/>
        <v>32.619999999999997</v>
      </c>
      <c r="AD145" s="1056">
        <f t="shared" si="55"/>
        <v>32.619999999999997</v>
      </c>
      <c r="AE145" s="902"/>
      <c r="AF145" s="902"/>
      <c r="AG145" s="902"/>
      <c r="AH145" s="902"/>
      <c r="AI145" s="902"/>
      <c r="AJ145" s="902"/>
      <c r="AK145" s="902"/>
      <c r="AL145" s="902"/>
      <c r="AM145" s="902"/>
      <c r="AN145" s="902"/>
      <c r="AO145" s="902"/>
      <c r="AP145" s="902"/>
      <c r="AQ145" s="902"/>
      <c r="AR145" s="902"/>
      <c r="AS145" s="902"/>
      <c r="AT145" s="902"/>
      <c r="AU145" s="902"/>
      <c r="AV145" s="902"/>
      <c r="AW145" s="902"/>
      <c r="AX145" s="902"/>
      <c r="AY145" s="902"/>
      <c r="AZ145" s="902"/>
      <c r="BA145" s="902"/>
      <c r="BB145" s="902"/>
      <c r="BC145" s="902"/>
      <c r="BD145" s="902"/>
    </row>
    <row r="146" spans="1:56" s="800" customFormat="1" x14ac:dyDescent="0.25">
      <c r="A146" s="799"/>
      <c r="B146" s="828" t="s">
        <v>1405</v>
      </c>
      <c r="C146" s="829" t="s">
        <v>928</v>
      </c>
      <c r="D146" s="829" t="s">
        <v>1401</v>
      </c>
      <c r="E146" s="830" t="s">
        <v>1438</v>
      </c>
      <c r="F146" s="833"/>
      <c r="G146" s="833"/>
      <c r="H146" s="851"/>
      <c r="I146" s="851"/>
      <c r="J146" s="851"/>
      <c r="K146" s="900"/>
      <c r="L146" s="901"/>
      <c r="M146" s="901"/>
      <c r="N146" s="884"/>
      <c r="O146" s="884"/>
      <c r="P146" s="884"/>
      <c r="Q146" s="884"/>
      <c r="R146" s="881">
        <f t="shared" si="51"/>
        <v>2.9159999999999999</v>
      </c>
      <c r="S146" s="882">
        <f t="shared" ref="S146:AD146" si="56">S87*S121</f>
        <v>2.9159999999999999</v>
      </c>
      <c r="T146" s="1056">
        <f t="shared" si="56"/>
        <v>2.9451600000000004</v>
      </c>
      <c r="U146" s="1056">
        <f t="shared" si="56"/>
        <v>2.9746116000000002</v>
      </c>
      <c r="V146" s="1056">
        <f t="shared" si="56"/>
        <v>3.0043577160000003</v>
      </c>
      <c r="W146" s="1056">
        <f t="shared" si="56"/>
        <v>3.0344012931600006</v>
      </c>
      <c r="X146" s="1056">
        <f t="shared" si="56"/>
        <v>3.0647453060916003</v>
      </c>
      <c r="Y146" s="1056">
        <f t="shared" si="56"/>
        <v>3.0953927591525163</v>
      </c>
      <c r="Z146" s="1056">
        <f t="shared" si="56"/>
        <v>3.1263466867440415</v>
      </c>
      <c r="AA146" s="1056">
        <f t="shared" si="56"/>
        <v>3.1576101536114822</v>
      </c>
      <c r="AB146" s="1056">
        <f t="shared" si="56"/>
        <v>3.1891862551475971</v>
      </c>
      <c r="AC146" s="1056">
        <f t="shared" si="56"/>
        <v>3.221078117699073</v>
      </c>
      <c r="AD146" s="1056">
        <f t="shared" si="56"/>
        <v>3.2532888988760638</v>
      </c>
      <c r="AE146" s="902"/>
      <c r="AF146" s="902"/>
      <c r="AG146" s="902"/>
      <c r="AH146" s="902"/>
      <c r="AI146" s="902"/>
      <c r="AJ146" s="902"/>
      <c r="AK146" s="902"/>
      <c r="AL146" s="902"/>
      <c r="AM146" s="902"/>
      <c r="AN146" s="902"/>
      <c r="AO146" s="902"/>
      <c r="AP146" s="902"/>
      <c r="AQ146" s="902"/>
      <c r="AR146" s="902"/>
      <c r="AS146" s="902"/>
      <c r="AT146" s="902"/>
      <c r="AU146" s="902"/>
      <c r="AV146" s="902"/>
      <c r="AW146" s="902"/>
      <c r="AX146" s="902"/>
      <c r="AY146" s="902"/>
      <c r="AZ146" s="902"/>
      <c r="BA146" s="902"/>
      <c r="BB146" s="902"/>
      <c r="BC146" s="902"/>
      <c r="BD146" s="902"/>
    </row>
    <row r="147" spans="1:56" s="800" customFormat="1" x14ac:dyDescent="0.25">
      <c r="A147" s="799"/>
      <c r="B147" s="828" t="s">
        <v>1406</v>
      </c>
      <c r="C147" s="829" t="s">
        <v>723</v>
      </c>
      <c r="D147" s="829" t="s">
        <v>1401</v>
      </c>
      <c r="E147" s="830" t="s">
        <v>1440</v>
      </c>
      <c r="F147" s="833"/>
      <c r="G147" s="833"/>
      <c r="H147" s="851"/>
      <c r="I147" s="851"/>
      <c r="J147" s="851"/>
      <c r="K147" s="900"/>
      <c r="L147" s="901"/>
      <c r="M147" s="901"/>
      <c r="N147" s="884"/>
      <c r="O147" s="884"/>
      <c r="P147" s="884"/>
      <c r="Q147" s="884"/>
      <c r="R147" s="881">
        <f t="shared" si="51"/>
        <v>3.262</v>
      </c>
      <c r="S147" s="882">
        <f t="shared" ref="S147:AD147" si="57">S88*S122</f>
        <v>3.262</v>
      </c>
      <c r="T147" s="1056">
        <f t="shared" si="57"/>
        <v>3.262</v>
      </c>
      <c r="U147" s="1056">
        <f t="shared" si="57"/>
        <v>3.262</v>
      </c>
      <c r="V147" s="1056">
        <f t="shared" si="57"/>
        <v>3.262</v>
      </c>
      <c r="W147" s="1056">
        <f t="shared" si="57"/>
        <v>3.262</v>
      </c>
      <c r="X147" s="1056">
        <f t="shared" si="57"/>
        <v>3.262</v>
      </c>
      <c r="Y147" s="1056">
        <f t="shared" si="57"/>
        <v>3.262</v>
      </c>
      <c r="Z147" s="1056">
        <f t="shared" si="57"/>
        <v>3.262</v>
      </c>
      <c r="AA147" s="1056">
        <f t="shared" si="57"/>
        <v>3.262</v>
      </c>
      <c r="AB147" s="1056">
        <f t="shared" si="57"/>
        <v>3.262</v>
      </c>
      <c r="AC147" s="1056">
        <f t="shared" si="57"/>
        <v>3.262</v>
      </c>
      <c r="AD147" s="1056">
        <f t="shared" si="57"/>
        <v>3.262</v>
      </c>
      <c r="AE147" s="902"/>
      <c r="AF147" s="902"/>
      <c r="AG147" s="902"/>
      <c r="AH147" s="902"/>
      <c r="AI147" s="902"/>
      <c r="AJ147" s="902"/>
      <c r="AK147" s="902"/>
      <c r="AL147" s="902"/>
      <c r="AM147" s="902"/>
      <c r="AN147" s="902"/>
      <c r="AO147" s="902"/>
      <c r="AP147" s="902"/>
      <c r="AQ147" s="902"/>
      <c r="AR147" s="902"/>
      <c r="AS147" s="902"/>
      <c r="AT147" s="902"/>
      <c r="AU147" s="902"/>
      <c r="AV147" s="902"/>
      <c r="AW147" s="902"/>
      <c r="AX147" s="902"/>
      <c r="AY147" s="902"/>
      <c r="AZ147" s="902"/>
      <c r="BA147" s="902"/>
      <c r="BB147" s="902"/>
      <c r="BC147" s="902"/>
      <c r="BD147" s="902"/>
    </row>
    <row r="148" spans="1:56" s="800" customFormat="1" x14ac:dyDescent="0.25">
      <c r="A148" s="799"/>
      <c r="B148" s="828" t="s">
        <v>1407</v>
      </c>
      <c r="C148" s="829" t="s">
        <v>695</v>
      </c>
      <c r="D148" s="829" t="s">
        <v>1401</v>
      </c>
      <c r="E148" s="830" t="s">
        <v>1438</v>
      </c>
      <c r="F148" s="833"/>
      <c r="G148" s="833"/>
      <c r="H148" s="851"/>
      <c r="I148" s="851"/>
      <c r="J148" s="851"/>
      <c r="K148" s="900"/>
      <c r="L148" s="901"/>
      <c r="M148" s="901"/>
      <c r="N148" s="884"/>
      <c r="O148" s="884"/>
      <c r="P148" s="884"/>
      <c r="Q148" s="884"/>
      <c r="R148" s="881">
        <f t="shared" si="51"/>
        <v>31.64</v>
      </c>
      <c r="S148" s="882">
        <f t="shared" ref="S148:AD148" si="58">S89*S123</f>
        <v>31.64</v>
      </c>
      <c r="T148" s="1056">
        <f t="shared" si="58"/>
        <v>32.272800000000004</v>
      </c>
      <c r="U148" s="1056">
        <f t="shared" si="58"/>
        <v>32.918256</v>
      </c>
      <c r="V148" s="1056">
        <f t="shared" si="58"/>
        <v>33.576621119999999</v>
      </c>
      <c r="W148" s="1056">
        <f t="shared" si="58"/>
        <v>34.248153542400004</v>
      </c>
      <c r="X148" s="1056">
        <f t="shared" si="58"/>
        <v>34.933116613248004</v>
      </c>
      <c r="Y148" s="1056">
        <f t="shared" si="58"/>
        <v>35</v>
      </c>
      <c r="Z148" s="1056">
        <f t="shared" si="58"/>
        <v>35</v>
      </c>
      <c r="AA148" s="1056">
        <f t="shared" si="58"/>
        <v>35</v>
      </c>
      <c r="AB148" s="1056">
        <f t="shared" si="58"/>
        <v>35</v>
      </c>
      <c r="AC148" s="1056">
        <f t="shared" si="58"/>
        <v>35</v>
      </c>
      <c r="AD148" s="1056">
        <f t="shared" si="58"/>
        <v>35</v>
      </c>
      <c r="AE148" s="902"/>
      <c r="AF148" s="902"/>
      <c r="AG148" s="902"/>
      <c r="AH148" s="902"/>
      <c r="AI148" s="902"/>
      <c r="AJ148" s="902"/>
      <c r="AK148" s="902"/>
      <c r="AL148" s="902"/>
      <c r="AM148" s="902"/>
      <c r="AN148" s="902"/>
      <c r="AO148" s="902"/>
      <c r="AP148" s="902"/>
      <c r="AQ148" s="902"/>
      <c r="AR148" s="902"/>
      <c r="AS148" s="902"/>
      <c r="AT148" s="902"/>
      <c r="AU148" s="902"/>
      <c r="AV148" s="902"/>
      <c r="AW148" s="902"/>
      <c r="AX148" s="902"/>
      <c r="AY148" s="902"/>
      <c r="AZ148" s="902"/>
      <c r="BA148" s="902"/>
      <c r="BB148" s="902"/>
      <c r="BC148" s="902"/>
      <c r="BD148" s="902"/>
    </row>
    <row r="149" spans="1:56" s="800" customFormat="1" x14ac:dyDescent="0.25">
      <c r="A149" s="799"/>
      <c r="B149" s="828" t="s">
        <v>1408</v>
      </c>
      <c r="C149" s="828"/>
      <c r="D149" s="828"/>
      <c r="E149" s="830"/>
      <c r="F149" s="833"/>
      <c r="G149" s="833"/>
      <c r="H149" s="851"/>
      <c r="I149" s="851"/>
      <c r="J149" s="851"/>
      <c r="K149" s="900"/>
      <c r="L149" s="901"/>
      <c r="M149" s="901"/>
      <c r="N149" s="884"/>
      <c r="O149" s="884"/>
      <c r="P149" s="884"/>
      <c r="Q149" s="884"/>
      <c r="R149" s="884"/>
      <c r="S149" s="934"/>
      <c r="T149" s="1060"/>
      <c r="U149" s="1060"/>
      <c r="V149" s="1060"/>
      <c r="W149" s="1060"/>
      <c r="X149" s="1061"/>
      <c r="Y149" s="1061"/>
      <c r="Z149" s="1061"/>
      <c r="AA149" s="1061"/>
      <c r="AB149" s="1061"/>
      <c r="AC149" s="1061"/>
      <c r="AD149" s="1061"/>
      <c r="AE149" s="902"/>
      <c r="AF149" s="902"/>
      <c r="AG149" s="902"/>
      <c r="AH149" s="902"/>
      <c r="AI149" s="902"/>
      <c r="AJ149" s="902"/>
      <c r="AK149" s="902"/>
      <c r="AL149" s="902"/>
      <c r="AM149" s="902"/>
      <c r="AN149" s="902"/>
      <c r="AO149" s="902"/>
      <c r="AP149" s="902"/>
      <c r="AQ149" s="902"/>
      <c r="AR149" s="902"/>
      <c r="AS149" s="902"/>
      <c r="AT149" s="902"/>
      <c r="AU149" s="902"/>
      <c r="AV149" s="902"/>
      <c r="AW149" s="902"/>
      <c r="AX149" s="902"/>
      <c r="AY149" s="902"/>
      <c r="AZ149" s="902"/>
      <c r="BA149" s="902"/>
      <c r="BB149" s="902"/>
      <c r="BC149" s="902"/>
      <c r="BD149" s="902"/>
    </row>
    <row r="150" spans="1:56" s="800" customFormat="1" x14ac:dyDescent="0.25">
      <c r="A150" s="799"/>
      <c r="B150" s="840" t="s">
        <v>1409</v>
      </c>
      <c r="C150" s="840"/>
      <c r="D150" s="840"/>
      <c r="E150" s="830"/>
      <c r="F150" s="833"/>
      <c r="G150" s="833"/>
      <c r="H150" s="851"/>
      <c r="I150" s="851"/>
      <c r="J150" s="851"/>
      <c r="K150" s="900"/>
      <c r="L150" s="901"/>
      <c r="M150" s="901"/>
      <c r="N150" s="884"/>
      <c r="O150" s="884"/>
      <c r="P150" s="884"/>
      <c r="Q150" s="884"/>
      <c r="R150" s="884"/>
      <c r="S150" s="934"/>
      <c r="T150" s="1060"/>
      <c r="U150" s="1060"/>
      <c r="V150" s="1060"/>
      <c r="W150" s="1060"/>
      <c r="X150" s="1061"/>
      <c r="Y150" s="1061"/>
      <c r="Z150" s="1061"/>
      <c r="AA150" s="1061"/>
      <c r="AB150" s="1061"/>
      <c r="AC150" s="1061"/>
      <c r="AD150" s="1061"/>
      <c r="AE150" s="902"/>
      <c r="AF150" s="902"/>
      <c r="AG150" s="902"/>
      <c r="AH150" s="902"/>
      <c r="AI150" s="902"/>
      <c r="AJ150" s="902"/>
      <c r="AK150" s="902"/>
      <c r="AL150" s="902"/>
      <c r="AM150" s="902"/>
      <c r="AN150" s="902"/>
      <c r="AO150" s="902"/>
      <c r="AP150" s="902"/>
      <c r="AQ150" s="902"/>
      <c r="AR150" s="902"/>
      <c r="AS150" s="902"/>
      <c r="AT150" s="902"/>
      <c r="AU150" s="902"/>
      <c r="AV150" s="902"/>
      <c r="AW150" s="902"/>
      <c r="AX150" s="902"/>
      <c r="AY150" s="902"/>
      <c r="AZ150" s="902"/>
      <c r="BA150" s="902"/>
      <c r="BB150" s="902"/>
      <c r="BC150" s="902"/>
      <c r="BD150" s="902"/>
    </row>
    <row r="151" spans="1:56" s="800" customFormat="1" x14ac:dyDescent="0.25">
      <c r="A151" s="799"/>
      <c r="B151" s="840" t="s">
        <v>1441</v>
      </c>
      <c r="C151" s="841" t="s">
        <v>1411</v>
      </c>
      <c r="D151" s="841" t="s">
        <v>1412</v>
      </c>
      <c r="E151" s="830" t="s">
        <v>1439</v>
      </c>
      <c r="F151" s="833"/>
      <c r="G151" s="833"/>
      <c r="H151" s="851"/>
      <c r="I151" s="851"/>
      <c r="J151" s="851"/>
      <c r="K151" s="900"/>
      <c r="L151" s="901"/>
      <c r="M151" s="901"/>
      <c r="N151" s="884"/>
      <c r="O151" s="884"/>
      <c r="P151" s="884"/>
      <c r="Q151" s="884"/>
      <c r="R151" s="884"/>
      <c r="S151" s="882">
        <f>S126*S92</f>
        <v>0.3</v>
      </c>
      <c r="T151" s="1056">
        <f t="shared" ref="T151:AD151" si="59">T126*T92</f>
        <v>0.32100000000000001</v>
      </c>
      <c r="U151" s="1056">
        <f t="shared" si="59"/>
        <v>0.34347000000000005</v>
      </c>
      <c r="V151" s="1056">
        <f t="shared" si="59"/>
        <v>0.39155580000000001</v>
      </c>
      <c r="W151" s="1056">
        <f t="shared" si="59"/>
        <v>0.44637361199999998</v>
      </c>
      <c r="X151" s="1056">
        <f t="shared" si="59"/>
        <v>0.50886591767999989</v>
      </c>
      <c r="Y151" s="1056">
        <f t="shared" si="59"/>
        <v>0.58010714615519987</v>
      </c>
      <c r="Z151" s="1056">
        <f t="shared" si="59"/>
        <v>0.66132214661692779</v>
      </c>
      <c r="AA151" s="1056">
        <f t="shared" si="59"/>
        <v>0.7539072471432976</v>
      </c>
      <c r="AB151" s="1056">
        <f t="shared" si="59"/>
        <v>0.85945426174335915</v>
      </c>
      <c r="AC151" s="1056">
        <f t="shared" si="59"/>
        <v>0.97977785838742937</v>
      </c>
      <c r="AD151" s="1056">
        <f t="shared" si="59"/>
        <v>1.1169467585616695</v>
      </c>
      <c r="AE151" s="902"/>
      <c r="AF151" s="902"/>
      <c r="AG151" s="902"/>
      <c r="AH151" s="902"/>
      <c r="AI151" s="902"/>
      <c r="AJ151" s="902"/>
      <c r="AK151" s="902"/>
      <c r="AL151" s="902"/>
      <c r="AM151" s="902"/>
      <c r="AN151" s="902"/>
      <c r="AO151" s="902"/>
      <c r="AP151" s="902"/>
      <c r="AQ151" s="902"/>
      <c r="AR151" s="902"/>
      <c r="AS151" s="902"/>
      <c r="AT151" s="902"/>
      <c r="AU151" s="902"/>
      <c r="AV151" s="902"/>
      <c r="AW151" s="902"/>
      <c r="AX151" s="902"/>
      <c r="AY151" s="902"/>
      <c r="AZ151" s="902"/>
      <c r="BA151" s="902"/>
      <c r="BB151" s="902"/>
      <c r="BC151" s="902"/>
      <c r="BD151" s="902"/>
    </row>
    <row r="152" spans="1:56" s="800" customFormat="1" x14ac:dyDescent="0.25">
      <c r="A152" s="799"/>
      <c r="B152" s="840" t="s">
        <v>1442</v>
      </c>
      <c r="C152" s="841" t="s">
        <v>1414</v>
      </c>
      <c r="D152" s="841" t="s">
        <v>1412</v>
      </c>
      <c r="E152" s="830" t="s">
        <v>1438</v>
      </c>
      <c r="F152" s="833"/>
      <c r="G152" s="833"/>
      <c r="H152" s="851"/>
      <c r="I152" s="851"/>
      <c r="J152" s="851"/>
      <c r="K152" s="900"/>
      <c r="L152" s="901"/>
      <c r="M152" s="901"/>
      <c r="N152" s="884"/>
      <c r="O152" s="884"/>
      <c r="P152" s="884"/>
      <c r="Q152" s="884"/>
      <c r="R152" s="884"/>
      <c r="S152" s="882">
        <f>S127*S93</f>
        <v>3.75</v>
      </c>
      <c r="T152" s="1056">
        <f t="shared" ref="T152:AD152" si="60">T127*T93</f>
        <v>4.0125000000000002</v>
      </c>
      <c r="U152" s="1056">
        <f t="shared" si="60"/>
        <v>4.2933750000000011</v>
      </c>
      <c r="V152" s="1056">
        <f t="shared" si="60"/>
        <v>4.8944475000000001</v>
      </c>
      <c r="W152" s="1056">
        <f t="shared" si="60"/>
        <v>5.5796701500000001</v>
      </c>
      <c r="X152" s="1056">
        <f t="shared" si="60"/>
        <v>6.3608239709999985</v>
      </c>
      <c r="Y152" s="1056">
        <f t="shared" si="60"/>
        <v>7.2513393269399984</v>
      </c>
      <c r="Z152" s="1056">
        <f t="shared" si="60"/>
        <v>8.2665268327115982</v>
      </c>
      <c r="AA152" s="1056">
        <f t="shared" si="60"/>
        <v>9.4238405892912205</v>
      </c>
      <c r="AB152" s="1056">
        <f t="shared" si="60"/>
        <v>10.74317827179199</v>
      </c>
      <c r="AC152" s="1056">
        <f t="shared" si="60"/>
        <v>12.247223229842866</v>
      </c>
      <c r="AD152" s="1056">
        <f t="shared" si="60"/>
        <v>13.961834482020869</v>
      </c>
      <c r="AE152" s="902"/>
      <c r="AF152" s="902"/>
      <c r="AG152" s="902"/>
      <c r="AH152" s="902"/>
      <c r="AI152" s="902"/>
      <c r="AJ152" s="902"/>
      <c r="AK152" s="902"/>
      <c r="AL152" s="902"/>
      <c r="AM152" s="902"/>
      <c r="AN152" s="902"/>
      <c r="AO152" s="902"/>
      <c r="AP152" s="902"/>
      <c r="AQ152" s="902"/>
      <c r="AR152" s="902"/>
      <c r="AS152" s="902"/>
      <c r="AT152" s="902"/>
      <c r="AU152" s="902"/>
      <c r="AV152" s="902"/>
      <c r="AW152" s="902"/>
      <c r="AX152" s="902"/>
      <c r="AY152" s="902"/>
      <c r="AZ152" s="902"/>
      <c r="BA152" s="902"/>
      <c r="BB152" s="902"/>
      <c r="BC152" s="902"/>
      <c r="BD152" s="902"/>
    </row>
    <row r="153" spans="1:56" s="800" customFormat="1" x14ac:dyDescent="0.25">
      <c r="A153" s="799"/>
      <c r="B153" s="840" t="s">
        <v>1415</v>
      </c>
      <c r="C153" s="841" t="s">
        <v>1416</v>
      </c>
      <c r="D153" s="841" t="s">
        <v>1412</v>
      </c>
      <c r="E153" s="830" t="s">
        <v>1439</v>
      </c>
      <c r="F153" s="833"/>
      <c r="G153" s="833"/>
      <c r="K153" s="839"/>
      <c r="L153" s="904"/>
      <c r="M153" s="904"/>
      <c r="N153" s="884"/>
      <c r="O153" s="884"/>
      <c r="P153" s="884"/>
      <c r="Q153" s="904"/>
      <c r="R153" s="904"/>
      <c r="S153" s="935"/>
      <c r="T153" s="1062">
        <f>T128*T94</f>
        <v>130</v>
      </c>
      <c r="U153" s="1062">
        <f t="shared" ref="U153:AD153" si="61">U128*U94</f>
        <v>136.5</v>
      </c>
      <c r="V153" s="1062">
        <f t="shared" si="61"/>
        <v>143.32500000000002</v>
      </c>
      <c r="W153" s="1062">
        <f t="shared" si="61"/>
        <v>157.65750000000003</v>
      </c>
      <c r="X153" s="1062">
        <f t="shared" si="61"/>
        <v>173.42325000000005</v>
      </c>
      <c r="Y153" s="1062">
        <f t="shared" si="61"/>
        <v>190.76557500000007</v>
      </c>
      <c r="Z153" s="1062">
        <f t="shared" si="61"/>
        <v>209.8421325000001</v>
      </c>
      <c r="AA153" s="1062">
        <f t="shared" si="61"/>
        <v>230.82634575000012</v>
      </c>
      <c r="AB153" s="1062">
        <f t="shared" si="61"/>
        <v>253.90898032500013</v>
      </c>
      <c r="AC153" s="1062">
        <f t="shared" si="61"/>
        <v>279.29987835750018</v>
      </c>
      <c r="AD153" s="1062">
        <f t="shared" si="61"/>
        <v>307.22986619325019</v>
      </c>
      <c r="AE153" s="894"/>
      <c r="AF153" s="894"/>
      <c r="AG153" s="894"/>
      <c r="AH153" s="894"/>
      <c r="AI153" s="894"/>
      <c r="AJ153" s="894"/>
      <c r="AK153" s="894"/>
      <c r="AL153" s="894"/>
      <c r="AM153" s="894"/>
      <c r="AN153" s="894"/>
      <c r="AO153" s="894"/>
      <c r="AP153" s="894"/>
      <c r="AQ153" s="894"/>
      <c r="AR153" s="894"/>
      <c r="AS153" s="894"/>
      <c r="AT153" s="894"/>
      <c r="AU153" s="894"/>
      <c r="AV153" s="894"/>
      <c r="AW153" s="894"/>
      <c r="AX153" s="894"/>
      <c r="AY153" s="894"/>
      <c r="AZ153" s="894"/>
      <c r="BA153" s="894"/>
      <c r="BB153" s="894"/>
      <c r="BC153" s="894"/>
      <c r="BD153" s="894"/>
    </row>
    <row r="154" spans="1:56" s="800" customFormat="1" x14ac:dyDescent="0.25">
      <c r="A154" s="799"/>
      <c r="B154" s="828" t="s">
        <v>1417</v>
      </c>
      <c r="C154" s="828"/>
      <c r="D154" s="828"/>
      <c r="E154" s="830" t="s">
        <v>1440</v>
      </c>
      <c r="F154" s="833"/>
      <c r="G154" s="833"/>
      <c r="L154" s="904"/>
      <c r="M154" s="904"/>
      <c r="N154" s="884"/>
      <c r="O154" s="884"/>
      <c r="P154" s="884"/>
      <c r="Q154" s="904"/>
      <c r="R154" s="904"/>
      <c r="S154" s="935"/>
      <c r="T154" s="1063"/>
      <c r="U154" s="1063"/>
      <c r="V154" s="1063"/>
      <c r="W154" s="1063"/>
      <c r="X154" s="1063"/>
      <c r="Y154" s="1063"/>
      <c r="Z154" s="1063"/>
      <c r="AA154" s="1063"/>
      <c r="AB154" s="1063"/>
      <c r="AC154" s="1063"/>
      <c r="AD154" s="1063"/>
      <c r="AE154" s="894"/>
      <c r="AF154" s="894"/>
      <c r="AG154" s="894"/>
      <c r="AH154" s="894"/>
      <c r="AI154" s="894"/>
      <c r="AJ154" s="894"/>
      <c r="AK154" s="894"/>
      <c r="AL154" s="894"/>
      <c r="AM154" s="894"/>
      <c r="AN154" s="894"/>
      <c r="AO154" s="894"/>
      <c r="AP154" s="894"/>
      <c r="AQ154" s="894"/>
      <c r="AR154" s="894"/>
      <c r="AS154" s="894"/>
      <c r="AT154" s="894"/>
      <c r="AU154" s="894"/>
      <c r="AV154" s="894"/>
      <c r="AW154" s="894"/>
      <c r="AX154" s="894"/>
      <c r="AY154" s="894"/>
      <c r="AZ154" s="894"/>
      <c r="BA154" s="894"/>
      <c r="BB154" s="894"/>
      <c r="BC154" s="894"/>
      <c r="BD154" s="894"/>
    </row>
    <row r="155" spans="1:56" s="800" customFormat="1" x14ac:dyDescent="0.25">
      <c r="A155" s="799"/>
      <c r="B155" s="840" t="s">
        <v>1418</v>
      </c>
      <c r="C155" s="841" t="s">
        <v>1419</v>
      </c>
      <c r="D155" s="829" t="s">
        <v>1401</v>
      </c>
      <c r="E155" s="830" t="s">
        <v>1438</v>
      </c>
      <c r="F155" s="833"/>
      <c r="G155" s="833"/>
      <c r="L155" s="904"/>
      <c r="M155" s="904"/>
      <c r="N155" s="884"/>
      <c r="O155" s="884"/>
      <c r="P155" s="884"/>
      <c r="Q155" s="904"/>
      <c r="R155" s="904"/>
      <c r="S155" s="935"/>
      <c r="T155" s="1063"/>
      <c r="U155" s="1063"/>
      <c r="V155" s="1062">
        <f>V130*V96</f>
        <v>23.3</v>
      </c>
      <c r="W155" s="1062">
        <f t="shared" ref="W155:AD155" si="62">W130*W96</f>
        <v>23.766000000000002</v>
      </c>
      <c r="X155" s="1062">
        <f t="shared" si="62"/>
        <v>24.241320000000002</v>
      </c>
      <c r="Y155" s="1062">
        <f t="shared" si="62"/>
        <v>24.726146400000005</v>
      </c>
      <c r="Z155" s="1062">
        <f t="shared" si="62"/>
        <v>25.220669328000003</v>
      </c>
      <c r="AA155" s="1062">
        <f t="shared" si="62"/>
        <v>25.725082714560003</v>
      </c>
      <c r="AB155" s="1062">
        <f t="shared" si="62"/>
        <v>26.239584368851204</v>
      </c>
      <c r="AC155" s="1062">
        <f t="shared" si="62"/>
        <v>26.764376056228226</v>
      </c>
      <c r="AD155" s="1062">
        <f t="shared" si="62"/>
        <v>27.299663577352792</v>
      </c>
      <c r="AE155" s="894"/>
      <c r="AF155" s="894"/>
      <c r="AG155" s="894"/>
      <c r="AH155" s="894"/>
      <c r="AI155" s="894"/>
      <c r="AJ155" s="894"/>
      <c r="AK155" s="894"/>
      <c r="AL155" s="894"/>
      <c r="AM155" s="894"/>
      <c r="AN155" s="894"/>
      <c r="AO155" s="894"/>
      <c r="AP155" s="894"/>
      <c r="AQ155" s="894"/>
      <c r="AR155" s="894"/>
      <c r="AS155" s="894"/>
      <c r="AT155" s="894"/>
      <c r="AU155" s="894"/>
      <c r="AV155" s="894"/>
      <c r="AW155" s="894"/>
      <c r="AX155" s="894"/>
      <c r="AY155" s="894"/>
      <c r="AZ155" s="894"/>
      <c r="BA155" s="894"/>
      <c r="BB155" s="894"/>
      <c r="BC155" s="894"/>
      <c r="BD155" s="894"/>
    </row>
    <row r="156" spans="1:56" s="800" customFormat="1" x14ac:dyDescent="0.25">
      <c r="A156" s="799"/>
      <c r="B156" s="840" t="s">
        <v>1420</v>
      </c>
      <c r="C156" s="841" t="s">
        <v>1421</v>
      </c>
      <c r="D156" s="829" t="s">
        <v>1401</v>
      </c>
      <c r="E156" s="830" t="s">
        <v>1439</v>
      </c>
      <c r="F156" s="833"/>
      <c r="G156" s="833"/>
      <c r="L156" s="904"/>
      <c r="M156" s="904"/>
      <c r="N156" s="884"/>
      <c r="O156" s="884"/>
      <c r="P156" s="884"/>
      <c r="Q156" s="904"/>
      <c r="R156" s="904"/>
      <c r="S156" s="935"/>
      <c r="T156" s="1063"/>
      <c r="U156" s="1063"/>
      <c r="V156" s="1062">
        <f>V131*V97</f>
        <v>16.7</v>
      </c>
      <c r="W156" s="1062">
        <f t="shared" ref="W156:AD156" si="63">W131*W97</f>
        <v>17.034000000000002</v>
      </c>
      <c r="X156" s="1062">
        <f t="shared" si="63"/>
        <v>17.374680000000001</v>
      </c>
      <c r="Y156" s="1062">
        <f t="shared" si="63"/>
        <v>17.722173600000001</v>
      </c>
      <c r="Z156" s="1062">
        <f t="shared" si="63"/>
        <v>18.076617072000001</v>
      </c>
      <c r="AA156" s="1062">
        <f t="shared" si="63"/>
        <v>18.438149413440001</v>
      </c>
      <c r="AB156" s="1062">
        <f t="shared" si="63"/>
        <v>18.806912401708804</v>
      </c>
      <c r="AC156" s="1062">
        <f t="shared" si="63"/>
        <v>19.183050649742977</v>
      </c>
      <c r="AD156" s="1062">
        <f t="shared" si="63"/>
        <v>19.566711662737838</v>
      </c>
      <c r="AE156" s="894"/>
      <c r="AF156" s="894"/>
      <c r="AG156" s="894"/>
      <c r="AH156" s="894"/>
      <c r="AI156" s="894"/>
      <c r="AJ156" s="894"/>
      <c r="AK156" s="894"/>
      <c r="AL156" s="894"/>
      <c r="AM156" s="894"/>
      <c r="AN156" s="894"/>
      <c r="AO156" s="894"/>
      <c r="AP156" s="894"/>
      <c r="AQ156" s="894"/>
      <c r="AR156" s="894"/>
      <c r="AS156" s="894"/>
      <c r="AT156" s="894"/>
      <c r="AU156" s="894"/>
      <c r="AV156" s="894"/>
      <c r="AW156" s="894"/>
      <c r="AX156" s="894"/>
      <c r="AY156" s="894"/>
      <c r="AZ156" s="894"/>
      <c r="BA156" s="894"/>
      <c r="BB156" s="894"/>
      <c r="BC156" s="894"/>
      <c r="BD156" s="894"/>
    </row>
    <row r="157" spans="1:56" s="800" customFormat="1" x14ac:dyDescent="0.25">
      <c r="A157" s="799"/>
      <c r="B157" s="828" t="s">
        <v>1422</v>
      </c>
      <c r="C157" s="828"/>
      <c r="D157" s="828"/>
      <c r="E157" s="830" t="s">
        <v>1440</v>
      </c>
      <c r="F157" s="833"/>
      <c r="G157" s="833"/>
      <c r="L157" s="904"/>
      <c r="M157" s="904"/>
      <c r="N157" s="884"/>
      <c r="O157" s="884"/>
      <c r="P157" s="884"/>
      <c r="Q157" s="904"/>
      <c r="R157" s="904"/>
      <c r="S157" s="935"/>
      <c r="T157" s="1063"/>
      <c r="U157" s="1063"/>
      <c r="V157" s="1063"/>
      <c r="W157" s="1063"/>
      <c r="X157" s="1063"/>
      <c r="Y157" s="1063"/>
      <c r="Z157" s="1063"/>
      <c r="AA157" s="1063"/>
      <c r="AB157" s="1063"/>
      <c r="AC157" s="1063"/>
      <c r="AD157" s="1063"/>
      <c r="AE157" s="894"/>
      <c r="AF157" s="894"/>
      <c r="AG157" s="894"/>
      <c r="AH157" s="894"/>
      <c r="AI157" s="894"/>
      <c r="AJ157" s="894"/>
      <c r="AK157" s="894"/>
      <c r="AL157" s="894"/>
      <c r="AM157" s="894"/>
      <c r="AN157" s="894"/>
      <c r="AO157" s="894"/>
      <c r="AP157" s="894"/>
      <c r="AQ157" s="894"/>
      <c r="AR157" s="894"/>
      <c r="AS157" s="894"/>
      <c r="AT157" s="894"/>
      <c r="AU157" s="894"/>
      <c r="AV157" s="894"/>
      <c r="AW157" s="894"/>
      <c r="AX157" s="894"/>
      <c r="AY157" s="894"/>
      <c r="AZ157" s="894"/>
      <c r="BA157" s="894"/>
      <c r="BB157" s="894"/>
      <c r="BC157" s="894"/>
      <c r="BD157" s="894"/>
    </row>
    <row r="158" spans="1:56" s="800" customFormat="1" x14ac:dyDescent="0.25">
      <c r="A158" s="799"/>
      <c r="B158" s="840" t="s">
        <v>1423</v>
      </c>
      <c r="C158" s="841" t="s">
        <v>1424</v>
      </c>
      <c r="D158" s="841" t="s">
        <v>1412</v>
      </c>
      <c r="E158" s="830" t="s">
        <v>1438</v>
      </c>
      <c r="F158" s="833"/>
      <c r="G158" s="833"/>
      <c r="L158" s="904"/>
      <c r="M158" s="904"/>
      <c r="N158" s="884"/>
      <c r="O158" s="884"/>
      <c r="P158" s="884"/>
      <c r="Q158" s="904"/>
      <c r="R158" s="904"/>
      <c r="S158" s="935"/>
      <c r="T158" s="1063"/>
      <c r="U158" s="1063"/>
      <c r="V158" s="1063"/>
      <c r="W158" s="1062">
        <f>W133*W99</f>
        <v>1.5</v>
      </c>
      <c r="X158" s="1062">
        <f t="shared" ref="X158:AD158" si="64">X133*X99</f>
        <v>1.59</v>
      </c>
      <c r="Y158" s="1062">
        <f t="shared" si="64"/>
        <v>1.6854000000000002</v>
      </c>
      <c r="Z158" s="1062">
        <f t="shared" si="64"/>
        <v>1.8202320000000003</v>
      </c>
      <c r="AA158" s="1062">
        <f t="shared" si="64"/>
        <v>1.9658505600000002</v>
      </c>
      <c r="AB158" s="1062">
        <f t="shared" si="64"/>
        <v>2.1231186048000006</v>
      </c>
      <c r="AC158" s="1062">
        <f t="shared" si="64"/>
        <v>2.2929680931840011</v>
      </c>
      <c r="AD158" s="1062">
        <f t="shared" si="64"/>
        <v>2.4764055406387211</v>
      </c>
      <c r="AE158" s="894"/>
      <c r="AF158" s="894"/>
      <c r="AG158" s="894"/>
      <c r="AH158" s="894"/>
      <c r="AI158" s="894"/>
      <c r="AJ158" s="894"/>
      <c r="AK158" s="894"/>
      <c r="AL158" s="894"/>
      <c r="AM158" s="894"/>
      <c r="AN158" s="894"/>
      <c r="AO158" s="894"/>
      <c r="AP158" s="894"/>
      <c r="AQ158" s="894"/>
      <c r="AR158" s="894"/>
      <c r="AS158" s="894"/>
      <c r="AT158" s="894"/>
      <c r="AU158" s="894"/>
      <c r="AV158" s="894"/>
      <c r="AW158" s="894"/>
      <c r="AX158" s="894"/>
      <c r="AY158" s="894"/>
      <c r="AZ158" s="894"/>
      <c r="BA158" s="894"/>
      <c r="BB158" s="894"/>
      <c r="BC158" s="894"/>
      <c r="BD158" s="894"/>
    </row>
    <row r="159" spans="1:56" s="800" customFormat="1" x14ac:dyDescent="0.25">
      <c r="A159" s="799"/>
      <c r="B159" s="840" t="s">
        <v>1425</v>
      </c>
      <c r="C159" s="841" t="s">
        <v>1426</v>
      </c>
      <c r="D159" s="829" t="s">
        <v>1401</v>
      </c>
      <c r="E159" s="830" t="s">
        <v>1439</v>
      </c>
      <c r="F159" s="833"/>
      <c r="G159" s="833"/>
      <c r="L159" s="904"/>
      <c r="M159" s="904"/>
      <c r="N159" s="884"/>
      <c r="O159" s="884"/>
      <c r="P159" s="884"/>
      <c r="Q159" s="904"/>
      <c r="R159" s="904"/>
      <c r="S159" s="935"/>
      <c r="T159" s="1063"/>
      <c r="U159" s="1063"/>
      <c r="V159" s="1063"/>
      <c r="W159" s="1063"/>
      <c r="X159" s="1063"/>
      <c r="Y159" s="1063"/>
      <c r="Z159" s="1062">
        <f>Z134*Z100</f>
        <v>4</v>
      </c>
      <c r="AA159" s="1062">
        <f t="shared" ref="AA159:AD159" si="65">AA134*AA100</f>
        <v>4.12</v>
      </c>
      <c r="AB159" s="1062">
        <f t="shared" si="65"/>
        <v>4.2436000000000007</v>
      </c>
      <c r="AC159" s="1062">
        <f t="shared" si="65"/>
        <v>4.3709080000000009</v>
      </c>
      <c r="AD159" s="1062">
        <f t="shared" si="65"/>
        <v>4.5020352400000005</v>
      </c>
      <c r="AE159" s="894"/>
      <c r="AF159" s="894"/>
      <c r="AG159" s="894"/>
      <c r="AH159" s="894"/>
      <c r="AI159" s="894"/>
      <c r="AJ159" s="894"/>
      <c r="AK159" s="894"/>
      <c r="AL159" s="894"/>
      <c r="AM159" s="894"/>
      <c r="AN159" s="894"/>
      <c r="AO159" s="894"/>
      <c r="AP159" s="894"/>
      <c r="AQ159" s="894"/>
      <c r="AR159" s="894"/>
      <c r="AS159" s="894"/>
      <c r="AT159" s="894"/>
      <c r="AU159" s="894"/>
      <c r="AV159" s="894"/>
      <c r="AW159" s="894"/>
      <c r="AX159" s="894"/>
      <c r="AY159" s="894"/>
      <c r="AZ159" s="894"/>
      <c r="BA159" s="894"/>
      <c r="BB159" s="894"/>
      <c r="BC159" s="894"/>
      <c r="BD159" s="894"/>
    </row>
    <row r="160" spans="1:56" s="800" customFormat="1" x14ac:dyDescent="0.25">
      <c r="A160" s="799"/>
      <c r="B160" s="840" t="s">
        <v>1427</v>
      </c>
      <c r="C160" s="841" t="s">
        <v>1428</v>
      </c>
      <c r="D160" s="829" t="s">
        <v>1401</v>
      </c>
      <c r="E160" s="830" t="s">
        <v>1438</v>
      </c>
      <c r="F160" s="833"/>
      <c r="G160" s="833"/>
      <c r="L160" s="904"/>
      <c r="M160" s="904"/>
      <c r="N160" s="884"/>
      <c r="O160" s="884"/>
      <c r="P160" s="884"/>
      <c r="Q160" s="904"/>
      <c r="R160" s="904"/>
      <c r="S160" s="935"/>
      <c r="T160" s="1063"/>
      <c r="U160" s="1063"/>
      <c r="V160" s="1063"/>
      <c r="W160" s="1063"/>
      <c r="X160" s="1062">
        <f>X135*X101</f>
        <v>0.45</v>
      </c>
      <c r="Y160" s="1062">
        <f t="shared" ref="Y160:AD160" si="66">Y135*Y101</f>
        <v>0.46350000000000002</v>
      </c>
      <c r="Z160" s="1062">
        <f t="shared" si="66"/>
        <v>0.47740500000000008</v>
      </c>
      <c r="AA160" s="1062">
        <f t="shared" si="66"/>
        <v>0.49172715000000006</v>
      </c>
      <c r="AB160" s="1062">
        <f t="shared" si="66"/>
        <v>0.50647896450000007</v>
      </c>
      <c r="AC160" s="1062">
        <f t="shared" si="66"/>
        <v>0.52167333343500011</v>
      </c>
      <c r="AD160" s="1062">
        <f t="shared" si="66"/>
        <v>0.53732353343805017</v>
      </c>
      <c r="AE160" s="894"/>
      <c r="AF160" s="894"/>
      <c r="AG160" s="894"/>
      <c r="AH160" s="894"/>
      <c r="AI160" s="894"/>
      <c r="AJ160" s="894"/>
      <c r="AK160" s="894"/>
      <c r="AL160" s="894"/>
      <c r="AM160" s="894"/>
      <c r="AN160" s="894"/>
      <c r="AO160" s="894"/>
      <c r="AP160" s="894"/>
      <c r="AQ160" s="894"/>
      <c r="AR160" s="894"/>
      <c r="AS160" s="894"/>
      <c r="AT160" s="894"/>
      <c r="AU160" s="894"/>
      <c r="AV160" s="894"/>
      <c r="AW160" s="894"/>
      <c r="AX160" s="894"/>
      <c r="AY160" s="894"/>
      <c r="AZ160" s="894"/>
      <c r="BA160" s="894"/>
      <c r="BB160" s="894"/>
      <c r="BC160" s="894"/>
      <c r="BD160" s="894"/>
    </row>
    <row r="161" spans="1:56" s="800" customFormat="1" x14ac:dyDescent="0.25">
      <c r="A161" s="799"/>
      <c r="B161" s="840" t="s">
        <v>1429</v>
      </c>
      <c r="C161" s="841" t="s">
        <v>1430</v>
      </c>
      <c r="D161" s="829" t="s">
        <v>1401</v>
      </c>
      <c r="E161" s="830" t="s">
        <v>1439</v>
      </c>
      <c r="F161" s="833"/>
      <c r="G161" s="833"/>
      <c r="L161" s="904"/>
      <c r="M161" s="904"/>
      <c r="N161" s="884"/>
      <c r="O161" s="884"/>
      <c r="P161" s="884"/>
      <c r="Q161" s="904"/>
      <c r="R161" s="904"/>
      <c r="S161" s="935"/>
      <c r="T161" s="1063"/>
      <c r="U161" s="1063"/>
      <c r="V161" s="1063"/>
      <c r="W161" s="1063"/>
      <c r="X161" s="1062">
        <f>X136*X102</f>
        <v>0.25</v>
      </c>
      <c r="Y161" s="1062">
        <f t="shared" ref="Y161:AD161" si="67">Y136*Y102</f>
        <v>0.25750000000000001</v>
      </c>
      <c r="Z161" s="1062">
        <f t="shared" si="67"/>
        <v>0.26522500000000004</v>
      </c>
      <c r="AA161" s="1062">
        <f t="shared" si="67"/>
        <v>0.27318175000000006</v>
      </c>
      <c r="AB161" s="1062">
        <f t="shared" si="67"/>
        <v>0.28137720250000003</v>
      </c>
      <c r="AC161" s="1062">
        <f t="shared" si="67"/>
        <v>0.28981851857500007</v>
      </c>
      <c r="AD161" s="1062">
        <f t="shared" si="67"/>
        <v>0.29851307413225009</v>
      </c>
      <c r="AE161" s="894"/>
      <c r="AF161" s="894"/>
      <c r="AG161" s="894"/>
      <c r="AH161" s="894"/>
      <c r="AI161" s="894"/>
      <c r="AJ161" s="894"/>
      <c r="AK161" s="894"/>
      <c r="AL161" s="894"/>
      <c r="AM161" s="894"/>
      <c r="AN161" s="894"/>
      <c r="AO161" s="894"/>
      <c r="AP161" s="894"/>
      <c r="AQ161" s="894"/>
      <c r="AR161" s="894"/>
      <c r="AS161" s="894"/>
      <c r="AT161" s="894"/>
      <c r="AU161" s="894"/>
      <c r="AV161" s="894"/>
      <c r="AW161" s="894"/>
      <c r="AX161" s="894"/>
      <c r="AY161" s="894"/>
      <c r="AZ161" s="894"/>
      <c r="BA161" s="894"/>
      <c r="BB161" s="894"/>
      <c r="BC161" s="894"/>
      <c r="BD161" s="894"/>
    </row>
    <row r="162" spans="1:56" s="800" customFormat="1" x14ac:dyDescent="0.25">
      <c r="A162" s="799"/>
      <c r="B162" s="828" t="s">
        <v>1431</v>
      </c>
      <c r="C162" s="829" t="s">
        <v>1432</v>
      </c>
      <c r="D162" s="829"/>
      <c r="E162" s="936"/>
      <c r="F162" s="833"/>
      <c r="G162" s="833"/>
      <c r="L162" s="904"/>
      <c r="M162" s="904"/>
      <c r="N162" s="884"/>
      <c r="O162" s="884"/>
      <c r="P162" s="884"/>
      <c r="Q162" s="904"/>
      <c r="R162" s="904"/>
      <c r="S162" s="935"/>
      <c r="T162" s="1064"/>
      <c r="U162" s="1064"/>
      <c r="V162" s="1064"/>
      <c r="W162" s="1064"/>
      <c r="X162" s="1064"/>
      <c r="Y162" s="1064"/>
      <c r="Z162" s="1064"/>
      <c r="AA162" s="1064"/>
      <c r="AB162" s="1064"/>
      <c r="AC162" s="1064"/>
      <c r="AD162" s="1064"/>
      <c r="AE162" s="894"/>
      <c r="AF162" s="894"/>
      <c r="AG162" s="894"/>
      <c r="AH162" s="894"/>
      <c r="AI162" s="894"/>
      <c r="AJ162" s="894"/>
      <c r="AK162" s="894"/>
      <c r="AL162" s="894"/>
      <c r="AM162" s="894"/>
      <c r="AN162" s="894"/>
      <c r="AO162" s="894"/>
      <c r="AP162" s="894"/>
      <c r="AQ162" s="894"/>
      <c r="AR162" s="894"/>
      <c r="AS162" s="894"/>
      <c r="AT162" s="894"/>
      <c r="AU162" s="894"/>
      <c r="AV162" s="894"/>
      <c r="AW162" s="894"/>
      <c r="AX162" s="894"/>
      <c r="AY162" s="894"/>
      <c r="AZ162" s="894"/>
      <c r="BA162" s="894"/>
      <c r="BB162" s="894"/>
      <c r="BC162" s="894"/>
      <c r="BD162" s="894"/>
    </row>
    <row r="163" spans="1:56" s="800" customFormat="1" x14ac:dyDescent="0.25">
      <c r="A163" s="799"/>
      <c r="B163" s="844" t="s">
        <v>1443</v>
      </c>
      <c r="C163" s="844"/>
      <c r="D163" s="844"/>
      <c r="E163" s="845" t="s">
        <v>1440</v>
      </c>
      <c r="F163" s="844"/>
      <c r="G163" s="844"/>
      <c r="H163" s="844"/>
      <c r="I163" s="844"/>
      <c r="J163" s="844"/>
      <c r="K163" s="888"/>
      <c r="L163" s="888"/>
      <c r="M163" s="888"/>
      <c r="N163" s="888"/>
      <c r="O163" s="888"/>
      <c r="P163" s="888"/>
      <c r="Q163" s="888"/>
      <c r="R163" s="937">
        <f>SUM(R142,R143,R144,R145,R146,R147,R148,R151,R152,R153,R155,R156,R158,R159,R160,R161,R162)</f>
        <v>378.36199999999997</v>
      </c>
      <c r="S163" s="938">
        <f t="shared" ref="S163:AD163" si="68">SUM(S142,S143,S144,S145,S146,S147,S148,S151,S152,S153,S155,S156,S158,S159,S160,S161,S162)</f>
        <v>382.41199999999998</v>
      </c>
      <c r="T163" s="1065">
        <f t="shared" si="68"/>
        <v>516.43669999999997</v>
      </c>
      <c r="U163" s="1065">
        <f t="shared" si="68"/>
        <v>527.02498500000002</v>
      </c>
      <c r="V163" s="1065">
        <f t="shared" si="68"/>
        <v>578.32838726</v>
      </c>
      <c r="W163" s="1065">
        <f t="shared" si="68"/>
        <v>599.57504777279996</v>
      </c>
      <c r="X163" s="1065">
        <f t="shared" si="68"/>
        <v>621.71002047501213</v>
      </c>
      <c r="Y163" s="1065">
        <f t="shared" si="68"/>
        <v>644.29666508591026</v>
      </c>
      <c r="Z163" s="1065">
        <f t="shared" si="68"/>
        <v>672.77468272827161</v>
      </c>
      <c r="AA163" s="1065">
        <f t="shared" si="68"/>
        <v>699.4952635518672</v>
      </c>
      <c r="AB163" s="1065">
        <f t="shared" si="68"/>
        <v>728.55581456210234</v>
      </c>
      <c r="AC163" s="1065">
        <f t="shared" si="68"/>
        <v>760.1924155597145</v>
      </c>
      <c r="AD163" s="1065">
        <f t="shared" si="68"/>
        <v>794.66564893957946</v>
      </c>
      <c r="AE163" s="896"/>
      <c r="AF163" s="896"/>
      <c r="AG163" s="896"/>
      <c r="AH163" s="896"/>
      <c r="AI163" s="896"/>
      <c r="AJ163" s="896"/>
      <c r="AK163" s="896"/>
      <c r="AL163" s="896"/>
      <c r="AM163" s="896"/>
      <c r="AN163" s="896"/>
      <c r="AO163" s="896"/>
      <c r="AP163" s="896"/>
      <c r="AQ163" s="896"/>
      <c r="AR163" s="896"/>
      <c r="AS163" s="896"/>
      <c r="AT163" s="896"/>
      <c r="AU163" s="896"/>
      <c r="AV163" s="896"/>
      <c r="AW163" s="896"/>
      <c r="AX163" s="896"/>
      <c r="AY163" s="896"/>
      <c r="AZ163" s="896"/>
      <c r="BA163" s="896"/>
      <c r="BB163" s="896"/>
      <c r="BC163" s="896"/>
      <c r="BD163" s="896"/>
    </row>
    <row r="164" spans="1:56" s="800" customFormat="1" x14ac:dyDescent="0.25">
      <c r="A164" s="799"/>
      <c r="B164" s="851"/>
      <c r="C164" s="851"/>
      <c r="D164" s="851"/>
      <c r="E164" s="852"/>
      <c r="F164" s="851"/>
      <c r="G164" s="851"/>
      <c r="H164" s="851"/>
      <c r="I164" s="851"/>
      <c r="J164" s="851"/>
      <c r="K164" s="900"/>
      <c r="L164" s="900"/>
      <c r="M164" s="900"/>
      <c r="N164" s="900"/>
      <c r="O164" s="900"/>
      <c r="P164" s="900"/>
      <c r="Q164" s="900"/>
      <c r="R164" s="900"/>
      <c r="S164" s="939"/>
      <c r="T164" s="1066"/>
      <c r="U164" s="1066"/>
      <c r="V164" s="1066"/>
      <c r="W164" s="1066"/>
      <c r="X164" s="1066"/>
      <c r="Y164" s="1066"/>
      <c r="Z164" s="1066"/>
      <c r="AA164" s="1066"/>
      <c r="AB164" s="1066"/>
      <c r="AC164" s="1066"/>
      <c r="AD164" s="1066"/>
      <c r="AE164" s="900"/>
      <c r="AF164" s="900"/>
      <c r="AG164" s="900"/>
      <c r="AH164" s="900"/>
      <c r="AI164" s="900"/>
      <c r="AJ164" s="900"/>
      <c r="AK164" s="900"/>
      <c r="AL164" s="900"/>
      <c r="AM164" s="900"/>
      <c r="AN164" s="900"/>
      <c r="AO164" s="900"/>
      <c r="AP164" s="900"/>
      <c r="AQ164" s="900"/>
      <c r="AR164" s="900"/>
      <c r="AS164" s="900"/>
      <c r="AT164" s="900"/>
      <c r="AU164" s="900"/>
      <c r="AV164" s="900"/>
      <c r="AW164" s="900"/>
      <c r="AX164" s="900"/>
      <c r="AY164" s="900"/>
      <c r="AZ164" s="900"/>
      <c r="BA164" s="900"/>
      <c r="BB164" s="900"/>
      <c r="BC164" s="900"/>
      <c r="BD164" s="900"/>
    </row>
    <row r="165" spans="1:56" s="860" customFormat="1" x14ac:dyDescent="0.25">
      <c r="A165" s="859"/>
      <c r="B165" s="891"/>
      <c r="C165" s="891"/>
      <c r="D165" s="891"/>
      <c r="E165" s="891"/>
      <c r="F165" s="891"/>
      <c r="G165" s="891"/>
      <c r="H165" s="891"/>
      <c r="I165" s="891"/>
      <c r="J165" s="891"/>
      <c r="K165" s="892"/>
      <c r="L165" s="892"/>
      <c r="M165" s="892"/>
      <c r="N165" s="892"/>
      <c r="O165" s="892"/>
      <c r="P165" s="892"/>
      <c r="Q165" s="892"/>
      <c r="R165" s="892"/>
      <c r="S165" s="893"/>
      <c r="T165" s="1067"/>
      <c r="U165" s="1067"/>
      <c r="V165" s="1067"/>
      <c r="W165" s="1067"/>
      <c r="X165" s="1067"/>
      <c r="Y165" s="1067"/>
      <c r="Z165" s="1067"/>
      <c r="AA165" s="1067"/>
      <c r="AB165" s="1067"/>
      <c r="AC165" s="1067"/>
      <c r="AD165" s="1067"/>
      <c r="AE165" s="892"/>
      <c r="AF165" s="892"/>
      <c r="AG165" s="892"/>
      <c r="AH165" s="892"/>
      <c r="AI165" s="892"/>
      <c r="AJ165" s="892"/>
      <c r="AK165" s="892"/>
      <c r="AL165" s="892"/>
      <c r="AM165" s="892"/>
      <c r="AN165" s="892"/>
      <c r="AO165" s="892"/>
      <c r="AP165" s="892"/>
      <c r="AQ165" s="892"/>
      <c r="AR165" s="892"/>
      <c r="AS165" s="892"/>
      <c r="AT165" s="892"/>
      <c r="AU165" s="892"/>
      <c r="AV165" s="892"/>
      <c r="AW165" s="892"/>
      <c r="AX165" s="892"/>
      <c r="AY165" s="892"/>
      <c r="AZ165" s="892"/>
      <c r="BA165" s="892"/>
      <c r="BB165" s="892"/>
      <c r="BC165" s="892"/>
      <c r="BD165" s="892"/>
    </row>
    <row r="166" spans="1:56" s="825" customFormat="1" ht="14.25" customHeight="1" x14ac:dyDescent="0.25">
      <c r="A166" s="823">
        <v>8</v>
      </c>
      <c r="B166" s="824" t="s">
        <v>1458</v>
      </c>
      <c r="C166" s="824"/>
      <c r="D166" s="824"/>
      <c r="E166" s="911"/>
      <c r="F166" s="911"/>
      <c r="G166" s="911"/>
      <c r="H166" s="911"/>
      <c r="I166" s="911"/>
      <c r="J166" s="911"/>
      <c r="K166" s="912"/>
      <c r="L166" s="912"/>
      <c r="M166" s="912"/>
      <c r="N166" s="912"/>
      <c r="O166" s="912"/>
      <c r="P166" s="912"/>
      <c r="Q166" s="912"/>
      <c r="R166" s="912"/>
      <c r="S166" s="913"/>
      <c r="T166" s="912"/>
      <c r="U166" s="912"/>
      <c r="V166" s="912"/>
      <c r="W166" s="912"/>
      <c r="X166" s="912"/>
      <c r="Y166" s="912"/>
      <c r="Z166" s="912"/>
      <c r="AA166" s="912"/>
      <c r="AB166" s="912"/>
      <c r="AC166" s="912"/>
      <c r="AD166" s="912"/>
      <c r="AE166" s="912"/>
      <c r="AF166" s="912"/>
      <c r="AG166" s="912"/>
      <c r="AH166" s="912"/>
      <c r="AI166" s="912"/>
      <c r="AJ166" s="912"/>
      <c r="AK166" s="912"/>
      <c r="AL166" s="912"/>
      <c r="AM166" s="912"/>
      <c r="AN166" s="912"/>
      <c r="AO166" s="912"/>
      <c r="AP166" s="912"/>
      <c r="AQ166" s="912"/>
      <c r="AR166" s="912"/>
      <c r="AS166" s="912"/>
      <c r="AT166" s="912"/>
      <c r="AU166" s="912"/>
      <c r="AV166" s="912"/>
      <c r="AW166" s="912"/>
      <c r="AX166" s="912"/>
      <c r="AY166" s="912"/>
      <c r="AZ166" s="912"/>
      <c r="BA166" s="912"/>
      <c r="BB166" s="912"/>
      <c r="BC166" s="912"/>
      <c r="BD166" s="912"/>
    </row>
    <row r="167" spans="1:56" s="800" customFormat="1" ht="14.25" customHeight="1" x14ac:dyDescent="0.25">
      <c r="A167" s="799"/>
      <c r="B167" s="828" t="s">
        <v>1400</v>
      </c>
      <c r="C167" s="829" t="s">
        <v>714</v>
      </c>
      <c r="D167" s="829" t="s">
        <v>1401</v>
      </c>
      <c r="E167" s="830" t="s">
        <v>1438</v>
      </c>
      <c r="F167" s="833"/>
      <c r="G167" s="833"/>
      <c r="H167" s="851"/>
      <c r="I167" s="851"/>
      <c r="J167" s="851"/>
      <c r="K167" s="900"/>
      <c r="L167" s="901"/>
      <c r="M167" s="901"/>
      <c r="N167" s="901"/>
      <c r="O167" s="901"/>
      <c r="P167" s="901"/>
      <c r="Q167" s="900"/>
      <c r="R167" s="900"/>
      <c r="S167" s="939"/>
      <c r="T167" s="918"/>
      <c r="U167" s="918"/>
      <c r="V167" s="918"/>
      <c r="W167" s="918"/>
      <c r="X167" s="918"/>
      <c r="Y167" s="918"/>
      <c r="Z167" s="918"/>
      <c r="AA167" s="918"/>
      <c r="AB167" s="918"/>
      <c r="AC167" s="918"/>
      <c r="AD167" s="918"/>
      <c r="AE167" s="918"/>
      <c r="AF167" s="918"/>
      <c r="AG167" s="918"/>
      <c r="AH167" s="918"/>
      <c r="AI167" s="918"/>
      <c r="AJ167" s="918"/>
      <c r="AK167" s="918"/>
      <c r="AL167" s="918"/>
      <c r="AM167" s="918"/>
      <c r="AN167" s="918"/>
      <c r="AO167" s="918"/>
      <c r="AP167" s="918"/>
      <c r="AQ167" s="918"/>
      <c r="AR167" s="918"/>
      <c r="AS167" s="918"/>
      <c r="AT167" s="918"/>
      <c r="AU167" s="918"/>
      <c r="AV167" s="918"/>
      <c r="AW167" s="918"/>
      <c r="AX167" s="918"/>
      <c r="AY167" s="918"/>
      <c r="AZ167" s="918"/>
      <c r="BA167" s="918"/>
      <c r="BB167" s="918"/>
      <c r="BC167" s="918"/>
      <c r="BD167" s="918"/>
    </row>
    <row r="168" spans="1:56" s="800" customFormat="1" ht="14.25" customHeight="1" x14ac:dyDescent="0.25">
      <c r="A168" s="799"/>
      <c r="B168" s="828" t="s">
        <v>1402</v>
      </c>
      <c r="C168" s="829" t="s">
        <v>739</v>
      </c>
      <c r="D168" s="829" t="s">
        <v>1401</v>
      </c>
      <c r="E168" s="830" t="s">
        <v>1439</v>
      </c>
      <c r="F168" s="833"/>
      <c r="G168" s="833"/>
      <c r="H168" s="851"/>
      <c r="I168" s="851"/>
      <c r="J168" s="851"/>
      <c r="K168" s="900"/>
      <c r="L168" s="901"/>
      <c r="M168" s="901"/>
      <c r="N168" s="901"/>
      <c r="O168" s="901"/>
      <c r="P168" s="901"/>
      <c r="Q168" s="900"/>
      <c r="R168" s="900"/>
      <c r="S168" s="939"/>
      <c r="T168" s="918"/>
      <c r="U168" s="918"/>
      <c r="V168" s="918"/>
      <c r="W168" s="918"/>
      <c r="X168" s="918"/>
      <c r="Y168" s="918"/>
      <c r="Z168" s="918"/>
      <c r="AA168" s="918"/>
      <c r="AB168" s="918"/>
      <c r="AC168" s="918"/>
      <c r="AD168" s="918"/>
      <c r="AE168" s="918"/>
      <c r="AF168" s="918"/>
      <c r="AG168" s="918"/>
      <c r="AH168" s="918"/>
      <c r="AI168" s="918"/>
      <c r="AJ168" s="918"/>
      <c r="AK168" s="918"/>
      <c r="AL168" s="918"/>
      <c r="AM168" s="918"/>
      <c r="AN168" s="918"/>
      <c r="AO168" s="918"/>
      <c r="AP168" s="918"/>
      <c r="AQ168" s="918"/>
      <c r="AR168" s="918"/>
      <c r="AS168" s="918"/>
      <c r="AT168" s="918"/>
      <c r="AU168" s="918"/>
      <c r="AV168" s="918"/>
      <c r="AW168" s="918"/>
      <c r="AX168" s="918"/>
      <c r="AY168" s="918"/>
      <c r="AZ168" s="918"/>
      <c r="BA168" s="918"/>
      <c r="BB168" s="918"/>
      <c r="BC168" s="918"/>
      <c r="BD168" s="918"/>
    </row>
    <row r="169" spans="1:56" s="800" customFormat="1" ht="14.25" customHeight="1" x14ac:dyDescent="0.25">
      <c r="A169" s="799"/>
      <c r="B169" s="828" t="s">
        <v>1403</v>
      </c>
      <c r="C169" s="829" t="s">
        <v>701</v>
      </c>
      <c r="D169" s="829" t="s">
        <v>1401</v>
      </c>
      <c r="E169" s="830" t="s">
        <v>1439</v>
      </c>
      <c r="F169" s="833"/>
      <c r="G169" s="833"/>
      <c r="H169" s="851"/>
      <c r="I169" s="851"/>
      <c r="J169" s="851"/>
      <c r="K169" s="900"/>
      <c r="L169" s="901"/>
      <c r="M169" s="901"/>
      <c r="N169" s="901"/>
      <c r="O169" s="901"/>
      <c r="P169" s="901"/>
      <c r="Q169" s="900"/>
      <c r="R169" s="900"/>
      <c r="S169" s="939"/>
      <c r="T169" s="918"/>
      <c r="U169" s="918"/>
      <c r="V169" s="918"/>
      <c r="W169" s="918"/>
      <c r="X169" s="918"/>
      <c r="Y169" s="918"/>
      <c r="Z169" s="918"/>
      <c r="AA169" s="918"/>
      <c r="AB169" s="918"/>
      <c r="AC169" s="918"/>
      <c r="AD169" s="918"/>
      <c r="AE169" s="918"/>
      <c r="AF169" s="918"/>
      <c r="AG169" s="918"/>
      <c r="AH169" s="918"/>
      <c r="AI169" s="918"/>
      <c r="AJ169" s="918"/>
      <c r="AK169" s="918"/>
      <c r="AL169" s="918"/>
      <c r="AM169" s="918"/>
      <c r="AN169" s="918"/>
      <c r="AO169" s="918"/>
      <c r="AP169" s="918"/>
      <c r="AQ169" s="918"/>
      <c r="AR169" s="918"/>
      <c r="AS169" s="918"/>
      <c r="AT169" s="918"/>
      <c r="AU169" s="918"/>
      <c r="AV169" s="918"/>
      <c r="AW169" s="918"/>
      <c r="AX169" s="918"/>
      <c r="AY169" s="918"/>
      <c r="AZ169" s="918"/>
      <c r="BA169" s="918"/>
      <c r="BB169" s="918"/>
      <c r="BC169" s="918"/>
      <c r="BD169" s="918"/>
    </row>
    <row r="170" spans="1:56" s="800" customFormat="1" ht="14.25" customHeight="1" x14ac:dyDescent="0.25">
      <c r="A170" s="799"/>
      <c r="B170" s="828" t="s">
        <v>1404</v>
      </c>
      <c r="C170" s="829" t="s">
        <v>839</v>
      </c>
      <c r="D170" s="829" t="s">
        <v>1401</v>
      </c>
      <c r="E170" s="830" t="s">
        <v>1439</v>
      </c>
      <c r="F170" s="833"/>
      <c r="G170" s="833"/>
      <c r="H170" s="851"/>
      <c r="I170" s="851"/>
      <c r="J170" s="851"/>
      <c r="K170" s="900"/>
      <c r="L170" s="901"/>
      <c r="M170" s="901"/>
      <c r="N170" s="901"/>
      <c r="O170" s="901"/>
      <c r="P170" s="901"/>
      <c r="Q170" s="900"/>
      <c r="R170" s="900"/>
      <c r="S170" s="939"/>
      <c r="T170" s="918"/>
      <c r="U170" s="918"/>
      <c r="V170" s="918"/>
      <c r="W170" s="918"/>
      <c r="X170" s="918"/>
      <c r="Y170" s="918"/>
      <c r="Z170" s="918"/>
      <c r="AA170" s="918"/>
      <c r="AB170" s="918"/>
      <c r="AC170" s="918"/>
      <c r="AD170" s="918"/>
      <c r="AE170" s="918"/>
      <c r="AF170" s="918"/>
      <c r="AG170" s="918"/>
      <c r="AH170" s="918"/>
      <c r="AI170" s="918"/>
      <c r="AJ170" s="918"/>
      <c r="AK170" s="918"/>
      <c r="AL170" s="918"/>
      <c r="AM170" s="918"/>
      <c r="AN170" s="918"/>
      <c r="AO170" s="918"/>
      <c r="AP170" s="918"/>
      <c r="AQ170" s="918"/>
      <c r="AR170" s="918"/>
      <c r="AS170" s="918"/>
      <c r="AT170" s="918"/>
      <c r="AU170" s="918"/>
      <c r="AV170" s="918"/>
      <c r="AW170" s="918"/>
      <c r="AX170" s="918"/>
      <c r="AY170" s="918"/>
      <c r="AZ170" s="918"/>
      <c r="BA170" s="918"/>
      <c r="BB170" s="918"/>
      <c r="BC170" s="918"/>
      <c r="BD170" s="918"/>
    </row>
    <row r="171" spans="1:56" s="800" customFormat="1" ht="14.25" customHeight="1" x14ac:dyDescent="0.25">
      <c r="A171" s="799"/>
      <c r="B171" s="828" t="s">
        <v>1405</v>
      </c>
      <c r="C171" s="829" t="s">
        <v>928</v>
      </c>
      <c r="D171" s="829" t="s">
        <v>1401</v>
      </c>
      <c r="E171" s="830" t="s">
        <v>1438</v>
      </c>
      <c r="F171" s="833"/>
      <c r="G171" s="833"/>
      <c r="H171" s="851"/>
      <c r="I171" s="851"/>
      <c r="J171" s="851"/>
      <c r="K171" s="900"/>
      <c r="L171" s="901"/>
      <c r="M171" s="901"/>
      <c r="N171" s="901"/>
      <c r="O171" s="901"/>
      <c r="P171" s="901"/>
      <c r="Q171" s="900"/>
      <c r="R171" s="900"/>
      <c r="S171" s="939"/>
      <c r="T171" s="918"/>
      <c r="U171" s="918"/>
      <c r="V171" s="918"/>
      <c r="W171" s="918"/>
      <c r="X171" s="918"/>
      <c r="Y171" s="918"/>
      <c r="Z171" s="918"/>
      <c r="AA171" s="918"/>
      <c r="AB171" s="918"/>
      <c r="AC171" s="918"/>
      <c r="AD171" s="918"/>
      <c r="AE171" s="918"/>
      <c r="AF171" s="918"/>
      <c r="AG171" s="918"/>
      <c r="AH171" s="918"/>
      <c r="AI171" s="918"/>
      <c r="AJ171" s="918"/>
      <c r="AK171" s="918"/>
      <c r="AL171" s="918"/>
      <c r="AM171" s="918"/>
      <c r="AN171" s="918"/>
      <c r="AO171" s="918"/>
      <c r="AP171" s="918"/>
      <c r="AQ171" s="918"/>
      <c r="AR171" s="918"/>
      <c r="AS171" s="918"/>
      <c r="AT171" s="918"/>
      <c r="AU171" s="918"/>
      <c r="AV171" s="918"/>
      <c r="AW171" s="918"/>
      <c r="AX171" s="918"/>
      <c r="AY171" s="918"/>
      <c r="AZ171" s="918"/>
      <c r="BA171" s="918"/>
      <c r="BB171" s="918"/>
      <c r="BC171" s="918"/>
      <c r="BD171" s="918"/>
    </row>
    <row r="172" spans="1:56" s="800" customFormat="1" ht="14.25" customHeight="1" x14ac:dyDescent="0.25">
      <c r="A172" s="799"/>
      <c r="B172" s="828" t="s">
        <v>1406</v>
      </c>
      <c r="C172" s="829" t="s">
        <v>723</v>
      </c>
      <c r="D172" s="829" t="s">
        <v>1401</v>
      </c>
      <c r="E172" s="830" t="s">
        <v>1440</v>
      </c>
      <c r="F172" s="833"/>
      <c r="G172" s="833"/>
      <c r="H172" s="851"/>
      <c r="I172" s="851"/>
      <c r="J172" s="851"/>
      <c r="K172" s="900"/>
      <c r="L172" s="901"/>
      <c r="M172" s="901"/>
      <c r="N172" s="901"/>
      <c r="O172" s="901"/>
      <c r="P172" s="901"/>
      <c r="Q172" s="900"/>
      <c r="R172" s="900"/>
      <c r="S172" s="939"/>
      <c r="T172" s="918"/>
      <c r="U172" s="918"/>
      <c r="V172" s="918"/>
      <c r="W172" s="918"/>
      <c r="X172" s="918"/>
      <c r="Y172" s="918"/>
      <c r="Z172" s="918"/>
      <c r="AA172" s="918"/>
      <c r="AB172" s="918"/>
      <c r="AC172" s="918"/>
      <c r="AD172" s="918"/>
      <c r="AE172" s="918"/>
      <c r="AF172" s="918"/>
      <c r="AG172" s="918"/>
      <c r="AH172" s="918"/>
      <c r="AI172" s="918"/>
      <c r="AJ172" s="918"/>
      <c r="AK172" s="918"/>
      <c r="AL172" s="918"/>
      <c r="AM172" s="918"/>
      <c r="AN172" s="918"/>
      <c r="AO172" s="918"/>
      <c r="AP172" s="918"/>
      <c r="AQ172" s="918"/>
      <c r="AR172" s="918"/>
      <c r="AS172" s="918"/>
      <c r="AT172" s="918"/>
      <c r="AU172" s="918"/>
      <c r="AV172" s="918"/>
      <c r="AW172" s="918"/>
      <c r="AX172" s="918"/>
      <c r="AY172" s="918"/>
      <c r="AZ172" s="918"/>
      <c r="BA172" s="918"/>
      <c r="BB172" s="918"/>
      <c r="BC172" s="918"/>
      <c r="BD172" s="918"/>
    </row>
    <row r="173" spans="1:56" s="800" customFormat="1" ht="14.25" customHeight="1" x14ac:dyDescent="0.25">
      <c r="A173" s="799"/>
      <c r="B173" s="828" t="s">
        <v>1407</v>
      </c>
      <c r="C173" s="829" t="s">
        <v>695</v>
      </c>
      <c r="D173" s="829" t="s">
        <v>1401</v>
      </c>
      <c r="E173" s="830" t="s">
        <v>1438</v>
      </c>
      <c r="F173" s="833"/>
      <c r="G173" s="833"/>
      <c r="H173" s="851"/>
      <c r="I173" s="851"/>
      <c r="J173" s="851"/>
      <c r="K173" s="900"/>
      <c r="L173" s="901"/>
      <c r="M173" s="901"/>
      <c r="N173" s="901"/>
      <c r="O173" s="901"/>
      <c r="P173" s="901"/>
      <c r="Q173" s="900"/>
      <c r="R173" s="900"/>
      <c r="S173" s="939"/>
      <c r="T173" s="918"/>
      <c r="U173" s="918"/>
      <c r="V173" s="918"/>
      <c r="W173" s="918"/>
      <c r="X173" s="918"/>
      <c r="Y173" s="918"/>
      <c r="Z173" s="918"/>
      <c r="AA173" s="918"/>
      <c r="AB173" s="918"/>
      <c r="AC173" s="918"/>
      <c r="AD173" s="918"/>
      <c r="AE173" s="918"/>
      <c r="AF173" s="918"/>
      <c r="AG173" s="918"/>
      <c r="AH173" s="918"/>
      <c r="AI173" s="918"/>
      <c r="AJ173" s="918"/>
      <c r="AK173" s="918"/>
      <c r="AL173" s="918"/>
      <c r="AM173" s="918"/>
      <c r="AN173" s="918"/>
      <c r="AO173" s="918"/>
      <c r="AP173" s="918"/>
      <c r="AQ173" s="918"/>
      <c r="AR173" s="918"/>
      <c r="AS173" s="918"/>
      <c r="AT173" s="918"/>
      <c r="AU173" s="918"/>
      <c r="AV173" s="918"/>
      <c r="AW173" s="918"/>
      <c r="AX173" s="918"/>
      <c r="AY173" s="918"/>
      <c r="AZ173" s="918"/>
      <c r="BA173" s="918"/>
      <c r="BB173" s="918"/>
      <c r="BC173" s="918"/>
      <c r="BD173" s="918"/>
    </row>
    <row r="174" spans="1:56" s="800" customFormat="1" ht="14.25" customHeight="1" x14ac:dyDescent="0.25">
      <c r="A174" s="799"/>
      <c r="B174" s="828" t="s">
        <v>1408</v>
      </c>
      <c r="C174" s="828"/>
      <c r="D174" s="828"/>
      <c r="E174" s="830"/>
      <c r="F174" s="833"/>
      <c r="G174" s="833"/>
      <c r="H174" s="851"/>
      <c r="I174" s="851"/>
      <c r="J174" s="851"/>
      <c r="K174" s="900"/>
      <c r="L174" s="901"/>
      <c r="M174" s="901"/>
      <c r="N174" s="901"/>
      <c r="O174" s="901"/>
      <c r="P174" s="901"/>
      <c r="Q174" s="900"/>
      <c r="R174" s="900"/>
      <c r="S174" s="939"/>
      <c r="T174" s="918"/>
      <c r="U174" s="918"/>
      <c r="V174" s="918"/>
      <c r="W174" s="918"/>
      <c r="X174" s="918"/>
      <c r="Y174" s="918"/>
      <c r="Z174" s="918"/>
      <c r="AA174" s="940"/>
      <c r="AB174" s="918"/>
      <c r="AC174" s="918"/>
      <c r="AD174" s="918"/>
      <c r="AE174" s="918"/>
      <c r="AF174" s="918"/>
      <c r="AG174" s="918"/>
      <c r="AH174" s="918"/>
      <c r="AI174" s="918"/>
      <c r="AJ174" s="918"/>
      <c r="AK174" s="918"/>
      <c r="AL174" s="918"/>
      <c r="AM174" s="918"/>
      <c r="AN174" s="918"/>
      <c r="AO174" s="918"/>
      <c r="AP174" s="918"/>
      <c r="AQ174" s="918"/>
      <c r="AR174" s="918"/>
      <c r="AS174" s="918"/>
      <c r="AT174" s="918"/>
      <c r="AU174" s="918"/>
      <c r="AV174" s="918"/>
      <c r="AW174" s="918"/>
      <c r="AX174" s="918"/>
      <c r="AY174" s="918"/>
      <c r="AZ174" s="918"/>
      <c r="BA174" s="918"/>
      <c r="BB174" s="918"/>
      <c r="BC174" s="918"/>
      <c r="BD174" s="918"/>
    </row>
    <row r="175" spans="1:56" s="800" customFormat="1" ht="14.25" customHeight="1" x14ac:dyDescent="0.25">
      <c r="A175" s="799"/>
      <c r="B175" s="840" t="s">
        <v>1409</v>
      </c>
      <c r="C175" s="840"/>
      <c r="D175" s="840"/>
      <c r="E175" s="830"/>
      <c r="F175" s="833"/>
      <c r="G175" s="833"/>
      <c r="H175" s="851"/>
      <c r="I175" s="851"/>
      <c r="J175" s="851"/>
      <c r="K175" s="900"/>
      <c r="L175" s="901"/>
      <c r="M175" s="901"/>
      <c r="N175" s="901"/>
      <c r="O175" s="901"/>
      <c r="P175" s="901"/>
      <c r="Q175" s="900"/>
      <c r="R175" s="900"/>
      <c r="S175" s="939"/>
      <c r="T175" s="918"/>
      <c r="U175" s="918"/>
      <c r="V175" s="918"/>
      <c r="W175" s="918"/>
      <c r="X175" s="918"/>
      <c r="Y175" s="918"/>
      <c r="Z175" s="918"/>
      <c r="AA175" s="918"/>
      <c r="AB175" s="918"/>
      <c r="AC175" s="918"/>
      <c r="AD175" s="918"/>
      <c r="AE175" s="918"/>
      <c r="AF175" s="918"/>
      <c r="AG175" s="918"/>
      <c r="AH175" s="918"/>
      <c r="AI175" s="918"/>
      <c r="AJ175" s="918"/>
      <c r="AK175" s="918"/>
      <c r="AL175" s="918"/>
      <c r="AM175" s="918"/>
      <c r="AN175" s="918"/>
      <c r="AO175" s="918"/>
      <c r="AP175" s="918"/>
      <c r="AQ175" s="918"/>
      <c r="AR175" s="918"/>
      <c r="AS175" s="918"/>
      <c r="AT175" s="918"/>
      <c r="AU175" s="918"/>
      <c r="AV175" s="918"/>
      <c r="AW175" s="918"/>
      <c r="AX175" s="918"/>
      <c r="AY175" s="918"/>
      <c r="AZ175" s="918"/>
      <c r="BA175" s="918"/>
      <c r="BB175" s="918"/>
      <c r="BC175" s="918"/>
      <c r="BD175" s="918"/>
    </row>
    <row r="176" spans="1:56" s="800" customFormat="1" ht="14.25" customHeight="1" x14ac:dyDescent="0.25">
      <c r="A176" s="799"/>
      <c r="B176" s="840" t="s">
        <v>1441</v>
      </c>
      <c r="C176" s="841" t="s">
        <v>1411</v>
      </c>
      <c r="D176" s="841" t="s">
        <v>1412</v>
      </c>
      <c r="E176" s="830" t="s">
        <v>1439</v>
      </c>
      <c r="F176" s="833"/>
      <c r="G176" s="833"/>
      <c r="H176" s="851"/>
      <c r="I176" s="851"/>
      <c r="J176" s="851"/>
      <c r="K176" s="900"/>
      <c r="L176" s="901"/>
      <c r="M176" s="901"/>
      <c r="N176" s="901"/>
      <c r="O176" s="901"/>
      <c r="P176" s="901"/>
      <c r="Q176" s="900"/>
      <c r="R176" s="900"/>
      <c r="S176" s="939"/>
      <c r="T176" s="918"/>
      <c r="U176" s="918"/>
      <c r="V176" s="918"/>
      <c r="W176" s="918"/>
      <c r="X176" s="918"/>
      <c r="Y176" s="918"/>
      <c r="Z176" s="918"/>
      <c r="AA176" s="918"/>
      <c r="AB176" s="918"/>
      <c r="AC176" s="918"/>
      <c r="AD176" s="918"/>
      <c r="AE176" s="918"/>
      <c r="AF176" s="918"/>
      <c r="AG176" s="918"/>
      <c r="AH176" s="918"/>
      <c r="AI176" s="918"/>
      <c r="AJ176" s="918"/>
      <c r="AK176" s="918"/>
      <c r="AL176" s="918"/>
      <c r="AM176" s="918"/>
      <c r="AN176" s="918"/>
      <c r="AO176" s="918"/>
      <c r="AP176" s="918"/>
      <c r="AQ176" s="918"/>
      <c r="AR176" s="918"/>
      <c r="AS176" s="918"/>
      <c r="AT176" s="918"/>
      <c r="AU176" s="918"/>
      <c r="AV176" s="918"/>
      <c r="AW176" s="918"/>
      <c r="AX176" s="918"/>
      <c r="AY176" s="918"/>
      <c r="AZ176" s="918"/>
      <c r="BA176" s="918"/>
      <c r="BB176" s="918"/>
      <c r="BC176" s="918"/>
      <c r="BD176" s="918"/>
    </row>
    <row r="177" spans="1:56" s="800" customFormat="1" ht="14.25" customHeight="1" x14ac:dyDescent="0.25">
      <c r="A177" s="799"/>
      <c r="B177" s="840" t="s">
        <v>1442</v>
      </c>
      <c r="C177" s="841" t="s">
        <v>1414</v>
      </c>
      <c r="D177" s="841" t="s">
        <v>1412</v>
      </c>
      <c r="E177" s="830" t="s">
        <v>1438</v>
      </c>
      <c r="F177" s="833"/>
      <c r="G177" s="833"/>
      <c r="K177" s="839"/>
      <c r="L177" s="922"/>
      <c r="M177" s="922"/>
      <c r="N177" s="922"/>
      <c r="O177" s="922"/>
      <c r="P177" s="922"/>
      <c r="Q177" s="922"/>
      <c r="R177" s="922"/>
      <c r="S177" s="941"/>
      <c r="T177" s="925"/>
      <c r="U177" s="925"/>
      <c r="V177" s="925"/>
      <c r="W177" s="925"/>
      <c r="X177" s="925"/>
      <c r="Y177" s="925"/>
      <c r="Z177" s="925"/>
      <c r="AA177" s="925"/>
      <c r="AB177" s="925"/>
      <c r="AC177" s="925"/>
      <c r="AD177" s="925"/>
      <c r="AE177" s="925"/>
      <c r="AF177" s="925"/>
      <c r="AG177" s="925"/>
      <c r="AH177" s="925"/>
      <c r="AI177" s="925"/>
      <c r="AJ177" s="925"/>
      <c r="AK177" s="925"/>
      <c r="AL177" s="925"/>
      <c r="AM177" s="925"/>
      <c r="AN177" s="925"/>
      <c r="AO177" s="925"/>
      <c r="AP177" s="925"/>
      <c r="AQ177" s="925"/>
      <c r="AR177" s="925"/>
      <c r="AS177" s="925"/>
      <c r="AT177" s="925"/>
      <c r="AU177" s="925"/>
      <c r="AV177" s="925"/>
      <c r="AW177" s="925"/>
      <c r="AX177" s="925"/>
      <c r="AY177" s="925"/>
      <c r="AZ177" s="925"/>
      <c r="BA177" s="925"/>
      <c r="BB177" s="925"/>
      <c r="BC177" s="925"/>
      <c r="BD177" s="925"/>
    </row>
    <row r="178" spans="1:56" s="800" customFormat="1" ht="14.25" customHeight="1" x14ac:dyDescent="0.25">
      <c r="A178" s="799"/>
      <c r="B178" s="840" t="s">
        <v>1415</v>
      </c>
      <c r="C178" s="841" t="s">
        <v>1416</v>
      </c>
      <c r="D178" s="841" t="s">
        <v>1412</v>
      </c>
      <c r="E178" s="830" t="s">
        <v>1439</v>
      </c>
      <c r="F178" s="833"/>
      <c r="G178" s="833"/>
      <c r="K178" s="839"/>
      <c r="L178" s="922"/>
      <c r="M178" s="922"/>
      <c r="N178" s="922"/>
      <c r="O178" s="922"/>
      <c r="P178" s="922"/>
      <c r="Q178" s="926"/>
      <c r="R178" s="926"/>
      <c r="S178" s="927"/>
      <c r="T178" s="928"/>
      <c r="U178" s="928"/>
      <c r="V178" s="928"/>
      <c r="W178" s="928"/>
      <c r="X178" s="928"/>
      <c r="Y178" s="928"/>
      <c r="Z178" s="928"/>
      <c r="AA178" s="928"/>
      <c r="AB178" s="928"/>
      <c r="AC178" s="928"/>
      <c r="AD178" s="928"/>
      <c r="AE178" s="928"/>
      <c r="AF178" s="928"/>
      <c r="AG178" s="928"/>
      <c r="AH178" s="928"/>
      <c r="AI178" s="928"/>
      <c r="AJ178" s="928"/>
      <c r="AK178" s="928"/>
      <c r="AL178" s="928"/>
      <c r="AM178" s="928"/>
      <c r="AN178" s="928"/>
      <c r="AO178" s="928"/>
      <c r="AP178" s="928"/>
      <c r="AQ178" s="928"/>
      <c r="AR178" s="928"/>
      <c r="AS178" s="928"/>
      <c r="AT178" s="928"/>
      <c r="AU178" s="928"/>
      <c r="AV178" s="928"/>
      <c r="AW178" s="928"/>
      <c r="AX178" s="928"/>
      <c r="AY178" s="928"/>
      <c r="AZ178" s="928"/>
      <c r="BA178" s="928"/>
      <c r="BB178" s="928"/>
      <c r="BC178" s="928"/>
      <c r="BD178" s="928"/>
    </row>
    <row r="179" spans="1:56" s="800" customFormat="1" ht="14.25" customHeight="1" x14ac:dyDescent="0.25">
      <c r="A179" s="799"/>
      <c r="B179" s="828" t="s">
        <v>1417</v>
      </c>
      <c r="C179" s="828"/>
      <c r="D179" s="828"/>
      <c r="E179" s="830" t="s">
        <v>1440</v>
      </c>
      <c r="F179" s="833"/>
      <c r="G179" s="833"/>
      <c r="K179" s="839"/>
      <c r="L179" s="922"/>
      <c r="M179" s="922"/>
      <c r="N179" s="922"/>
      <c r="O179" s="922"/>
      <c r="P179" s="922"/>
      <c r="Q179" s="926"/>
      <c r="R179" s="926"/>
      <c r="S179" s="927"/>
      <c r="T179" s="928"/>
      <c r="U179" s="928"/>
      <c r="V179" s="928"/>
      <c r="W179" s="928"/>
      <c r="X179" s="928"/>
      <c r="Y179" s="928"/>
      <c r="Z179" s="928"/>
      <c r="AA179" s="928"/>
      <c r="AB179" s="928"/>
      <c r="AC179" s="928"/>
      <c r="AD179" s="928"/>
      <c r="AE179" s="928"/>
      <c r="AF179" s="928"/>
      <c r="AG179" s="928"/>
      <c r="AH179" s="928"/>
      <c r="AI179" s="928"/>
      <c r="AJ179" s="928"/>
      <c r="AK179" s="928"/>
      <c r="AL179" s="928"/>
      <c r="AM179" s="928"/>
      <c r="AN179" s="928"/>
      <c r="AO179" s="928"/>
      <c r="AP179" s="928"/>
      <c r="AQ179" s="928"/>
      <c r="AR179" s="928"/>
      <c r="AS179" s="928"/>
      <c r="AT179" s="928"/>
      <c r="AU179" s="928"/>
      <c r="AV179" s="928"/>
      <c r="AW179" s="928"/>
      <c r="AX179" s="928"/>
      <c r="AY179" s="928"/>
      <c r="AZ179" s="928"/>
      <c r="BA179" s="928"/>
      <c r="BB179" s="928"/>
      <c r="BC179" s="928"/>
      <c r="BD179" s="928"/>
    </row>
    <row r="180" spans="1:56" s="800" customFormat="1" ht="14.25" customHeight="1" x14ac:dyDescent="0.25">
      <c r="A180" s="799"/>
      <c r="B180" s="840" t="s">
        <v>1418</v>
      </c>
      <c r="C180" s="841" t="s">
        <v>1419</v>
      </c>
      <c r="D180" s="829" t="s">
        <v>1401</v>
      </c>
      <c r="E180" s="830" t="s">
        <v>1438</v>
      </c>
      <c r="F180" s="833"/>
      <c r="G180" s="833"/>
      <c r="K180" s="839"/>
      <c r="L180" s="922"/>
      <c r="M180" s="922"/>
      <c r="N180" s="922"/>
      <c r="O180" s="922"/>
      <c r="P180" s="922"/>
      <c r="Q180" s="926"/>
      <c r="R180" s="926"/>
      <c r="S180" s="927"/>
      <c r="T180" s="928"/>
      <c r="U180" s="928"/>
      <c r="V180" s="928"/>
      <c r="W180" s="928"/>
      <c r="X180" s="928"/>
      <c r="Y180" s="928"/>
      <c r="Z180" s="928"/>
      <c r="AA180" s="928"/>
      <c r="AB180" s="928"/>
      <c r="AC180" s="928"/>
      <c r="AD180" s="928"/>
      <c r="AE180" s="928"/>
      <c r="AF180" s="928"/>
      <c r="AG180" s="928"/>
      <c r="AH180" s="928"/>
      <c r="AI180" s="928"/>
      <c r="AJ180" s="928"/>
      <c r="AK180" s="928"/>
      <c r="AL180" s="928"/>
      <c r="AM180" s="928"/>
      <c r="AN180" s="928"/>
      <c r="AO180" s="928"/>
      <c r="AP180" s="928"/>
      <c r="AQ180" s="928"/>
      <c r="AR180" s="928"/>
      <c r="AS180" s="928"/>
      <c r="AT180" s="928"/>
      <c r="AU180" s="928"/>
      <c r="AV180" s="928"/>
      <c r="AW180" s="928"/>
      <c r="AX180" s="928"/>
      <c r="AY180" s="928"/>
      <c r="AZ180" s="928"/>
      <c r="BA180" s="928"/>
      <c r="BB180" s="928"/>
      <c r="BC180" s="928"/>
      <c r="BD180" s="928"/>
    </row>
    <row r="181" spans="1:56" s="800" customFormat="1" ht="14.25" customHeight="1" x14ac:dyDescent="0.25">
      <c r="A181" s="799"/>
      <c r="B181" s="840" t="s">
        <v>1420</v>
      </c>
      <c r="C181" s="841" t="s">
        <v>1421</v>
      </c>
      <c r="D181" s="829" t="s">
        <v>1401</v>
      </c>
      <c r="E181" s="830" t="s">
        <v>1439</v>
      </c>
      <c r="F181" s="833"/>
      <c r="G181" s="833"/>
      <c r="K181" s="839"/>
      <c r="L181" s="922"/>
      <c r="M181" s="922"/>
      <c r="N181" s="922"/>
      <c r="O181" s="922"/>
      <c r="P181" s="922"/>
      <c r="Q181" s="926"/>
      <c r="R181" s="926"/>
      <c r="S181" s="927"/>
      <c r="T181" s="928"/>
      <c r="U181" s="928"/>
      <c r="V181" s="928"/>
      <c r="W181" s="928"/>
      <c r="X181" s="928"/>
      <c r="Y181" s="928"/>
      <c r="Z181" s="928"/>
      <c r="AA181" s="928"/>
      <c r="AB181" s="928"/>
      <c r="AC181" s="928"/>
      <c r="AD181" s="928"/>
      <c r="AE181" s="928"/>
      <c r="AF181" s="928"/>
      <c r="AG181" s="928"/>
      <c r="AH181" s="928"/>
      <c r="AI181" s="928"/>
      <c r="AJ181" s="928"/>
      <c r="AK181" s="928"/>
      <c r="AL181" s="928"/>
      <c r="AM181" s="928"/>
      <c r="AN181" s="928"/>
      <c r="AO181" s="928"/>
      <c r="AP181" s="928"/>
      <c r="AQ181" s="928"/>
      <c r="AR181" s="928"/>
      <c r="AS181" s="928"/>
      <c r="AT181" s="928"/>
      <c r="AU181" s="928"/>
      <c r="AV181" s="928"/>
      <c r="AW181" s="928"/>
      <c r="AX181" s="928"/>
      <c r="AY181" s="928"/>
      <c r="AZ181" s="928"/>
      <c r="BA181" s="928"/>
      <c r="BB181" s="928"/>
      <c r="BC181" s="928"/>
      <c r="BD181" s="928"/>
    </row>
    <row r="182" spans="1:56" s="800" customFormat="1" ht="14.25" customHeight="1" x14ac:dyDescent="0.25">
      <c r="A182" s="799"/>
      <c r="B182" s="828" t="s">
        <v>1422</v>
      </c>
      <c r="C182" s="828"/>
      <c r="D182" s="828"/>
      <c r="E182" s="830" t="s">
        <v>1440</v>
      </c>
      <c r="F182" s="833"/>
      <c r="G182" s="833"/>
      <c r="K182" s="839"/>
      <c r="L182" s="922"/>
      <c r="M182" s="922"/>
      <c r="N182" s="922"/>
      <c r="O182" s="922"/>
      <c r="P182" s="922"/>
      <c r="Q182" s="926"/>
      <c r="R182" s="926"/>
      <c r="S182" s="927"/>
      <c r="T182" s="928"/>
      <c r="U182" s="928"/>
      <c r="V182" s="928"/>
      <c r="W182" s="928"/>
      <c r="X182" s="928"/>
      <c r="Y182" s="928"/>
      <c r="Z182" s="928"/>
      <c r="AA182" s="928"/>
      <c r="AB182" s="928"/>
      <c r="AC182" s="928"/>
      <c r="AD182" s="928"/>
      <c r="AE182" s="928"/>
      <c r="AF182" s="928"/>
      <c r="AG182" s="928"/>
      <c r="AH182" s="928"/>
      <c r="AI182" s="928"/>
      <c r="AJ182" s="928"/>
      <c r="AK182" s="928"/>
      <c r="AL182" s="928"/>
      <c r="AM182" s="928"/>
      <c r="AN182" s="928"/>
      <c r="AO182" s="928"/>
      <c r="AP182" s="928"/>
      <c r="AQ182" s="928"/>
      <c r="AR182" s="928"/>
      <c r="AS182" s="928"/>
      <c r="AT182" s="928"/>
      <c r="AU182" s="928"/>
      <c r="AV182" s="928"/>
      <c r="AW182" s="928"/>
      <c r="AX182" s="928"/>
      <c r="AY182" s="928"/>
      <c r="AZ182" s="928"/>
      <c r="BA182" s="928"/>
      <c r="BB182" s="928"/>
      <c r="BC182" s="928"/>
      <c r="BD182" s="928"/>
    </row>
    <row r="183" spans="1:56" s="800" customFormat="1" ht="14.25" customHeight="1" x14ac:dyDescent="0.25">
      <c r="A183" s="799"/>
      <c r="B183" s="840" t="s">
        <v>1423</v>
      </c>
      <c r="C183" s="841" t="s">
        <v>1424</v>
      </c>
      <c r="D183" s="841" t="s">
        <v>1412</v>
      </c>
      <c r="E183" s="830" t="s">
        <v>1438</v>
      </c>
      <c r="F183" s="833"/>
      <c r="G183" s="833"/>
      <c r="K183" s="839"/>
      <c r="L183" s="922"/>
      <c r="M183" s="922"/>
      <c r="N183" s="922"/>
      <c r="O183" s="922"/>
      <c r="P183" s="922"/>
      <c r="Q183" s="926"/>
      <c r="R183" s="926"/>
      <c r="S183" s="927"/>
      <c r="T183" s="928"/>
      <c r="U183" s="928"/>
      <c r="V183" s="928"/>
      <c r="W183" s="928"/>
      <c r="X183" s="928"/>
      <c r="Y183" s="928"/>
      <c r="Z183" s="928"/>
      <c r="AA183" s="928"/>
      <c r="AB183" s="928"/>
      <c r="AC183" s="928"/>
      <c r="AD183" s="928"/>
      <c r="AE183" s="928"/>
      <c r="AF183" s="928"/>
      <c r="AG183" s="928"/>
      <c r="AH183" s="928"/>
      <c r="AI183" s="928"/>
      <c r="AJ183" s="928"/>
      <c r="AK183" s="928"/>
      <c r="AL183" s="928"/>
      <c r="AM183" s="928"/>
      <c r="AN183" s="928"/>
      <c r="AO183" s="928"/>
      <c r="AP183" s="928"/>
      <c r="AQ183" s="928"/>
      <c r="AR183" s="928"/>
      <c r="AS183" s="928"/>
      <c r="AT183" s="928"/>
      <c r="AU183" s="928"/>
      <c r="AV183" s="928"/>
      <c r="AW183" s="928"/>
      <c r="AX183" s="928"/>
      <c r="AY183" s="928"/>
      <c r="AZ183" s="928"/>
      <c r="BA183" s="928"/>
      <c r="BB183" s="928"/>
      <c r="BC183" s="928"/>
      <c r="BD183" s="928"/>
    </row>
    <row r="184" spans="1:56" s="800" customFormat="1" ht="14.25" customHeight="1" x14ac:dyDescent="0.25">
      <c r="A184" s="799"/>
      <c r="B184" s="840" t="s">
        <v>1425</v>
      </c>
      <c r="C184" s="841" t="s">
        <v>1426</v>
      </c>
      <c r="D184" s="829" t="s">
        <v>1401</v>
      </c>
      <c r="E184" s="830" t="s">
        <v>1439</v>
      </c>
      <c r="F184" s="833"/>
      <c r="G184" s="833"/>
      <c r="K184" s="839"/>
      <c r="L184" s="922"/>
      <c r="M184" s="922"/>
      <c r="N184" s="922"/>
      <c r="O184" s="922"/>
      <c r="P184" s="922"/>
      <c r="Q184" s="926"/>
      <c r="R184" s="926"/>
      <c r="S184" s="927"/>
      <c r="T184" s="928"/>
      <c r="U184" s="928"/>
      <c r="V184" s="928"/>
      <c r="W184" s="928"/>
      <c r="X184" s="928"/>
      <c r="Y184" s="928"/>
      <c r="Z184" s="928"/>
      <c r="AA184" s="928"/>
      <c r="AB184" s="928"/>
      <c r="AC184" s="928"/>
      <c r="AD184" s="928"/>
      <c r="AE184" s="928"/>
      <c r="AF184" s="928"/>
      <c r="AG184" s="928"/>
      <c r="AH184" s="928"/>
      <c r="AI184" s="928"/>
      <c r="AJ184" s="928"/>
      <c r="AK184" s="928"/>
      <c r="AL184" s="928"/>
      <c r="AM184" s="928"/>
      <c r="AN184" s="928"/>
      <c r="AO184" s="928"/>
      <c r="AP184" s="928"/>
      <c r="AQ184" s="928"/>
      <c r="AR184" s="928"/>
      <c r="AS184" s="928"/>
      <c r="AT184" s="928"/>
      <c r="AU184" s="928"/>
      <c r="AV184" s="928"/>
      <c r="AW184" s="928"/>
      <c r="AX184" s="928"/>
      <c r="AY184" s="928"/>
      <c r="AZ184" s="928"/>
      <c r="BA184" s="928"/>
      <c r="BB184" s="928"/>
      <c r="BC184" s="928"/>
      <c r="BD184" s="928"/>
    </row>
    <row r="185" spans="1:56" s="800" customFormat="1" ht="14.25" customHeight="1" x14ac:dyDescent="0.25">
      <c r="A185" s="799"/>
      <c r="B185" s="840" t="s">
        <v>1427</v>
      </c>
      <c r="C185" s="841" t="s">
        <v>1428</v>
      </c>
      <c r="D185" s="829" t="s">
        <v>1401</v>
      </c>
      <c r="E185" s="830" t="s">
        <v>1438</v>
      </c>
      <c r="F185" s="833"/>
      <c r="G185" s="833"/>
      <c r="K185" s="839"/>
      <c r="L185" s="922"/>
      <c r="M185" s="922"/>
      <c r="N185" s="922"/>
      <c r="O185" s="922"/>
      <c r="P185" s="922"/>
      <c r="Q185" s="926"/>
      <c r="R185" s="926"/>
      <c r="S185" s="927"/>
      <c r="T185" s="928"/>
      <c r="U185" s="928"/>
      <c r="V185" s="928"/>
      <c r="W185" s="928"/>
      <c r="X185" s="928"/>
      <c r="Y185" s="928"/>
      <c r="Z185" s="928"/>
      <c r="AA185" s="928"/>
      <c r="AB185" s="928"/>
      <c r="AC185" s="928"/>
      <c r="AD185" s="928"/>
      <c r="AE185" s="928"/>
      <c r="AF185" s="928"/>
      <c r="AG185" s="928"/>
      <c r="AH185" s="928"/>
      <c r="AI185" s="928"/>
      <c r="AJ185" s="928"/>
      <c r="AK185" s="928"/>
      <c r="AL185" s="928"/>
      <c r="AM185" s="928"/>
      <c r="AN185" s="928"/>
      <c r="AO185" s="928"/>
      <c r="AP185" s="928"/>
      <c r="AQ185" s="928"/>
      <c r="AR185" s="928"/>
      <c r="AS185" s="928"/>
      <c r="AT185" s="928"/>
      <c r="AU185" s="928"/>
      <c r="AV185" s="928"/>
      <c r="AW185" s="928"/>
      <c r="AX185" s="928"/>
      <c r="AY185" s="928"/>
      <c r="AZ185" s="928"/>
      <c r="BA185" s="928"/>
      <c r="BB185" s="928"/>
      <c r="BC185" s="928"/>
      <c r="BD185" s="928"/>
    </row>
    <row r="186" spans="1:56" s="800" customFormat="1" ht="14.25" customHeight="1" x14ac:dyDescent="0.25">
      <c r="A186" s="799"/>
      <c r="B186" s="840" t="s">
        <v>1429</v>
      </c>
      <c r="C186" s="841" t="s">
        <v>1430</v>
      </c>
      <c r="D186" s="829" t="s">
        <v>1401</v>
      </c>
      <c r="E186" s="830" t="s">
        <v>1439</v>
      </c>
      <c r="F186" s="833"/>
      <c r="G186" s="833"/>
      <c r="K186" s="839"/>
      <c r="L186" s="922"/>
      <c r="M186" s="922"/>
      <c r="N186" s="922"/>
      <c r="O186" s="922"/>
      <c r="P186" s="922"/>
      <c r="Q186" s="926"/>
      <c r="R186" s="926"/>
      <c r="S186" s="927"/>
      <c r="T186" s="928"/>
      <c r="U186" s="928"/>
      <c r="V186" s="928"/>
      <c r="W186" s="928"/>
      <c r="X186" s="928"/>
      <c r="Y186" s="928"/>
      <c r="Z186" s="928"/>
      <c r="AA186" s="928"/>
      <c r="AB186" s="928"/>
      <c r="AC186" s="928"/>
      <c r="AD186" s="928"/>
      <c r="AE186" s="928"/>
      <c r="AF186" s="928"/>
      <c r="AG186" s="928"/>
      <c r="AH186" s="928"/>
      <c r="AI186" s="928"/>
      <c r="AJ186" s="928"/>
      <c r="AK186" s="928"/>
      <c r="AL186" s="928"/>
      <c r="AM186" s="928"/>
      <c r="AN186" s="928"/>
      <c r="AO186" s="928"/>
      <c r="AP186" s="928"/>
      <c r="AQ186" s="928"/>
      <c r="AR186" s="928"/>
      <c r="AS186" s="928"/>
      <c r="AT186" s="928"/>
      <c r="AU186" s="928"/>
      <c r="AV186" s="928"/>
      <c r="AW186" s="928"/>
      <c r="AX186" s="928"/>
      <c r="AY186" s="928"/>
      <c r="AZ186" s="928"/>
      <c r="BA186" s="928"/>
      <c r="BB186" s="928"/>
      <c r="BC186" s="928"/>
      <c r="BD186" s="928"/>
    </row>
    <row r="187" spans="1:56" s="800" customFormat="1" ht="14.25" customHeight="1" x14ac:dyDescent="0.25">
      <c r="A187" s="799"/>
      <c r="B187" s="828" t="s">
        <v>1431</v>
      </c>
      <c r="C187" s="829" t="s">
        <v>1432</v>
      </c>
      <c r="D187" s="829"/>
      <c r="E187" s="936"/>
      <c r="F187" s="833"/>
      <c r="G187" s="833"/>
      <c r="K187" s="839"/>
      <c r="L187" s="922"/>
      <c r="M187" s="922"/>
      <c r="N187" s="922"/>
      <c r="O187" s="922"/>
      <c r="P187" s="922"/>
      <c r="Q187" s="926"/>
      <c r="R187" s="926"/>
      <c r="S187" s="927"/>
      <c r="T187" s="942"/>
      <c r="U187" s="943"/>
      <c r="V187" s="943"/>
      <c r="W187" s="943"/>
      <c r="X187" s="943"/>
      <c r="Y187" s="943"/>
      <c r="Z187" s="943"/>
      <c r="AA187" s="943"/>
      <c r="AB187" s="943"/>
      <c r="AC187" s="943"/>
      <c r="AD187" s="943"/>
      <c r="AE187" s="928"/>
      <c r="AF187" s="928"/>
      <c r="AG187" s="928"/>
      <c r="AH187" s="928"/>
      <c r="AI187" s="928"/>
      <c r="AJ187" s="928"/>
      <c r="AK187" s="928"/>
      <c r="AL187" s="928"/>
      <c r="AM187" s="928"/>
      <c r="AN187" s="928"/>
      <c r="AO187" s="928"/>
      <c r="AP187" s="928"/>
      <c r="AQ187" s="928"/>
      <c r="AR187" s="928"/>
      <c r="AS187" s="928"/>
      <c r="AT187" s="928"/>
      <c r="AU187" s="928"/>
      <c r="AV187" s="928"/>
      <c r="AW187" s="928"/>
      <c r="AX187" s="928"/>
      <c r="AY187" s="928"/>
      <c r="AZ187" s="928"/>
      <c r="BA187" s="928"/>
      <c r="BB187" s="928"/>
      <c r="BC187" s="928"/>
      <c r="BD187" s="928"/>
    </row>
    <row r="188" spans="1:56" s="800" customFormat="1" x14ac:dyDescent="0.25">
      <c r="A188" s="799"/>
      <c r="B188" s="844" t="s">
        <v>1443</v>
      </c>
      <c r="C188" s="844"/>
      <c r="D188" s="844"/>
      <c r="E188" s="845" t="s">
        <v>1440</v>
      </c>
      <c r="F188" s="844"/>
      <c r="G188" s="844"/>
      <c r="H188" s="844"/>
      <c r="I188" s="844"/>
      <c r="J188" s="844"/>
      <c r="K188" s="888"/>
      <c r="L188" s="888"/>
      <c r="M188" s="888"/>
      <c r="N188" s="888"/>
      <c r="O188" s="869"/>
      <c r="P188" s="869"/>
      <c r="Q188" s="869"/>
      <c r="R188" s="944">
        <v>0.98</v>
      </c>
      <c r="S188" s="945">
        <v>0.98</v>
      </c>
      <c r="T188" s="946">
        <v>1</v>
      </c>
      <c r="U188" s="946">
        <v>1</v>
      </c>
      <c r="V188" s="946">
        <v>1</v>
      </c>
      <c r="W188" s="946">
        <v>1</v>
      </c>
      <c r="X188" s="946">
        <v>1</v>
      </c>
      <c r="Y188" s="946">
        <v>1</v>
      </c>
      <c r="Z188" s="946">
        <v>1</v>
      </c>
      <c r="AA188" s="946">
        <v>1</v>
      </c>
      <c r="AB188" s="946">
        <v>1</v>
      </c>
      <c r="AC188" s="946">
        <v>1</v>
      </c>
      <c r="AD188" s="946">
        <v>1</v>
      </c>
      <c r="AE188" s="906"/>
      <c r="AF188" s="906"/>
      <c r="AG188" s="906"/>
      <c r="AH188" s="906"/>
      <c r="AI188" s="906"/>
      <c r="AJ188" s="906"/>
      <c r="AK188" s="906"/>
      <c r="AL188" s="906"/>
      <c r="AM188" s="906"/>
      <c r="AN188" s="906"/>
      <c r="AO188" s="906"/>
      <c r="AP188" s="906"/>
      <c r="AQ188" s="906"/>
      <c r="AR188" s="906"/>
      <c r="AS188" s="906"/>
      <c r="AT188" s="906"/>
      <c r="AU188" s="906"/>
      <c r="AV188" s="906"/>
      <c r="AW188" s="906"/>
      <c r="AX188" s="906"/>
      <c r="AY188" s="906"/>
      <c r="AZ188" s="906"/>
      <c r="BA188" s="906"/>
      <c r="BB188" s="906"/>
      <c r="BC188" s="906"/>
      <c r="BD188" s="906"/>
    </row>
    <row r="189" spans="1:56" s="800" customFormat="1" x14ac:dyDescent="0.25">
      <c r="A189" s="799"/>
      <c r="B189" s="851" t="s">
        <v>1459</v>
      </c>
      <c r="C189" s="851"/>
      <c r="D189" s="851"/>
      <c r="E189" s="852" t="s">
        <v>1438</v>
      </c>
      <c r="F189" s="851"/>
      <c r="G189" s="851"/>
      <c r="H189" s="851"/>
      <c r="I189" s="851"/>
      <c r="J189" s="851"/>
      <c r="K189" s="900"/>
      <c r="L189" s="900"/>
      <c r="M189" s="900"/>
      <c r="N189" s="901"/>
      <c r="O189" s="901"/>
      <c r="P189" s="901"/>
      <c r="Q189" s="901"/>
      <c r="R189" s="901"/>
      <c r="S189" s="908"/>
      <c r="T189" s="901"/>
      <c r="U189" s="901"/>
      <c r="V189" s="901"/>
      <c r="W189" s="901"/>
      <c r="X189" s="901"/>
      <c r="Y189" s="901"/>
      <c r="Z189" s="901"/>
      <c r="AA189" s="901"/>
      <c r="AB189" s="901"/>
      <c r="AC189" s="901"/>
      <c r="AD189" s="901"/>
      <c r="AE189" s="901"/>
      <c r="AF189" s="901"/>
      <c r="AG189" s="901"/>
      <c r="AH189" s="901"/>
      <c r="AI189" s="901"/>
      <c r="AJ189" s="901"/>
      <c r="AK189" s="901"/>
      <c r="AL189" s="901"/>
      <c r="AM189" s="901"/>
      <c r="AN189" s="901"/>
      <c r="AO189" s="901"/>
      <c r="AP189" s="901"/>
      <c r="AQ189" s="901"/>
      <c r="AR189" s="901"/>
      <c r="AS189" s="901"/>
      <c r="AT189" s="901"/>
      <c r="AU189" s="901"/>
      <c r="AV189" s="901"/>
      <c r="AW189" s="901"/>
      <c r="AX189" s="901"/>
      <c r="AY189" s="901"/>
      <c r="AZ189" s="901"/>
      <c r="BA189" s="901"/>
      <c r="BB189" s="901"/>
      <c r="BC189" s="901"/>
      <c r="BD189" s="901"/>
    </row>
    <row r="190" spans="1:56" s="860" customFormat="1" x14ac:dyDescent="0.25">
      <c r="A190" s="859"/>
      <c r="B190" s="891"/>
      <c r="C190" s="891"/>
      <c r="D190" s="891"/>
      <c r="E190" s="891"/>
      <c r="F190" s="891"/>
      <c r="G190" s="891"/>
      <c r="H190" s="891"/>
      <c r="I190" s="891"/>
      <c r="J190" s="891"/>
      <c r="K190" s="892"/>
      <c r="L190" s="892"/>
      <c r="M190" s="892"/>
      <c r="N190" s="892"/>
      <c r="O190" s="892"/>
      <c r="P190" s="892"/>
      <c r="Q190" s="892"/>
      <c r="R190" s="892"/>
      <c r="S190" s="893"/>
      <c r="T190" s="892"/>
      <c r="U190" s="892"/>
      <c r="V190" s="892"/>
      <c r="W190" s="892"/>
      <c r="X190" s="892"/>
      <c r="Y190" s="892"/>
      <c r="Z190" s="892"/>
      <c r="AA190" s="892"/>
      <c r="AB190" s="892"/>
      <c r="AC190" s="892"/>
      <c r="AD190" s="892"/>
      <c r="AE190" s="892"/>
      <c r="AF190" s="892"/>
      <c r="AG190" s="892"/>
      <c r="AH190" s="892"/>
      <c r="AI190" s="892"/>
      <c r="AJ190" s="892"/>
      <c r="AK190" s="892"/>
      <c r="AL190" s="892"/>
      <c r="AM190" s="892"/>
      <c r="AN190" s="892"/>
      <c r="AO190" s="892"/>
      <c r="AP190" s="892"/>
      <c r="AQ190" s="892"/>
      <c r="AR190" s="892"/>
      <c r="AS190" s="892"/>
      <c r="AT190" s="892"/>
      <c r="AU190" s="892"/>
      <c r="AV190" s="892"/>
      <c r="AW190" s="892"/>
      <c r="AX190" s="892"/>
      <c r="AY190" s="892"/>
      <c r="AZ190" s="892"/>
      <c r="BA190" s="892"/>
      <c r="BB190" s="892"/>
      <c r="BC190" s="892"/>
      <c r="BD190" s="892"/>
    </row>
    <row r="191" spans="1:56" s="825" customFormat="1" ht="14.25" customHeight="1" x14ac:dyDescent="0.25">
      <c r="A191" s="823">
        <v>9</v>
      </c>
      <c r="B191" s="824" t="s">
        <v>1460</v>
      </c>
      <c r="C191" s="824"/>
      <c r="D191" s="824"/>
      <c r="E191" s="911"/>
      <c r="F191" s="911"/>
      <c r="G191" s="911"/>
      <c r="H191" s="911"/>
      <c r="I191" s="911"/>
      <c r="J191" s="911"/>
      <c r="K191" s="912"/>
      <c r="L191" s="912"/>
      <c r="M191" s="912"/>
      <c r="N191" s="912"/>
      <c r="O191" s="912"/>
      <c r="P191" s="912"/>
      <c r="Q191" s="912"/>
      <c r="R191" s="912"/>
      <c r="S191" s="913"/>
      <c r="T191" s="912"/>
      <c r="U191" s="912"/>
      <c r="V191" s="912"/>
      <c r="W191" s="912"/>
      <c r="X191" s="912"/>
      <c r="Y191" s="912"/>
      <c r="Z191" s="912"/>
      <c r="AA191" s="912"/>
      <c r="AB191" s="912"/>
      <c r="AC191" s="912"/>
      <c r="AD191" s="912"/>
      <c r="AE191" s="912"/>
      <c r="AF191" s="912"/>
      <c r="AG191" s="912"/>
      <c r="AH191" s="912"/>
      <c r="AI191" s="912"/>
      <c r="AJ191" s="912"/>
      <c r="AK191" s="912"/>
      <c r="AL191" s="912"/>
      <c r="AM191" s="912"/>
      <c r="AN191" s="912"/>
      <c r="AO191" s="912"/>
      <c r="AP191" s="912"/>
      <c r="AQ191" s="912"/>
      <c r="AR191" s="912"/>
      <c r="AS191" s="912"/>
      <c r="AT191" s="912"/>
      <c r="AU191" s="912"/>
      <c r="AV191" s="912"/>
      <c r="AW191" s="912"/>
      <c r="AX191" s="912"/>
      <c r="AY191" s="912"/>
      <c r="AZ191" s="912"/>
      <c r="BA191" s="912"/>
      <c r="BB191" s="912"/>
      <c r="BC191" s="912"/>
      <c r="BD191" s="912"/>
    </row>
    <row r="192" spans="1:56" s="800" customFormat="1" ht="14.25" customHeight="1" x14ac:dyDescent="0.25">
      <c r="A192" s="799"/>
      <c r="B192" s="828" t="s">
        <v>1400</v>
      </c>
      <c r="C192" s="829" t="s">
        <v>714</v>
      </c>
      <c r="D192" s="829" t="s">
        <v>1401</v>
      </c>
      <c r="E192" s="830" t="s">
        <v>1438</v>
      </c>
      <c r="F192" s="833"/>
      <c r="G192" s="833"/>
      <c r="H192" s="851"/>
      <c r="I192" s="851"/>
      <c r="J192" s="851"/>
      <c r="K192" s="900"/>
      <c r="L192" s="947"/>
      <c r="M192" s="947"/>
      <c r="N192" s="947"/>
      <c r="O192" s="947"/>
      <c r="P192" s="947"/>
      <c r="Q192" s="947"/>
      <c r="R192" s="948">
        <f t="shared" ref="R192:R198" si="69">R142*R$188</f>
        <v>11.19552</v>
      </c>
      <c r="S192" s="949">
        <f t="shared" ref="S192:AD192" si="70">S142*S$188</f>
        <v>11.19552</v>
      </c>
      <c r="T192" s="1078">
        <f t="shared" si="70"/>
        <v>11.538239999999998</v>
      </c>
      <c r="U192" s="1078">
        <f t="shared" si="70"/>
        <v>11.6536224</v>
      </c>
      <c r="V192" s="1078">
        <f t="shared" si="70"/>
        <v>11.770158624</v>
      </c>
      <c r="W192" s="1078">
        <f t="shared" si="70"/>
        <v>11.887860210240001</v>
      </c>
      <c r="X192" s="1078">
        <f t="shared" si="70"/>
        <v>12.0067388123424</v>
      </c>
      <c r="Y192" s="1078">
        <f t="shared" si="70"/>
        <v>12.126806200465822</v>
      </c>
      <c r="Z192" s="1078">
        <f t="shared" si="70"/>
        <v>12.248074262470482</v>
      </c>
      <c r="AA192" s="1078">
        <f t="shared" si="70"/>
        <v>12.370555005095188</v>
      </c>
      <c r="AB192" s="1078">
        <f t="shared" si="70"/>
        <v>12.494260555146141</v>
      </c>
      <c r="AC192" s="1078">
        <f t="shared" si="70"/>
        <v>12.619203160697602</v>
      </c>
      <c r="AD192" s="1078">
        <f t="shared" si="70"/>
        <v>12.745395192304576</v>
      </c>
      <c r="AE192" s="950"/>
      <c r="AF192" s="950"/>
      <c r="AG192" s="950"/>
      <c r="AH192" s="950"/>
      <c r="AI192" s="950"/>
      <c r="AJ192" s="950"/>
      <c r="AK192" s="950"/>
      <c r="AL192" s="950"/>
      <c r="AM192" s="950"/>
      <c r="AN192" s="950"/>
      <c r="AO192" s="950"/>
      <c r="AP192" s="950"/>
      <c r="AQ192" s="950"/>
      <c r="AR192" s="950"/>
      <c r="AS192" s="950"/>
      <c r="AT192" s="950"/>
      <c r="AU192" s="950"/>
      <c r="AV192" s="950"/>
      <c r="AW192" s="950"/>
      <c r="AX192" s="950"/>
      <c r="AY192" s="950"/>
      <c r="AZ192" s="950"/>
      <c r="BA192" s="950"/>
      <c r="BB192" s="950"/>
      <c r="BC192" s="950"/>
      <c r="BD192" s="950"/>
    </row>
    <row r="193" spans="1:56" s="800" customFormat="1" ht="14.25" customHeight="1" x14ac:dyDescent="0.25">
      <c r="A193" s="799"/>
      <c r="B193" s="828" t="s">
        <v>1402</v>
      </c>
      <c r="C193" s="829" t="s">
        <v>739</v>
      </c>
      <c r="D193" s="829" t="s">
        <v>1401</v>
      </c>
      <c r="E193" s="830" t="s">
        <v>1439</v>
      </c>
      <c r="F193" s="833"/>
      <c r="G193" s="833"/>
      <c r="H193" s="851"/>
      <c r="I193" s="851"/>
      <c r="J193" s="851"/>
      <c r="K193" s="900"/>
      <c r="L193" s="947"/>
      <c r="M193" s="947"/>
      <c r="N193" s="947"/>
      <c r="O193" s="947"/>
      <c r="P193" s="947"/>
      <c r="Q193" s="947"/>
      <c r="R193" s="948">
        <f t="shared" si="69"/>
        <v>221.48</v>
      </c>
      <c r="S193" s="949">
        <f t="shared" ref="S193:AD193" si="71">S143*S$188</f>
        <v>221.48</v>
      </c>
      <c r="T193" s="1078">
        <f t="shared" si="71"/>
        <v>228.26000000000002</v>
      </c>
      <c r="U193" s="1078">
        <f t="shared" si="71"/>
        <v>230.54260000000002</v>
      </c>
      <c r="V193" s="1078">
        <f t="shared" si="71"/>
        <v>232.848026</v>
      </c>
      <c r="W193" s="1078">
        <f t="shared" si="71"/>
        <v>235.17650626000002</v>
      </c>
      <c r="X193" s="1078">
        <f t="shared" si="71"/>
        <v>237.52827132260003</v>
      </c>
      <c r="Y193" s="1078">
        <f t="shared" si="71"/>
        <v>239.90355403582606</v>
      </c>
      <c r="Z193" s="1078">
        <f t="shared" si="71"/>
        <v>242.30258957618432</v>
      </c>
      <c r="AA193" s="1078">
        <f t="shared" si="71"/>
        <v>244.72561547194616</v>
      </c>
      <c r="AB193" s="1078">
        <f t="shared" si="71"/>
        <v>247.17287162666562</v>
      </c>
      <c r="AC193" s="1078">
        <f t="shared" si="71"/>
        <v>249.64460034293228</v>
      </c>
      <c r="AD193" s="1078">
        <f t="shared" si="71"/>
        <v>252.14104634636158</v>
      </c>
      <c r="AE193" s="950"/>
      <c r="AF193" s="950"/>
      <c r="AG193" s="950"/>
      <c r="AH193" s="950"/>
      <c r="AI193" s="950"/>
      <c r="AJ193" s="950"/>
      <c r="AK193" s="950"/>
      <c r="AL193" s="950"/>
      <c r="AM193" s="950"/>
      <c r="AN193" s="950"/>
      <c r="AO193" s="950"/>
      <c r="AP193" s="950"/>
      <c r="AQ193" s="950"/>
      <c r="AR193" s="950"/>
      <c r="AS193" s="950"/>
      <c r="AT193" s="950"/>
      <c r="AU193" s="950"/>
      <c r="AV193" s="950"/>
      <c r="AW193" s="950"/>
      <c r="AX193" s="950"/>
      <c r="AY193" s="950"/>
      <c r="AZ193" s="950"/>
      <c r="BA193" s="950"/>
      <c r="BB193" s="950"/>
      <c r="BC193" s="950"/>
      <c r="BD193" s="950"/>
    </row>
    <row r="194" spans="1:56" s="800" customFormat="1" ht="14.25" customHeight="1" x14ac:dyDescent="0.25">
      <c r="A194" s="799"/>
      <c r="B194" s="828" t="s">
        <v>1403</v>
      </c>
      <c r="C194" s="829" t="s">
        <v>701</v>
      </c>
      <c r="D194" s="829" t="s">
        <v>1401</v>
      </c>
      <c r="E194" s="830" t="s">
        <v>1439</v>
      </c>
      <c r="F194" s="833"/>
      <c r="G194" s="833"/>
      <c r="H194" s="851"/>
      <c r="I194" s="851"/>
      <c r="J194" s="851"/>
      <c r="K194" s="900"/>
      <c r="L194" s="947"/>
      <c r="M194" s="947"/>
      <c r="N194" s="947"/>
      <c r="O194" s="947"/>
      <c r="P194" s="947"/>
      <c r="Q194" s="947"/>
      <c r="R194" s="948">
        <f t="shared" si="69"/>
        <v>69.09</v>
      </c>
      <c r="S194" s="949">
        <f t="shared" ref="S194:AD194" si="72">S144*S$188</f>
        <v>69.09</v>
      </c>
      <c r="T194" s="1078">
        <f t="shared" si="72"/>
        <v>71.204999999999984</v>
      </c>
      <c r="U194" s="1078">
        <f t="shared" si="72"/>
        <v>71.917050000000003</v>
      </c>
      <c r="V194" s="1078">
        <f t="shared" si="72"/>
        <v>72.636220500000007</v>
      </c>
      <c r="W194" s="1078">
        <f t="shared" si="72"/>
        <v>73.362582704999994</v>
      </c>
      <c r="X194" s="1078">
        <f t="shared" si="72"/>
        <v>74.096208532049999</v>
      </c>
      <c r="Y194" s="1078">
        <f t="shared" si="72"/>
        <v>74.837170617370504</v>
      </c>
      <c r="Z194" s="1078">
        <f t="shared" si="72"/>
        <v>75.585542323544203</v>
      </c>
      <c r="AA194" s="1078">
        <f t="shared" si="72"/>
        <v>76.341397746779649</v>
      </c>
      <c r="AB194" s="1078">
        <f t="shared" si="72"/>
        <v>77.10481172424744</v>
      </c>
      <c r="AC194" s="1078">
        <f t="shared" si="72"/>
        <v>77.875859841489913</v>
      </c>
      <c r="AD194" s="1078">
        <f t="shared" si="72"/>
        <v>78.654618439904823</v>
      </c>
      <c r="AE194" s="950"/>
      <c r="AF194" s="950"/>
      <c r="AG194" s="950"/>
      <c r="AH194" s="950"/>
      <c r="AI194" s="950"/>
      <c r="AJ194" s="950"/>
      <c r="AK194" s="950"/>
      <c r="AL194" s="950"/>
      <c r="AM194" s="950"/>
      <c r="AN194" s="950"/>
      <c r="AO194" s="950"/>
      <c r="AP194" s="950"/>
      <c r="AQ194" s="950"/>
      <c r="AR194" s="950"/>
      <c r="AS194" s="950"/>
      <c r="AT194" s="950"/>
      <c r="AU194" s="950"/>
      <c r="AV194" s="950"/>
      <c r="AW194" s="950"/>
      <c r="AX194" s="950"/>
      <c r="AY194" s="950"/>
      <c r="AZ194" s="950"/>
      <c r="BA194" s="950"/>
      <c r="BB194" s="950"/>
      <c r="BC194" s="950"/>
      <c r="BD194" s="950"/>
    </row>
    <row r="195" spans="1:56" s="800" customFormat="1" ht="14.25" customHeight="1" x14ac:dyDescent="0.25">
      <c r="A195" s="799"/>
      <c r="B195" s="828" t="s">
        <v>1404</v>
      </c>
      <c r="C195" s="829" t="s">
        <v>839</v>
      </c>
      <c r="D195" s="829" t="s">
        <v>1401</v>
      </c>
      <c r="E195" s="830" t="s">
        <v>1439</v>
      </c>
      <c r="F195" s="833"/>
      <c r="G195" s="833"/>
      <c r="H195" s="851"/>
      <c r="I195" s="851"/>
      <c r="J195" s="851"/>
      <c r="K195" s="900"/>
      <c r="L195" s="947"/>
      <c r="M195" s="947"/>
      <c r="N195" s="947"/>
      <c r="O195" s="947"/>
      <c r="P195" s="947"/>
      <c r="Q195" s="947"/>
      <c r="R195" s="948">
        <f t="shared" si="69"/>
        <v>31.967599999999997</v>
      </c>
      <c r="S195" s="949">
        <f t="shared" ref="S195:AD195" si="73">S145*S$188</f>
        <v>31.967599999999997</v>
      </c>
      <c r="T195" s="1078">
        <f t="shared" si="73"/>
        <v>32.619999999999997</v>
      </c>
      <c r="U195" s="1078">
        <f t="shared" si="73"/>
        <v>32.619999999999997</v>
      </c>
      <c r="V195" s="1078">
        <f t="shared" si="73"/>
        <v>32.619999999999997</v>
      </c>
      <c r="W195" s="1078">
        <f t="shared" si="73"/>
        <v>32.619999999999997</v>
      </c>
      <c r="X195" s="1078">
        <f t="shared" si="73"/>
        <v>32.619999999999997</v>
      </c>
      <c r="Y195" s="1078">
        <f t="shared" si="73"/>
        <v>32.619999999999997</v>
      </c>
      <c r="Z195" s="1078">
        <f t="shared" si="73"/>
        <v>32.619999999999997</v>
      </c>
      <c r="AA195" s="1078">
        <f t="shared" si="73"/>
        <v>32.619999999999997</v>
      </c>
      <c r="AB195" s="1078">
        <f t="shared" si="73"/>
        <v>32.619999999999997</v>
      </c>
      <c r="AC195" s="1078">
        <f t="shared" si="73"/>
        <v>32.619999999999997</v>
      </c>
      <c r="AD195" s="1078">
        <f t="shared" si="73"/>
        <v>32.619999999999997</v>
      </c>
      <c r="AE195" s="950"/>
      <c r="AF195" s="950"/>
      <c r="AG195" s="950"/>
      <c r="AH195" s="950"/>
      <c r="AI195" s="950"/>
      <c r="AJ195" s="950"/>
      <c r="AK195" s="950"/>
      <c r="AL195" s="950"/>
      <c r="AM195" s="950"/>
      <c r="AN195" s="950"/>
      <c r="AO195" s="950"/>
      <c r="AP195" s="950"/>
      <c r="AQ195" s="950"/>
      <c r="AR195" s="950"/>
      <c r="AS195" s="950"/>
      <c r="AT195" s="950"/>
      <c r="AU195" s="950"/>
      <c r="AV195" s="950"/>
      <c r="AW195" s="950"/>
      <c r="AX195" s="950"/>
      <c r="AY195" s="950"/>
      <c r="AZ195" s="950"/>
      <c r="BA195" s="950"/>
      <c r="BB195" s="950"/>
      <c r="BC195" s="950"/>
      <c r="BD195" s="950"/>
    </row>
    <row r="196" spans="1:56" s="800" customFormat="1" ht="14.25" customHeight="1" x14ac:dyDescent="0.25">
      <c r="A196" s="799"/>
      <c r="B196" s="828" t="s">
        <v>1405</v>
      </c>
      <c r="C196" s="829" t="s">
        <v>928</v>
      </c>
      <c r="D196" s="829" t="s">
        <v>1401</v>
      </c>
      <c r="E196" s="830" t="s">
        <v>1438</v>
      </c>
      <c r="F196" s="833"/>
      <c r="G196" s="833"/>
      <c r="H196" s="851"/>
      <c r="I196" s="851"/>
      <c r="J196" s="851"/>
      <c r="K196" s="900"/>
      <c r="L196" s="947"/>
      <c r="M196" s="947"/>
      <c r="N196" s="947"/>
      <c r="O196" s="947"/>
      <c r="P196" s="947"/>
      <c r="Q196" s="947"/>
      <c r="R196" s="948">
        <f t="shared" si="69"/>
        <v>2.8576799999999998</v>
      </c>
      <c r="S196" s="949">
        <f t="shared" ref="S196:AD197" si="74">S146*S$188</f>
        <v>2.8576799999999998</v>
      </c>
      <c r="T196" s="1078">
        <f t="shared" si="74"/>
        <v>2.9451600000000004</v>
      </c>
      <c r="U196" s="1078">
        <f t="shared" si="74"/>
        <v>2.9746116000000002</v>
      </c>
      <c r="V196" s="1078">
        <f t="shared" si="74"/>
        <v>3.0043577160000003</v>
      </c>
      <c r="W196" s="1078">
        <f t="shared" si="74"/>
        <v>3.0344012931600006</v>
      </c>
      <c r="X196" s="1078">
        <f t="shared" si="74"/>
        <v>3.0647453060916003</v>
      </c>
      <c r="Y196" s="1078">
        <f t="shared" si="74"/>
        <v>3.0953927591525163</v>
      </c>
      <c r="Z196" s="1078">
        <f t="shared" si="74"/>
        <v>3.1263466867440415</v>
      </c>
      <c r="AA196" s="1078">
        <f t="shared" si="74"/>
        <v>3.1576101536114822</v>
      </c>
      <c r="AB196" s="1078">
        <f t="shared" si="74"/>
        <v>3.1891862551475971</v>
      </c>
      <c r="AC196" s="1078">
        <f t="shared" si="74"/>
        <v>3.221078117699073</v>
      </c>
      <c r="AD196" s="1078">
        <f t="shared" si="74"/>
        <v>3.2532888988760638</v>
      </c>
      <c r="AE196" s="950"/>
      <c r="AF196" s="950"/>
      <c r="AG196" s="950"/>
      <c r="AH196" s="950"/>
      <c r="AI196" s="950"/>
      <c r="AJ196" s="950"/>
      <c r="AK196" s="950"/>
      <c r="AL196" s="950"/>
      <c r="AM196" s="950"/>
      <c r="AN196" s="950"/>
      <c r="AO196" s="950"/>
      <c r="AP196" s="950"/>
      <c r="AQ196" s="950"/>
      <c r="AR196" s="950"/>
      <c r="AS196" s="950"/>
      <c r="AT196" s="950"/>
      <c r="AU196" s="950"/>
      <c r="AV196" s="950"/>
      <c r="AW196" s="950"/>
      <c r="AX196" s="950"/>
      <c r="AY196" s="950"/>
      <c r="AZ196" s="950"/>
      <c r="BA196" s="950"/>
      <c r="BB196" s="950"/>
      <c r="BC196" s="950"/>
      <c r="BD196" s="950"/>
    </row>
    <row r="197" spans="1:56" s="800" customFormat="1" ht="14.25" customHeight="1" x14ac:dyDescent="0.25">
      <c r="A197" s="799"/>
      <c r="B197" s="828" t="s">
        <v>1406</v>
      </c>
      <c r="C197" s="829" t="s">
        <v>723</v>
      </c>
      <c r="D197" s="829" t="s">
        <v>1401</v>
      </c>
      <c r="E197" s="830" t="s">
        <v>1440</v>
      </c>
      <c r="F197" s="833"/>
      <c r="G197" s="833"/>
      <c r="H197" s="851"/>
      <c r="I197" s="851"/>
      <c r="J197" s="851"/>
      <c r="K197" s="900"/>
      <c r="L197" s="947"/>
      <c r="M197" s="947"/>
      <c r="N197" s="947"/>
      <c r="O197" s="947"/>
      <c r="P197" s="947"/>
      <c r="Q197" s="947"/>
      <c r="R197" s="948">
        <f t="shared" si="69"/>
        <v>3.1967599999999998</v>
      </c>
      <c r="S197" s="949">
        <f t="shared" si="74"/>
        <v>3.1967599999999998</v>
      </c>
      <c r="T197" s="1078">
        <f t="shared" si="74"/>
        <v>3.262</v>
      </c>
      <c r="U197" s="1078">
        <f t="shared" si="74"/>
        <v>3.262</v>
      </c>
      <c r="V197" s="1078">
        <f t="shared" si="74"/>
        <v>3.262</v>
      </c>
      <c r="W197" s="1078">
        <f t="shared" si="74"/>
        <v>3.262</v>
      </c>
      <c r="X197" s="1078">
        <f t="shared" si="74"/>
        <v>3.262</v>
      </c>
      <c r="Y197" s="1078">
        <f t="shared" si="74"/>
        <v>3.262</v>
      </c>
      <c r="Z197" s="1078">
        <f t="shared" si="74"/>
        <v>3.262</v>
      </c>
      <c r="AA197" s="1078">
        <f t="shared" si="74"/>
        <v>3.262</v>
      </c>
      <c r="AB197" s="1078">
        <f t="shared" si="74"/>
        <v>3.262</v>
      </c>
      <c r="AC197" s="1078">
        <f t="shared" si="74"/>
        <v>3.262</v>
      </c>
      <c r="AD197" s="1078">
        <f t="shared" si="74"/>
        <v>3.262</v>
      </c>
      <c r="AE197" s="950"/>
      <c r="AF197" s="950"/>
      <c r="AG197" s="950"/>
      <c r="AH197" s="950"/>
      <c r="AI197" s="950"/>
      <c r="AJ197" s="950"/>
      <c r="AK197" s="950"/>
      <c r="AL197" s="950"/>
      <c r="AM197" s="950"/>
      <c r="AN197" s="950"/>
      <c r="AO197" s="950"/>
      <c r="AP197" s="950"/>
      <c r="AQ197" s="950"/>
      <c r="AR197" s="950"/>
      <c r="AS197" s="950"/>
      <c r="AT197" s="950"/>
      <c r="AU197" s="950"/>
      <c r="AV197" s="950"/>
      <c r="AW197" s="950"/>
      <c r="AX197" s="950"/>
      <c r="AY197" s="950"/>
      <c r="AZ197" s="950"/>
      <c r="BA197" s="950"/>
      <c r="BB197" s="950"/>
      <c r="BC197" s="950"/>
      <c r="BD197" s="950"/>
    </row>
    <row r="198" spans="1:56" s="800" customFormat="1" ht="14.25" customHeight="1" x14ac:dyDescent="0.25">
      <c r="A198" s="799"/>
      <c r="B198" s="828" t="s">
        <v>1407</v>
      </c>
      <c r="C198" s="829" t="s">
        <v>695</v>
      </c>
      <c r="D198" s="829" t="s">
        <v>1401</v>
      </c>
      <c r="E198" s="830" t="s">
        <v>1438</v>
      </c>
      <c r="F198" s="833"/>
      <c r="G198" s="833"/>
      <c r="H198" s="851"/>
      <c r="I198" s="851"/>
      <c r="J198" s="851"/>
      <c r="K198" s="900"/>
      <c r="L198" s="947"/>
      <c r="M198" s="947"/>
      <c r="N198" s="947"/>
      <c r="O198" s="947"/>
      <c r="P198" s="947"/>
      <c r="Q198" s="947"/>
      <c r="R198" s="948">
        <f t="shared" si="69"/>
        <v>31.007200000000001</v>
      </c>
      <c r="S198" s="949">
        <f t="shared" ref="S198:AD198" si="75">S148*S$188</f>
        <v>31.007200000000001</v>
      </c>
      <c r="T198" s="1078">
        <f t="shared" si="75"/>
        <v>32.272800000000004</v>
      </c>
      <c r="U198" s="1078">
        <f t="shared" si="75"/>
        <v>32.918256</v>
      </c>
      <c r="V198" s="1078">
        <f t="shared" si="75"/>
        <v>33.576621119999999</v>
      </c>
      <c r="W198" s="1078">
        <f t="shared" si="75"/>
        <v>34.248153542400004</v>
      </c>
      <c r="X198" s="1078">
        <f t="shared" si="75"/>
        <v>34.933116613248004</v>
      </c>
      <c r="Y198" s="1078">
        <f t="shared" si="75"/>
        <v>35</v>
      </c>
      <c r="Z198" s="1078">
        <f t="shared" si="75"/>
        <v>35</v>
      </c>
      <c r="AA198" s="1078">
        <f t="shared" si="75"/>
        <v>35</v>
      </c>
      <c r="AB198" s="1078">
        <f t="shared" si="75"/>
        <v>35</v>
      </c>
      <c r="AC198" s="1078">
        <f t="shared" si="75"/>
        <v>35</v>
      </c>
      <c r="AD198" s="1078">
        <f t="shared" si="75"/>
        <v>35</v>
      </c>
      <c r="AE198" s="950"/>
      <c r="AF198" s="950"/>
      <c r="AG198" s="950"/>
      <c r="AH198" s="950"/>
      <c r="AI198" s="950"/>
      <c r="AJ198" s="950"/>
      <c r="AK198" s="950"/>
      <c r="AL198" s="950"/>
      <c r="AM198" s="950"/>
      <c r="AN198" s="950"/>
      <c r="AO198" s="950"/>
      <c r="AP198" s="950"/>
      <c r="AQ198" s="950"/>
      <c r="AR198" s="950"/>
      <c r="AS198" s="950"/>
      <c r="AT198" s="950"/>
      <c r="AU198" s="950"/>
      <c r="AV198" s="950"/>
      <c r="AW198" s="950"/>
      <c r="AX198" s="950"/>
      <c r="AY198" s="950"/>
      <c r="AZ198" s="950"/>
      <c r="BA198" s="950"/>
      <c r="BB198" s="950"/>
      <c r="BC198" s="950"/>
      <c r="BD198" s="950"/>
    </row>
    <row r="199" spans="1:56" s="800" customFormat="1" ht="14.25" customHeight="1" x14ac:dyDescent="0.25">
      <c r="A199" s="799"/>
      <c r="B199" s="828" t="s">
        <v>1408</v>
      </c>
      <c r="C199" s="828"/>
      <c r="D199" s="828"/>
      <c r="E199" s="830"/>
      <c r="F199" s="833"/>
      <c r="G199" s="833"/>
      <c r="H199" s="851"/>
      <c r="I199" s="851"/>
      <c r="J199" s="851"/>
      <c r="K199" s="900"/>
      <c r="L199" s="947"/>
      <c r="M199" s="947"/>
      <c r="N199" s="947"/>
      <c r="O199" s="947"/>
      <c r="P199" s="947"/>
      <c r="Q199" s="947"/>
      <c r="R199" s="948"/>
      <c r="S199" s="951"/>
      <c r="T199" s="1078"/>
      <c r="U199" s="1079"/>
      <c r="V199" s="1079"/>
      <c r="W199" s="1079"/>
      <c r="X199" s="1079"/>
      <c r="Y199" s="1079"/>
      <c r="Z199" s="1079"/>
      <c r="AA199" s="1079"/>
      <c r="AB199" s="1079"/>
      <c r="AC199" s="1079"/>
      <c r="AD199" s="1079"/>
      <c r="AE199" s="950"/>
      <c r="AF199" s="950"/>
      <c r="AG199" s="950"/>
      <c r="AH199" s="950"/>
      <c r="AI199" s="950"/>
      <c r="AJ199" s="950"/>
      <c r="AK199" s="950"/>
      <c r="AL199" s="950"/>
      <c r="AM199" s="950"/>
      <c r="AN199" s="950"/>
      <c r="AO199" s="950"/>
      <c r="AP199" s="950"/>
      <c r="AQ199" s="950"/>
      <c r="AR199" s="950"/>
      <c r="AS199" s="950"/>
      <c r="AT199" s="950"/>
      <c r="AU199" s="950"/>
      <c r="AV199" s="950"/>
      <c r="AW199" s="950"/>
      <c r="AX199" s="950"/>
      <c r="AY199" s="950"/>
      <c r="AZ199" s="950"/>
      <c r="BA199" s="950"/>
      <c r="BB199" s="950"/>
      <c r="BC199" s="950"/>
      <c r="BD199" s="950"/>
    </row>
    <row r="200" spans="1:56" s="800" customFormat="1" ht="14.25" customHeight="1" x14ac:dyDescent="0.25">
      <c r="A200" s="799"/>
      <c r="B200" s="840" t="s">
        <v>1409</v>
      </c>
      <c r="C200" s="840"/>
      <c r="D200" s="840"/>
      <c r="E200" s="830"/>
      <c r="F200" s="833"/>
      <c r="G200" s="833"/>
      <c r="H200" s="851"/>
      <c r="I200" s="851"/>
      <c r="J200" s="851"/>
      <c r="K200" s="900"/>
      <c r="L200" s="947"/>
      <c r="M200" s="947"/>
      <c r="N200" s="947"/>
      <c r="O200" s="947"/>
      <c r="P200" s="947"/>
      <c r="Q200" s="947"/>
      <c r="R200" s="947"/>
      <c r="S200" s="951"/>
      <c r="T200" s="1078"/>
      <c r="U200" s="1079"/>
      <c r="V200" s="1079"/>
      <c r="W200" s="1079"/>
      <c r="X200" s="1079"/>
      <c r="Y200" s="1079"/>
      <c r="Z200" s="1079"/>
      <c r="AA200" s="1079"/>
      <c r="AB200" s="1079"/>
      <c r="AC200" s="1079"/>
      <c r="AD200" s="1079"/>
      <c r="AE200" s="950"/>
      <c r="AF200" s="950"/>
      <c r="AG200" s="950"/>
      <c r="AH200" s="950"/>
      <c r="AI200" s="950"/>
      <c r="AJ200" s="950"/>
      <c r="AK200" s="950"/>
      <c r="AL200" s="950"/>
      <c r="AM200" s="950"/>
      <c r="AN200" s="950"/>
      <c r="AO200" s="950"/>
      <c r="AP200" s="950"/>
      <c r="AQ200" s="950"/>
      <c r="AR200" s="950"/>
      <c r="AS200" s="950"/>
      <c r="AT200" s="950"/>
      <c r="AU200" s="950"/>
      <c r="AV200" s="950"/>
      <c r="AW200" s="950"/>
      <c r="AX200" s="950"/>
      <c r="AY200" s="950"/>
      <c r="AZ200" s="950"/>
      <c r="BA200" s="950"/>
      <c r="BB200" s="950"/>
      <c r="BC200" s="950"/>
      <c r="BD200" s="950"/>
    </row>
    <row r="201" spans="1:56" s="800" customFormat="1" ht="14.25" customHeight="1" x14ac:dyDescent="0.25">
      <c r="A201" s="799"/>
      <c r="B201" s="840" t="s">
        <v>1441</v>
      </c>
      <c r="C201" s="841" t="s">
        <v>1411</v>
      </c>
      <c r="D201" s="841" t="s">
        <v>1412</v>
      </c>
      <c r="E201" s="830" t="s">
        <v>1439</v>
      </c>
      <c r="F201" s="833"/>
      <c r="G201" s="833"/>
      <c r="H201" s="851"/>
      <c r="I201" s="851"/>
      <c r="J201" s="851"/>
      <c r="K201" s="900"/>
      <c r="L201" s="947"/>
      <c r="M201" s="947"/>
      <c r="N201" s="947"/>
      <c r="O201" s="947"/>
      <c r="P201" s="947"/>
      <c r="Q201" s="947"/>
      <c r="R201" s="947"/>
      <c r="S201" s="949">
        <f>S126*S151</f>
        <v>4.4999999999999998E-2</v>
      </c>
      <c r="T201" s="1078">
        <f>T151*T$188</f>
        <v>0.32100000000000001</v>
      </c>
      <c r="U201" s="1078">
        <f t="shared" ref="U201:AD201" si="76">U151*U$188</f>
        <v>0.34347000000000005</v>
      </c>
      <c r="V201" s="1078">
        <f t="shared" si="76"/>
        <v>0.39155580000000001</v>
      </c>
      <c r="W201" s="1078">
        <f t="shared" si="76"/>
        <v>0.44637361199999998</v>
      </c>
      <c r="X201" s="1078">
        <f t="shared" si="76"/>
        <v>0.50886591767999989</v>
      </c>
      <c r="Y201" s="1078">
        <f t="shared" si="76"/>
        <v>0.58010714615519987</v>
      </c>
      <c r="Z201" s="1078">
        <f t="shared" si="76"/>
        <v>0.66132214661692779</v>
      </c>
      <c r="AA201" s="1078">
        <f t="shared" si="76"/>
        <v>0.7539072471432976</v>
      </c>
      <c r="AB201" s="1078">
        <f t="shared" si="76"/>
        <v>0.85945426174335915</v>
      </c>
      <c r="AC201" s="1078">
        <f t="shared" si="76"/>
        <v>0.97977785838742937</v>
      </c>
      <c r="AD201" s="1078">
        <f t="shared" si="76"/>
        <v>1.1169467585616695</v>
      </c>
      <c r="AE201" s="948"/>
      <c r="AF201" s="950"/>
      <c r="AG201" s="950"/>
      <c r="AH201" s="950"/>
      <c r="AI201" s="950"/>
      <c r="AJ201" s="950"/>
      <c r="AK201" s="950"/>
      <c r="AL201" s="950"/>
      <c r="AM201" s="950"/>
      <c r="AN201" s="950"/>
      <c r="AO201" s="950"/>
      <c r="AP201" s="950"/>
      <c r="AQ201" s="950"/>
      <c r="AR201" s="950"/>
      <c r="AS201" s="950"/>
      <c r="AT201" s="950"/>
      <c r="AU201" s="950"/>
      <c r="AV201" s="950"/>
      <c r="AW201" s="950"/>
      <c r="AX201" s="950"/>
      <c r="AY201" s="950"/>
      <c r="AZ201" s="950"/>
      <c r="BA201" s="950"/>
      <c r="BB201" s="950"/>
      <c r="BC201" s="950"/>
      <c r="BD201" s="950"/>
    </row>
    <row r="202" spans="1:56" s="800" customFormat="1" ht="14.25" customHeight="1" x14ac:dyDescent="0.25">
      <c r="A202" s="799"/>
      <c r="B202" s="840" t="s">
        <v>1442</v>
      </c>
      <c r="C202" s="841" t="s">
        <v>1414</v>
      </c>
      <c r="D202" s="841" t="s">
        <v>1412</v>
      </c>
      <c r="E202" s="830" t="s">
        <v>1438</v>
      </c>
      <c r="F202" s="833"/>
      <c r="G202" s="833"/>
      <c r="H202" s="851"/>
      <c r="I202" s="851"/>
      <c r="J202" s="851"/>
      <c r="K202" s="900"/>
      <c r="L202" s="947"/>
      <c r="M202" s="947"/>
      <c r="N202" s="947"/>
      <c r="O202" s="947"/>
      <c r="P202" s="947"/>
      <c r="Q202" s="947"/>
      <c r="R202" s="947"/>
      <c r="S202" s="949">
        <f>S127*S152</f>
        <v>0.5625</v>
      </c>
      <c r="T202" s="1078">
        <f>T152*T$188</f>
        <v>4.0125000000000002</v>
      </c>
      <c r="U202" s="1078">
        <f t="shared" ref="U202:AD202" si="77">U152*U$188</f>
        <v>4.2933750000000011</v>
      </c>
      <c r="V202" s="1078">
        <f t="shared" si="77"/>
        <v>4.8944475000000001</v>
      </c>
      <c r="W202" s="1078">
        <f t="shared" si="77"/>
        <v>5.5796701500000001</v>
      </c>
      <c r="X202" s="1078">
        <f t="shared" si="77"/>
        <v>6.3608239709999985</v>
      </c>
      <c r="Y202" s="1078">
        <f t="shared" si="77"/>
        <v>7.2513393269399984</v>
      </c>
      <c r="Z202" s="1078">
        <f t="shared" si="77"/>
        <v>8.2665268327115982</v>
      </c>
      <c r="AA202" s="1078">
        <f t="shared" si="77"/>
        <v>9.4238405892912205</v>
      </c>
      <c r="AB202" s="1078">
        <f t="shared" si="77"/>
        <v>10.74317827179199</v>
      </c>
      <c r="AC202" s="1078">
        <f t="shared" si="77"/>
        <v>12.247223229842866</v>
      </c>
      <c r="AD202" s="1078">
        <f t="shared" si="77"/>
        <v>13.961834482020869</v>
      </c>
      <c r="AE202" s="950"/>
      <c r="AF202" s="950"/>
      <c r="AG202" s="950"/>
      <c r="AH202" s="950"/>
      <c r="AI202" s="950"/>
      <c r="AJ202" s="950"/>
      <c r="AK202" s="950"/>
      <c r="AL202" s="950"/>
      <c r="AM202" s="950"/>
      <c r="AN202" s="950"/>
      <c r="AO202" s="950"/>
      <c r="AP202" s="950"/>
      <c r="AQ202" s="950"/>
      <c r="AR202" s="950"/>
      <c r="AS202" s="950"/>
      <c r="AT202" s="950"/>
      <c r="AU202" s="950"/>
      <c r="AV202" s="950"/>
      <c r="AW202" s="950"/>
      <c r="AX202" s="950"/>
      <c r="AY202" s="950"/>
      <c r="AZ202" s="950"/>
      <c r="BA202" s="950"/>
      <c r="BB202" s="950"/>
      <c r="BC202" s="950"/>
      <c r="BD202" s="950"/>
    </row>
    <row r="203" spans="1:56" s="833" customFormat="1" ht="14.25" customHeight="1" x14ac:dyDescent="0.25">
      <c r="A203" s="835"/>
      <c r="B203" s="840" t="s">
        <v>1415</v>
      </c>
      <c r="C203" s="841" t="s">
        <v>1416</v>
      </c>
      <c r="D203" s="841" t="s">
        <v>1412</v>
      </c>
      <c r="E203" s="830" t="s">
        <v>1439</v>
      </c>
      <c r="S203" s="951"/>
      <c r="T203" s="1078">
        <f>T153*T$188</f>
        <v>130</v>
      </c>
      <c r="U203" s="1078">
        <f t="shared" ref="U203:AD203" si="78">U153*U$188</f>
        <v>136.5</v>
      </c>
      <c r="V203" s="1078">
        <f t="shared" si="78"/>
        <v>143.32500000000002</v>
      </c>
      <c r="W203" s="1078">
        <f t="shared" si="78"/>
        <v>157.65750000000003</v>
      </c>
      <c r="X203" s="1078">
        <f t="shared" si="78"/>
        <v>173.42325000000005</v>
      </c>
      <c r="Y203" s="1078">
        <f t="shared" si="78"/>
        <v>190.76557500000007</v>
      </c>
      <c r="Z203" s="1078">
        <f t="shared" si="78"/>
        <v>209.8421325000001</v>
      </c>
      <c r="AA203" s="1078">
        <f t="shared" si="78"/>
        <v>230.82634575000012</v>
      </c>
      <c r="AB203" s="1078">
        <f t="shared" si="78"/>
        <v>253.90898032500013</v>
      </c>
      <c r="AC203" s="1078">
        <f t="shared" si="78"/>
        <v>279.29987835750018</v>
      </c>
      <c r="AD203" s="1078">
        <f t="shared" si="78"/>
        <v>307.22986619325019</v>
      </c>
      <c r="AE203" s="838"/>
      <c r="AF203" s="838"/>
      <c r="AG203" s="838"/>
      <c r="AH203" s="838"/>
      <c r="AI203" s="838"/>
      <c r="AJ203" s="838"/>
      <c r="AK203" s="838"/>
      <c r="AL203" s="838"/>
      <c r="AM203" s="838"/>
      <c r="AN203" s="838"/>
      <c r="AO203" s="838"/>
      <c r="AP203" s="838"/>
      <c r="AQ203" s="838"/>
      <c r="AR203" s="838"/>
      <c r="AS203" s="838"/>
      <c r="AT203" s="838"/>
      <c r="AU203" s="838"/>
      <c r="AV203" s="838"/>
      <c r="AW203" s="838"/>
      <c r="AX203" s="838"/>
      <c r="AY203" s="838"/>
      <c r="AZ203" s="838"/>
      <c r="BA203" s="838"/>
      <c r="BB203" s="838"/>
      <c r="BC203" s="838"/>
      <c r="BD203" s="838"/>
    </row>
    <row r="204" spans="1:56" s="833" customFormat="1" ht="14.25" customHeight="1" x14ac:dyDescent="0.25">
      <c r="A204" s="835"/>
      <c r="B204" s="828" t="s">
        <v>1417</v>
      </c>
      <c r="C204" s="828"/>
      <c r="D204" s="828"/>
      <c r="E204" s="830" t="s">
        <v>1440</v>
      </c>
      <c r="S204" s="830"/>
      <c r="T204" s="1078"/>
      <c r="U204" s="1052"/>
      <c r="V204" s="1052"/>
      <c r="W204" s="1052"/>
      <c r="X204" s="1052"/>
      <c r="Y204" s="1052"/>
      <c r="Z204" s="1052"/>
      <c r="AA204" s="1052"/>
      <c r="AB204" s="1052"/>
      <c r="AC204" s="1052"/>
      <c r="AD204" s="1052"/>
      <c r="AE204" s="838"/>
      <c r="AF204" s="838"/>
      <c r="AG204" s="838"/>
      <c r="AH204" s="838"/>
      <c r="AI204" s="838"/>
      <c r="AJ204" s="838"/>
      <c r="AK204" s="838"/>
      <c r="AL204" s="838"/>
      <c r="AM204" s="838"/>
      <c r="AN204" s="838"/>
      <c r="AO204" s="838"/>
      <c r="AP204" s="838"/>
      <c r="AQ204" s="838"/>
      <c r="AR204" s="838"/>
      <c r="AS204" s="838"/>
      <c r="AT204" s="838"/>
      <c r="AU204" s="838"/>
      <c r="AV204" s="838"/>
      <c r="AW204" s="838"/>
      <c r="AX204" s="838"/>
      <c r="AY204" s="838"/>
      <c r="AZ204" s="838"/>
      <c r="BA204" s="838"/>
      <c r="BB204" s="838"/>
      <c r="BC204" s="838"/>
      <c r="BD204" s="838"/>
    </row>
    <row r="205" spans="1:56" s="833" customFormat="1" ht="14.25" customHeight="1" x14ac:dyDescent="0.25">
      <c r="A205" s="835"/>
      <c r="B205" s="840" t="s">
        <v>1418</v>
      </c>
      <c r="C205" s="841" t="s">
        <v>1419</v>
      </c>
      <c r="D205" s="829" t="s">
        <v>1401</v>
      </c>
      <c r="E205" s="830" t="s">
        <v>1438</v>
      </c>
      <c r="S205" s="830"/>
      <c r="T205" s="1078">
        <f>T155*T$188</f>
        <v>0</v>
      </c>
      <c r="U205" s="1078">
        <f t="shared" ref="U205:AD205" si="79">U155*U$188</f>
        <v>0</v>
      </c>
      <c r="V205" s="1078">
        <f t="shared" si="79"/>
        <v>23.3</v>
      </c>
      <c r="W205" s="1078">
        <f t="shared" si="79"/>
        <v>23.766000000000002</v>
      </c>
      <c r="X205" s="1078">
        <f t="shared" si="79"/>
        <v>24.241320000000002</v>
      </c>
      <c r="Y205" s="1078">
        <f t="shared" si="79"/>
        <v>24.726146400000005</v>
      </c>
      <c r="Z205" s="1078">
        <f t="shared" si="79"/>
        <v>25.220669328000003</v>
      </c>
      <c r="AA205" s="1078">
        <f t="shared" si="79"/>
        <v>25.725082714560003</v>
      </c>
      <c r="AB205" s="1078">
        <f t="shared" si="79"/>
        <v>26.239584368851204</v>
      </c>
      <c r="AC205" s="1078">
        <f t="shared" si="79"/>
        <v>26.764376056228226</v>
      </c>
      <c r="AD205" s="1078">
        <f t="shared" si="79"/>
        <v>27.299663577352792</v>
      </c>
      <c r="AE205" s="838"/>
      <c r="AF205" s="838"/>
      <c r="AG205" s="838"/>
      <c r="AH205" s="838"/>
      <c r="AI205" s="838"/>
      <c r="AJ205" s="838"/>
      <c r="AK205" s="838"/>
      <c r="AL205" s="838"/>
      <c r="AM205" s="838"/>
      <c r="AN205" s="838"/>
      <c r="AO205" s="838"/>
      <c r="AP205" s="838"/>
      <c r="AQ205" s="838"/>
      <c r="AR205" s="838"/>
      <c r="AS205" s="838"/>
      <c r="AT205" s="838"/>
      <c r="AU205" s="838"/>
      <c r="AV205" s="838"/>
      <c r="AW205" s="838"/>
      <c r="AX205" s="838"/>
      <c r="AY205" s="838"/>
      <c r="AZ205" s="838"/>
      <c r="BA205" s="838"/>
      <c r="BB205" s="838"/>
      <c r="BC205" s="838"/>
      <c r="BD205" s="838"/>
    </row>
    <row r="206" spans="1:56" s="833" customFormat="1" ht="14.25" customHeight="1" x14ac:dyDescent="0.25">
      <c r="A206" s="835"/>
      <c r="B206" s="840" t="s">
        <v>1420</v>
      </c>
      <c r="C206" s="841" t="s">
        <v>1421</v>
      </c>
      <c r="D206" s="829" t="s">
        <v>1401</v>
      </c>
      <c r="E206" s="830" t="s">
        <v>1439</v>
      </c>
      <c r="S206" s="830"/>
      <c r="T206" s="1078">
        <f>T156*T$188</f>
        <v>0</v>
      </c>
      <c r="U206" s="1078">
        <f t="shared" ref="U206:AD206" si="80">U156*U$188</f>
        <v>0</v>
      </c>
      <c r="V206" s="1078">
        <f t="shared" si="80"/>
        <v>16.7</v>
      </c>
      <c r="W206" s="1078">
        <f t="shared" si="80"/>
        <v>17.034000000000002</v>
      </c>
      <c r="X206" s="1078">
        <f t="shared" si="80"/>
        <v>17.374680000000001</v>
      </c>
      <c r="Y206" s="1078">
        <f t="shared" si="80"/>
        <v>17.722173600000001</v>
      </c>
      <c r="Z206" s="1078">
        <f t="shared" si="80"/>
        <v>18.076617072000001</v>
      </c>
      <c r="AA206" s="1078">
        <f t="shared" si="80"/>
        <v>18.438149413440001</v>
      </c>
      <c r="AB206" s="1078">
        <f t="shared" si="80"/>
        <v>18.806912401708804</v>
      </c>
      <c r="AC206" s="1078">
        <f t="shared" si="80"/>
        <v>19.183050649742977</v>
      </c>
      <c r="AD206" s="1078">
        <f t="shared" si="80"/>
        <v>19.566711662737838</v>
      </c>
      <c r="AE206" s="838"/>
      <c r="AF206" s="838"/>
      <c r="AG206" s="838"/>
      <c r="AH206" s="838"/>
      <c r="AI206" s="838"/>
      <c r="AJ206" s="838"/>
      <c r="AK206" s="838"/>
      <c r="AL206" s="838"/>
      <c r="AM206" s="838"/>
      <c r="AN206" s="838"/>
      <c r="AO206" s="838"/>
      <c r="AP206" s="838"/>
      <c r="AQ206" s="838"/>
      <c r="AR206" s="838"/>
      <c r="AS206" s="838"/>
      <c r="AT206" s="838"/>
      <c r="AU206" s="838"/>
      <c r="AV206" s="838"/>
      <c r="AW206" s="838"/>
      <c r="AX206" s="838"/>
      <c r="AY206" s="838"/>
      <c r="AZ206" s="838"/>
      <c r="BA206" s="838"/>
      <c r="BB206" s="838"/>
      <c r="BC206" s="838"/>
      <c r="BD206" s="838"/>
    </row>
    <row r="207" spans="1:56" s="833" customFormat="1" ht="14.25" customHeight="1" x14ac:dyDescent="0.25">
      <c r="A207" s="835"/>
      <c r="B207" s="828" t="s">
        <v>1422</v>
      </c>
      <c r="C207" s="828"/>
      <c r="D207" s="828"/>
      <c r="E207" s="830" t="s">
        <v>1440</v>
      </c>
      <c r="S207" s="830"/>
      <c r="T207" s="1078"/>
      <c r="U207" s="1052"/>
      <c r="V207" s="1052"/>
      <c r="W207" s="1052"/>
      <c r="X207" s="1052"/>
      <c r="Y207" s="1052"/>
      <c r="Z207" s="1052"/>
      <c r="AA207" s="1052"/>
      <c r="AB207" s="1052"/>
      <c r="AC207" s="1052"/>
      <c r="AD207" s="1052"/>
      <c r="AE207" s="838"/>
      <c r="AF207" s="838"/>
      <c r="AG207" s="838"/>
      <c r="AH207" s="838"/>
      <c r="AI207" s="838"/>
      <c r="AJ207" s="838"/>
      <c r="AK207" s="838"/>
      <c r="AL207" s="838"/>
      <c r="AM207" s="838"/>
      <c r="AN207" s="838"/>
      <c r="AO207" s="838"/>
      <c r="AP207" s="838"/>
      <c r="AQ207" s="838"/>
      <c r="AR207" s="838"/>
      <c r="AS207" s="838"/>
      <c r="AT207" s="838"/>
      <c r="AU207" s="838"/>
      <c r="AV207" s="838"/>
      <c r="AW207" s="838"/>
      <c r="AX207" s="838"/>
      <c r="AY207" s="838"/>
      <c r="AZ207" s="838"/>
      <c r="BA207" s="838"/>
      <c r="BB207" s="838"/>
      <c r="BC207" s="838"/>
      <c r="BD207" s="838"/>
    </row>
    <row r="208" spans="1:56" s="833" customFormat="1" ht="14.25" customHeight="1" x14ac:dyDescent="0.25">
      <c r="A208" s="835"/>
      <c r="B208" s="840" t="s">
        <v>1423</v>
      </c>
      <c r="C208" s="841" t="s">
        <v>1424</v>
      </c>
      <c r="D208" s="841" t="s">
        <v>1412</v>
      </c>
      <c r="E208" s="830" t="s">
        <v>1438</v>
      </c>
      <c r="S208" s="830"/>
      <c r="T208" s="1078">
        <f>T158*T$188</f>
        <v>0</v>
      </c>
      <c r="U208" s="1078">
        <f t="shared" ref="U208:AD208" si="81">U158*U$188</f>
        <v>0</v>
      </c>
      <c r="V208" s="1078">
        <f t="shared" si="81"/>
        <v>0</v>
      </c>
      <c r="W208" s="1078">
        <f t="shared" si="81"/>
        <v>1.5</v>
      </c>
      <c r="X208" s="1078">
        <f t="shared" si="81"/>
        <v>1.59</v>
      </c>
      <c r="Y208" s="1078">
        <f t="shared" si="81"/>
        <v>1.6854000000000002</v>
      </c>
      <c r="Z208" s="1078">
        <f t="shared" si="81"/>
        <v>1.8202320000000003</v>
      </c>
      <c r="AA208" s="1078">
        <f t="shared" si="81"/>
        <v>1.9658505600000002</v>
      </c>
      <c r="AB208" s="1078">
        <f t="shared" si="81"/>
        <v>2.1231186048000006</v>
      </c>
      <c r="AC208" s="1078">
        <f t="shared" si="81"/>
        <v>2.2929680931840011</v>
      </c>
      <c r="AD208" s="1078">
        <f t="shared" si="81"/>
        <v>2.4764055406387211</v>
      </c>
      <c r="AE208" s="838"/>
      <c r="AF208" s="838"/>
      <c r="AG208" s="838"/>
      <c r="AH208" s="838"/>
      <c r="AI208" s="838"/>
      <c r="AJ208" s="838"/>
      <c r="AK208" s="838"/>
      <c r="AL208" s="838"/>
      <c r="AM208" s="838"/>
      <c r="AN208" s="838"/>
      <c r="AO208" s="838"/>
      <c r="AP208" s="838"/>
      <c r="AQ208" s="838"/>
      <c r="AR208" s="838"/>
      <c r="AS208" s="838"/>
      <c r="AT208" s="838"/>
      <c r="AU208" s="838"/>
      <c r="AV208" s="838"/>
      <c r="AW208" s="838"/>
      <c r="AX208" s="838"/>
      <c r="AY208" s="838"/>
      <c r="AZ208" s="838"/>
      <c r="BA208" s="838"/>
      <c r="BB208" s="838"/>
      <c r="BC208" s="838"/>
      <c r="BD208" s="838"/>
    </row>
    <row r="209" spans="1:58" s="833" customFormat="1" ht="14.25" customHeight="1" x14ac:dyDescent="0.25">
      <c r="A209" s="835"/>
      <c r="B209" s="840" t="s">
        <v>1425</v>
      </c>
      <c r="C209" s="841" t="s">
        <v>1426</v>
      </c>
      <c r="D209" s="829" t="s">
        <v>1401</v>
      </c>
      <c r="E209" s="830" t="s">
        <v>1439</v>
      </c>
      <c r="S209" s="830"/>
      <c r="T209" s="1078">
        <f>T159*T$188</f>
        <v>0</v>
      </c>
      <c r="U209" s="1078">
        <f t="shared" ref="U209:AD209" si="82">U159*U$188</f>
        <v>0</v>
      </c>
      <c r="V209" s="1078">
        <f t="shared" si="82"/>
        <v>0</v>
      </c>
      <c r="W209" s="1078">
        <f t="shared" si="82"/>
        <v>0</v>
      </c>
      <c r="X209" s="1078">
        <f t="shared" si="82"/>
        <v>0</v>
      </c>
      <c r="Y209" s="1078">
        <f t="shared" si="82"/>
        <v>0</v>
      </c>
      <c r="Z209" s="1078">
        <f t="shared" si="82"/>
        <v>4</v>
      </c>
      <c r="AA209" s="1078">
        <f t="shared" si="82"/>
        <v>4.12</v>
      </c>
      <c r="AB209" s="1078">
        <f t="shared" si="82"/>
        <v>4.2436000000000007</v>
      </c>
      <c r="AC209" s="1078">
        <f t="shared" si="82"/>
        <v>4.3709080000000009</v>
      </c>
      <c r="AD209" s="1078">
        <f t="shared" si="82"/>
        <v>4.5020352400000005</v>
      </c>
      <c r="AE209" s="838"/>
      <c r="AF209" s="838"/>
      <c r="AG209" s="838"/>
      <c r="AH209" s="838"/>
      <c r="AI209" s="838"/>
      <c r="AJ209" s="838"/>
      <c r="AK209" s="838"/>
      <c r="AL209" s="838"/>
      <c r="AM209" s="838"/>
      <c r="AN209" s="838"/>
      <c r="AO209" s="838"/>
      <c r="AP209" s="838"/>
      <c r="AQ209" s="838"/>
      <c r="AR209" s="838"/>
      <c r="AS209" s="838"/>
      <c r="AT209" s="838"/>
      <c r="AU209" s="838"/>
      <c r="AV209" s="838"/>
      <c r="AW209" s="838"/>
      <c r="AX209" s="838"/>
      <c r="AY209" s="838"/>
      <c r="AZ209" s="838"/>
      <c r="BA209" s="838"/>
      <c r="BB209" s="838"/>
      <c r="BC209" s="838"/>
      <c r="BD209" s="838"/>
    </row>
    <row r="210" spans="1:58" s="833" customFormat="1" ht="14.25" customHeight="1" x14ac:dyDescent="0.25">
      <c r="A210" s="835"/>
      <c r="B210" s="840" t="s">
        <v>1427</v>
      </c>
      <c r="C210" s="841" t="s">
        <v>1428</v>
      </c>
      <c r="D210" s="829" t="s">
        <v>1401</v>
      </c>
      <c r="E210" s="830" t="s">
        <v>1438</v>
      </c>
      <c r="S210" s="830"/>
      <c r="T210" s="1078">
        <f>T160*T$188</f>
        <v>0</v>
      </c>
      <c r="U210" s="1078">
        <f t="shared" ref="U210:AD210" si="83">U160*U$188</f>
        <v>0</v>
      </c>
      <c r="V210" s="1078">
        <f t="shared" si="83"/>
        <v>0</v>
      </c>
      <c r="W210" s="1078">
        <f t="shared" si="83"/>
        <v>0</v>
      </c>
      <c r="X210" s="1078">
        <f t="shared" si="83"/>
        <v>0.45</v>
      </c>
      <c r="Y210" s="1078">
        <f t="shared" si="83"/>
        <v>0.46350000000000002</v>
      </c>
      <c r="Z210" s="1078">
        <f t="shared" si="83"/>
        <v>0.47740500000000008</v>
      </c>
      <c r="AA210" s="1078">
        <f t="shared" si="83"/>
        <v>0.49172715000000006</v>
      </c>
      <c r="AB210" s="1078">
        <f t="shared" si="83"/>
        <v>0.50647896450000007</v>
      </c>
      <c r="AC210" s="1078">
        <f t="shared" si="83"/>
        <v>0.52167333343500011</v>
      </c>
      <c r="AD210" s="1078">
        <f t="shared" si="83"/>
        <v>0.53732353343805017</v>
      </c>
      <c r="AE210" s="838"/>
      <c r="AF210" s="838"/>
      <c r="AG210" s="838"/>
      <c r="AH210" s="838"/>
      <c r="AI210" s="838"/>
      <c r="AJ210" s="838"/>
      <c r="AK210" s="838"/>
      <c r="AL210" s="838"/>
      <c r="AM210" s="838"/>
      <c r="AN210" s="838"/>
      <c r="AO210" s="838"/>
      <c r="AP210" s="838"/>
      <c r="AQ210" s="838"/>
      <c r="AR210" s="838"/>
      <c r="AS210" s="838"/>
      <c r="AT210" s="838"/>
      <c r="AU210" s="838"/>
      <c r="AV210" s="838"/>
      <c r="AW210" s="838"/>
      <c r="AX210" s="838"/>
      <c r="AY210" s="838"/>
      <c r="AZ210" s="838"/>
      <c r="BA210" s="838"/>
      <c r="BB210" s="838"/>
      <c r="BC210" s="838"/>
      <c r="BD210" s="838"/>
    </row>
    <row r="211" spans="1:58" s="833" customFormat="1" ht="14.25" customHeight="1" x14ac:dyDescent="0.25">
      <c r="A211" s="835"/>
      <c r="B211" s="840" t="s">
        <v>1429</v>
      </c>
      <c r="C211" s="841" t="s">
        <v>1430</v>
      </c>
      <c r="D211" s="829" t="s">
        <v>1401</v>
      </c>
      <c r="E211" s="830" t="s">
        <v>1439</v>
      </c>
      <c r="S211" s="830"/>
      <c r="T211" s="1078">
        <f>T161*T$188</f>
        <v>0</v>
      </c>
      <c r="U211" s="1078">
        <f t="shared" ref="U211:AD211" si="84">U161*U$188</f>
        <v>0</v>
      </c>
      <c r="V211" s="1078">
        <f t="shared" si="84"/>
        <v>0</v>
      </c>
      <c r="W211" s="1078">
        <f t="shared" si="84"/>
        <v>0</v>
      </c>
      <c r="X211" s="1078">
        <f t="shared" si="84"/>
        <v>0.25</v>
      </c>
      <c r="Y211" s="1078">
        <f t="shared" si="84"/>
        <v>0.25750000000000001</v>
      </c>
      <c r="Z211" s="1078">
        <f t="shared" si="84"/>
        <v>0.26522500000000004</v>
      </c>
      <c r="AA211" s="1078">
        <f t="shared" si="84"/>
        <v>0.27318175000000006</v>
      </c>
      <c r="AB211" s="1078">
        <f t="shared" si="84"/>
        <v>0.28137720250000003</v>
      </c>
      <c r="AC211" s="1078">
        <f t="shared" si="84"/>
        <v>0.28981851857500007</v>
      </c>
      <c r="AD211" s="1078">
        <f t="shared" si="84"/>
        <v>0.29851307413225009</v>
      </c>
      <c r="AE211" s="838"/>
      <c r="AF211" s="838"/>
      <c r="AG211" s="838"/>
      <c r="AH211" s="838"/>
      <c r="AI211" s="838"/>
      <c r="AJ211" s="838"/>
      <c r="AK211" s="838"/>
      <c r="AL211" s="838"/>
      <c r="AM211" s="838"/>
      <c r="AN211" s="838"/>
      <c r="AO211" s="838"/>
      <c r="AP211" s="838"/>
      <c r="AQ211" s="838"/>
      <c r="AR211" s="838"/>
      <c r="AS211" s="838"/>
      <c r="AT211" s="838"/>
      <c r="AU211" s="838"/>
      <c r="AV211" s="838"/>
      <c r="AW211" s="838"/>
      <c r="AX211" s="838"/>
      <c r="AY211" s="838"/>
      <c r="AZ211" s="838"/>
      <c r="BA211" s="838"/>
      <c r="BB211" s="838"/>
      <c r="BC211" s="838"/>
      <c r="BD211" s="838"/>
    </row>
    <row r="212" spans="1:58" s="833" customFormat="1" ht="14.25" customHeight="1" x14ac:dyDescent="0.25">
      <c r="A212" s="835"/>
      <c r="B212" s="828" t="s">
        <v>1431</v>
      </c>
      <c r="C212" s="829" t="s">
        <v>1432</v>
      </c>
      <c r="D212" s="829"/>
      <c r="E212" s="936"/>
      <c r="S212" s="830"/>
      <c r="T212" s="1081">
        <f>T162*T$188</f>
        <v>0</v>
      </c>
      <c r="U212" s="1082">
        <f t="shared" ref="U212:AD212" si="85">U162*U$188</f>
        <v>0</v>
      </c>
      <c r="V212" s="1082">
        <f t="shared" si="85"/>
        <v>0</v>
      </c>
      <c r="W212" s="1082">
        <f t="shared" si="85"/>
        <v>0</v>
      </c>
      <c r="X212" s="1082">
        <f t="shared" si="85"/>
        <v>0</v>
      </c>
      <c r="Y212" s="1082">
        <f t="shared" si="85"/>
        <v>0</v>
      </c>
      <c r="Z212" s="1082">
        <f t="shared" si="85"/>
        <v>0</v>
      </c>
      <c r="AA212" s="1082">
        <f t="shared" si="85"/>
        <v>0</v>
      </c>
      <c r="AB212" s="1082">
        <f t="shared" si="85"/>
        <v>0</v>
      </c>
      <c r="AC212" s="1082">
        <f t="shared" si="85"/>
        <v>0</v>
      </c>
      <c r="AD212" s="1082">
        <f t="shared" si="85"/>
        <v>0</v>
      </c>
      <c r="AE212" s="838"/>
      <c r="AF212" s="838"/>
      <c r="AG212" s="838"/>
      <c r="AH212" s="838"/>
      <c r="AI212" s="838"/>
      <c r="AJ212" s="838"/>
      <c r="AK212" s="838"/>
      <c r="AL212" s="838"/>
      <c r="AM212" s="838"/>
      <c r="AN212" s="838"/>
      <c r="AO212" s="838"/>
      <c r="AP212" s="838"/>
      <c r="AQ212" s="838"/>
      <c r="AR212" s="838"/>
      <c r="AS212" s="838"/>
      <c r="AT212" s="838"/>
      <c r="AU212" s="838"/>
      <c r="AV212" s="838"/>
      <c r="AW212" s="838"/>
      <c r="AX212" s="838"/>
      <c r="AY212" s="838"/>
      <c r="AZ212" s="838"/>
      <c r="BA212" s="838"/>
      <c r="BB212" s="838"/>
      <c r="BC212" s="838"/>
      <c r="BD212" s="838"/>
    </row>
    <row r="213" spans="1:58" s="800" customFormat="1" ht="14.25" customHeight="1" x14ac:dyDescent="0.25">
      <c r="A213" s="799"/>
      <c r="B213" s="844" t="s">
        <v>1443</v>
      </c>
      <c r="C213" s="844"/>
      <c r="D213" s="844"/>
      <c r="E213" s="845" t="s">
        <v>1440</v>
      </c>
      <c r="F213" s="844"/>
      <c r="G213" s="844"/>
      <c r="H213" s="844"/>
      <c r="I213" s="844"/>
      <c r="J213" s="844"/>
      <c r="K213" s="888"/>
      <c r="L213" s="888"/>
      <c r="M213" s="888"/>
      <c r="N213" s="888"/>
      <c r="O213" s="888"/>
      <c r="P213" s="888"/>
      <c r="Q213" s="889"/>
      <c r="R213" s="952">
        <f>R163*R188</f>
        <v>370.79475999999994</v>
      </c>
      <c r="S213" s="953">
        <f t="shared" ref="S213:AD213" si="86">S163*S188</f>
        <v>374.76375999999999</v>
      </c>
      <c r="T213" s="1080">
        <f t="shared" si="86"/>
        <v>516.43669999999997</v>
      </c>
      <c r="U213" s="1080">
        <f t="shared" si="86"/>
        <v>527.02498500000002</v>
      </c>
      <c r="V213" s="1080">
        <f t="shared" si="86"/>
        <v>578.32838726</v>
      </c>
      <c r="W213" s="1080">
        <f t="shared" si="86"/>
        <v>599.57504777279996</v>
      </c>
      <c r="X213" s="1080">
        <f t="shared" si="86"/>
        <v>621.71002047501213</v>
      </c>
      <c r="Y213" s="1080">
        <f t="shared" si="86"/>
        <v>644.29666508591026</v>
      </c>
      <c r="Z213" s="1080">
        <f t="shared" si="86"/>
        <v>672.77468272827161</v>
      </c>
      <c r="AA213" s="1080">
        <f t="shared" si="86"/>
        <v>699.4952635518672</v>
      </c>
      <c r="AB213" s="1080">
        <f t="shared" si="86"/>
        <v>728.55581456210234</v>
      </c>
      <c r="AC213" s="1080">
        <f t="shared" si="86"/>
        <v>760.1924155597145</v>
      </c>
      <c r="AD213" s="1080">
        <f t="shared" si="86"/>
        <v>794.66564893957946</v>
      </c>
      <c r="AE213" s="954"/>
      <c r="AF213" s="890"/>
      <c r="AG213" s="890"/>
      <c r="AH213" s="890"/>
      <c r="AI213" s="890">
        <f t="shared" ref="AI213:BD213" si="87">SUM(AI203:AI212)</f>
        <v>0</v>
      </c>
      <c r="AJ213" s="890">
        <f t="shared" si="87"/>
        <v>0</v>
      </c>
      <c r="AK213" s="890">
        <f t="shared" si="87"/>
        <v>0</v>
      </c>
      <c r="AL213" s="890">
        <f t="shared" si="87"/>
        <v>0</v>
      </c>
      <c r="AM213" s="890">
        <f t="shared" si="87"/>
        <v>0</v>
      </c>
      <c r="AN213" s="890">
        <f t="shared" si="87"/>
        <v>0</v>
      </c>
      <c r="AO213" s="890">
        <f t="shared" si="87"/>
        <v>0</v>
      </c>
      <c r="AP213" s="890">
        <f t="shared" si="87"/>
        <v>0</v>
      </c>
      <c r="AQ213" s="890">
        <f t="shared" si="87"/>
        <v>0</v>
      </c>
      <c r="AR213" s="890">
        <f t="shared" si="87"/>
        <v>0</v>
      </c>
      <c r="AS213" s="890">
        <f t="shared" si="87"/>
        <v>0</v>
      </c>
      <c r="AT213" s="890">
        <f t="shared" si="87"/>
        <v>0</v>
      </c>
      <c r="AU213" s="890">
        <f t="shared" si="87"/>
        <v>0</v>
      </c>
      <c r="AV213" s="890">
        <f t="shared" si="87"/>
        <v>0</v>
      </c>
      <c r="AW213" s="890">
        <f t="shared" si="87"/>
        <v>0</v>
      </c>
      <c r="AX213" s="890">
        <f t="shared" si="87"/>
        <v>0</v>
      </c>
      <c r="AY213" s="890">
        <f t="shared" si="87"/>
        <v>0</v>
      </c>
      <c r="AZ213" s="890">
        <f t="shared" si="87"/>
        <v>0</v>
      </c>
      <c r="BA213" s="890">
        <f t="shared" si="87"/>
        <v>0</v>
      </c>
      <c r="BB213" s="890">
        <f t="shared" si="87"/>
        <v>0</v>
      </c>
      <c r="BC213" s="890">
        <f t="shared" si="87"/>
        <v>0</v>
      </c>
      <c r="BD213" s="890">
        <f t="shared" si="87"/>
        <v>0</v>
      </c>
    </row>
    <row r="214" spans="1:58" s="800" customFormat="1" ht="14.25" customHeight="1" x14ac:dyDescent="0.25">
      <c r="A214" s="799"/>
      <c r="B214" s="851"/>
      <c r="C214" s="851"/>
      <c r="D214" s="851"/>
      <c r="E214" s="852"/>
      <c r="F214" s="851"/>
      <c r="G214" s="851"/>
      <c r="H214" s="851"/>
      <c r="I214" s="851"/>
      <c r="J214" s="851"/>
      <c r="K214" s="900"/>
      <c r="L214" s="900"/>
      <c r="M214" s="900"/>
      <c r="N214" s="900"/>
      <c r="O214" s="900"/>
      <c r="P214" s="900"/>
      <c r="Q214" s="947"/>
      <c r="R214" s="955"/>
      <c r="S214" s="956"/>
      <c r="T214" s="955"/>
      <c r="U214" s="955"/>
      <c r="V214" s="955"/>
      <c r="W214" s="955"/>
      <c r="X214" s="955"/>
      <c r="Y214" s="955"/>
      <c r="Z214" s="955"/>
      <c r="AA214" s="955"/>
      <c r="AB214" s="955"/>
      <c r="AC214" s="955"/>
      <c r="AD214" s="955"/>
      <c r="AE214" s="957"/>
      <c r="AF214" s="950"/>
      <c r="AG214" s="950"/>
      <c r="AH214" s="950"/>
      <c r="AI214" s="950"/>
      <c r="AJ214" s="950"/>
      <c r="AK214" s="950"/>
      <c r="AL214" s="950"/>
      <c r="AM214" s="950"/>
      <c r="AN214" s="950"/>
      <c r="AO214" s="950"/>
      <c r="AP214" s="950"/>
      <c r="AQ214" s="950"/>
      <c r="AR214" s="950"/>
      <c r="AS214" s="950"/>
      <c r="AT214" s="950"/>
      <c r="AU214" s="950"/>
      <c r="AV214" s="950"/>
      <c r="AW214" s="950"/>
      <c r="AX214" s="950"/>
      <c r="AY214" s="950"/>
      <c r="AZ214" s="950"/>
      <c r="BA214" s="950"/>
      <c r="BB214" s="950"/>
      <c r="BC214" s="950"/>
      <c r="BD214" s="950"/>
    </row>
    <row r="215" spans="1:58" s="800" customFormat="1" ht="14.25" customHeight="1" x14ac:dyDescent="0.25">
      <c r="A215" s="799"/>
      <c r="B215" s="851"/>
      <c r="C215" s="851"/>
      <c r="D215" s="851"/>
      <c r="E215" s="852"/>
      <c r="F215" s="851"/>
      <c r="G215" s="851"/>
      <c r="H215" s="851"/>
      <c r="I215" s="851"/>
      <c r="J215" s="851"/>
      <c r="K215" s="900"/>
      <c r="L215" s="900"/>
      <c r="M215" s="900"/>
      <c r="N215" s="900"/>
      <c r="O215" s="900"/>
      <c r="P215" s="900"/>
      <c r="Q215" s="900"/>
      <c r="R215" s="900"/>
      <c r="S215" s="939"/>
      <c r="T215" s="900"/>
      <c r="U215" s="900"/>
      <c r="V215" s="900"/>
      <c r="W215" s="900"/>
      <c r="X215" s="900"/>
      <c r="Y215" s="900"/>
      <c r="Z215" s="900"/>
      <c r="AA215" s="900"/>
      <c r="AB215" s="900"/>
      <c r="AC215" s="900"/>
      <c r="AD215" s="900"/>
      <c r="AE215" s="900"/>
      <c r="AF215" s="900"/>
      <c r="AG215" s="900"/>
      <c r="AH215" s="900"/>
      <c r="AI215" s="900">
        <f t="shared" ref="AI215:BD215" si="88">AI164</f>
        <v>0</v>
      </c>
      <c r="AJ215" s="900">
        <f t="shared" si="88"/>
        <v>0</v>
      </c>
      <c r="AK215" s="900">
        <f t="shared" si="88"/>
        <v>0</v>
      </c>
      <c r="AL215" s="900">
        <f t="shared" si="88"/>
        <v>0</v>
      </c>
      <c r="AM215" s="900">
        <f t="shared" si="88"/>
        <v>0</v>
      </c>
      <c r="AN215" s="900">
        <f t="shared" si="88"/>
        <v>0</v>
      </c>
      <c r="AO215" s="900">
        <f t="shared" si="88"/>
        <v>0</v>
      </c>
      <c r="AP215" s="900">
        <f t="shared" si="88"/>
        <v>0</v>
      </c>
      <c r="AQ215" s="900">
        <f t="shared" si="88"/>
        <v>0</v>
      </c>
      <c r="AR215" s="900">
        <f t="shared" si="88"/>
        <v>0</v>
      </c>
      <c r="AS215" s="900">
        <f t="shared" si="88"/>
        <v>0</v>
      </c>
      <c r="AT215" s="900">
        <f t="shared" si="88"/>
        <v>0</v>
      </c>
      <c r="AU215" s="900">
        <f t="shared" si="88"/>
        <v>0</v>
      </c>
      <c r="AV215" s="900">
        <f t="shared" si="88"/>
        <v>0</v>
      </c>
      <c r="AW215" s="900">
        <f t="shared" si="88"/>
        <v>0</v>
      </c>
      <c r="AX215" s="900">
        <f t="shared" si="88"/>
        <v>0</v>
      </c>
      <c r="AY215" s="900">
        <f t="shared" si="88"/>
        <v>0</v>
      </c>
      <c r="AZ215" s="900">
        <f t="shared" si="88"/>
        <v>0</v>
      </c>
      <c r="BA215" s="900">
        <f t="shared" si="88"/>
        <v>0</v>
      </c>
      <c r="BB215" s="900">
        <f t="shared" si="88"/>
        <v>0</v>
      </c>
      <c r="BC215" s="900">
        <f t="shared" si="88"/>
        <v>0</v>
      </c>
      <c r="BD215" s="900">
        <f t="shared" si="88"/>
        <v>0</v>
      </c>
      <c r="BF215" s="860" t="s">
        <v>1461</v>
      </c>
    </row>
    <row r="216" spans="1:58" s="960" customFormat="1" ht="14.25" customHeight="1" x14ac:dyDescent="0.3">
      <c r="A216" s="958"/>
      <c r="B216" s="959" t="s">
        <v>467</v>
      </c>
      <c r="C216" s="959"/>
      <c r="D216" s="959"/>
      <c r="K216" s="961"/>
      <c r="L216" s="961"/>
      <c r="M216" s="961"/>
      <c r="N216" s="961"/>
      <c r="O216" s="961"/>
      <c r="P216" s="961"/>
      <c r="Q216" s="962"/>
      <c r="R216" s="962"/>
      <c r="S216" s="963"/>
      <c r="T216" s="964">
        <f>T213/S213-1</f>
        <v>0.3780326571598065</v>
      </c>
      <c r="U216" s="964">
        <f t="shared" ref="U216:AD216" si="89">U213/T213-1</f>
        <v>2.0502580471140064E-2</v>
      </c>
      <c r="V216" s="964">
        <f t="shared" si="89"/>
        <v>9.7345294284292727E-2</v>
      </c>
      <c r="W216" s="964">
        <f t="shared" si="89"/>
        <v>3.6738055715131335E-2</v>
      </c>
      <c r="X216" s="964">
        <f t="shared" si="89"/>
        <v>3.6917768316802713E-2</v>
      </c>
      <c r="Y216" s="964">
        <f t="shared" si="89"/>
        <v>3.6329870626246263E-2</v>
      </c>
      <c r="Z216" s="964">
        <f t="shared" si="89"/>
        <v>4.420016303912444E-2</v>
      </c>
      <c r="AA216" s="964">
        <f t="shared" si="89"/>
        <v>3.9716983277725104E-2</v>
      </c>
      <c r="AB216" s="964">
        <f t="shared" si="89"/>
        <v>4.1545029000872313E-2</v>
      </c>
      <c r="AC216" s="964">
        <f t="shared" si="89"/>
        <v>4.3423716296365544E-2</v>
      </c>
      <c r="AD216" s="964">
        <f t="shared" si="89"/>
        <v>4.5348036463219721E-2</v>
      </c>
      <c r="AE216" s="961"/>
      <c r="AF216" s="961"/>
      <c r="AG216" s="961"/>
      <c r="AH216" s="961"/>
      <c r="AI216" s="961"/>
      <c r="AJ216" s="961"/>
      <c r="AK216" s="961"/>
      <c r="AL216" s="961"/>
      <c r="AM216" s="961"/>
      <c r="AN216" s="961"/>
      <c r="AO216" s="961"/>
      <c r="AP216" s="961"/>
      <c r="AQ216" s="961"/>
      <c r="AR216" s="961"/>
      <c r="AS216" s="961"/>
      <c r="AT216" s="961"/>
      <c r="AU216" s="961"/>
      <c r="AV216" s="961"/>
      <c r="AW216" s="961"/>
      <c r="AX216" s="961"/>
      <c r="AY216" s="961"/>
      <c r="AZ216" s="961"/>
      <c r="BA216" s="961"/>
      <c r="BB216" s="961"/>
      <c r="BC216" s="961"/>
      <c r="BD216" s="961"/>
    </row>
    <row r="217" spans="1:58" ht="14.25" customHeight="1" x14ac:dyDescent="0.25">
      <c r="B217" s="965"/>
      <c r="C217" s="965"/>
      <c r="D217" s="965"/>
      <c r="E217" s="965"/>
      <c r="F217" s="965"/>
      <c r="G217" s="965"/>
      <c r="H217" s="965"/>
      <c r="I217" s="965"/>
      <c r="J217" s="965"/>
      <c r="K217" s="966"/>
      <c r="L217" s="966"/>
      <c r="M217" s="966"/>
      <c r="N217" s="966"/>
      <c r="O217" s="966"/>
      <c r="P217" s="966"/>
      <c r="Q217" s="967"/>
      <c r="R217" s="966"/>
      <c r="S217" s="968"/>
      <c r="T217" s="966"/>
      <c r="U217" s="966"/>
      <c r="V217" s="966"/>
      <c r="W217" s="966"/>
      <c r="X217" s="966"/>
      <c r="Y217" s="966"/>
      <c r="Z217" s="966"/>
      <c r="AA217" s="966"/>
      <c r="AB217" s="966"/>
      <c r="AC217" s="966"/>
      <c r="AD217" s="966"/>
      <c r="AE217" s="966"/>
      <c r="AF217" s="966"/>
      <c r="AG217" s="966"/>
      <c r="AH217" s="966"/>
      <c r="AI217" s="966"/>
      <c r="AJ217" s="966"/>
      <c r="AK217" s="966"/>
      <c r="AL217" s="966"/>
      <c r="AM217" s="966"/>
      <c r="AN217" s="966"/>
      <c r="AO217" s="966"/>
      <c r="AP217" s="966"/>
      <c r="AQ217" s="966"/>
      <c r="AR217" s="966"/>
      <c r="AS217" s="966"/>
      <c r="AT217" s="966"/>
      <c r="AU217" s="966"/>
      <c r="AV217" s="966"/>
      <c r="AW217" s="966"/>
      <c r="AX217" s="966"/>
      <c r="AY217" s="966"/>
      <c r="AZ217" s="966"/>
      <c r="BA217" s="966"/>
      <c r="BB217" s="966"/>
      <c r="BC217" s="966"/>
      <c r="BD217" s="966"/>
    </row>
    <row r="218" spans="1:58" s="825" customFormat="1" ht="14.25" customHeight="1" x14ac:dyDescent="0.25">
      <c r="A218" s="823">
        <v>10</v>
      </c>
      <c r="B218" s="824" t="s">
        <v>1462</v>
      </c>
      <c r="C218" s="824"/>
      <c r="D218" s="824"/>
      <c r="E218" s="911"/>
      <c r="F218" s="911"/>
      <c r="G218" s="911"/>
      <c r="H218" s="911"/>
      <c r="I218" s="911"/>
      <c r="J218" s="911"/>
      <c r="K218" s="912"/>
      <c r="L218" s="912"/>
      <c r="M218" s="912"/>
      <c r="N218" s="912"/>
      <c r="O218" s="912"/>
      <c r="P218" s="912"/>
      <c r="Q218" s="912"/>
      <c r="R218" s="912"/>
      <c r="S218" s="913"/>
      <c r="T218" s="912"/>
      <c r="U218" s="912"/>
      <c r="V218" s="912"/>
      <c r="W218" s="912"/>
      <c r="X218" s="912"/>
      <c r="Y218" s="912"/>
      <c r="Z218" s="912"/>
      <c r="AA218" s="912"/>
      <c r="AB218" s="912"/>
      <c r="AC218" s="912"/>
      <c r="AD218" s="912"/>
      <c r="AE218" s="912"/>
      <c r="AF218" s="912"/>
      <c r="AG218" s="912"/>
      <c r="AH218" s="912"/>
      <c r="AI218" s="912"/>
      <c r="AJ218" s="912"/>
      <c r="AK218" s="912"/>
      <c r="AL218" s="912"/>
      <c r="AM218" s="912"/>
      <c r="AN218" s="912"/>
      <c r="AO218" s="912"/>
      <c r="AP218" s="912"/>
      <c r="AQ218" s="912"/>
      <c r="AR218" s="912"/>
      <c r="AS218" s="912"/>
      <c r="AT218" s="912"/>
      <c r="AU218" s="912"/>
      <c r="AV218" s="912"/>
      <c r="AW218" s="912"/>
      <c r="AX218" s="912"/>
      <c r="AY218" s="912"/>
      <c r="AZ218" s="912"/>
      <c r="BA218" s="912"/>
      <c r="BB218" s="912"/>
      <c r="BC218" s="912"/>
      <c r="BD218" s="912"/>
    </row>
    <row r="219" spans="1:58" s="851" customFormat="1" ht="14.25" customHeight="1" x14ac:dyDescent="0.25">
      <c r="A219" s="806"/>
      <c r="B219" s="828" t="s">
        <v>1400</v>
      </c>
      <c r="C219" s="829" t="s">
        <v>714</v>
      </c>
      <c r="D219" s="829" t="s">
        <v>1401</v>
      </c>
      <c r="E219" s="830" t="s">
        <v>1438</v>
      </c>
      <c r="F219" s="833"/>
      <c r="G219" s="833"/>
      <c r="K219" s="900"/>
      <c r="L219" s="900"/>
      <c r="M219" s="900"/>
      <c r="N219" s="900"/>
      <c r="O219" s="900"/>
      <c r="P219" s="900"/>
      <c r="Q219" s="884"/>
      <c r="R219" s="884">
        <f>'Phân loại dược phẩm'!C340</f>
        <v>251813.8</v>
      </c>
      <c r="S219" s="934">
        <f>'Phân loại dược phẩm'!D340</f>
        <v>251813.8</v>
      </c>
      <c r="T219" s="1060">
        <f t="shared" ref="T219:T225" si="90">R219</f>
        <v>251813.8</v>
      </c>
      <c r="U219" s="1060">
        <f t="shared" ref="U219:AD225" si="91">S219</f>
        <v>251813.8</v>
      </c>
      <c r="V219" s="1060">
        <f t="shared" si="91"/>
        <v>251813.8</v>
      </c>
      <c r="W219" s="1060">
        <f t="shared" si="91"/>
        <v>251813.8</v>
      </c>
      <c r="X219" s="1060">
        <f t="shared" si="91"/>
        <v>251813.8</v>
      </c>
      <c r="Y219" s="1060">
        <f t="shared" si="91"/>
        <v>251813.8</v>
      </c>
      <c r="Z219" s="1060">
        <f t="shared" si="91"/>
        <v>251813.8</v>
      </c>
      <c r="AA219" s="1060">
        <f t="shared" si="91"/>
        <v>251813.8</v>
      </c>
      <c r="AB219" s="1060">
        <f t="shared" si="91"/>
        <v>251813.8</v>
      </c>
      <c r="AC219" s="1060">
        <f t="shared" si="91"/>
        <v>251813.8</v>
      </c>
      <c r="AD219" s="1060">
        <f t="shared" si="91"/>
        <v>251813.8</v>
      </c>
      <c r="AE219" s="902"/>
      <c r="AF219" s="902"/>
      <c r="AG219" s="902"/>
      <c r="AH219" s="902"/>
      <c r="AI219" s="902"/>
      <c r="AJ219" s="902"/>
      <c r="AK219" s="902"/>
      <c r="AL219" s="902"/>
      <c r="AM219" s="902"/>
      <c r="AN219" s="902"/>
      <c r="AO219" s="902"/>
      <c r="AP219" s="902"/>
      <c r="AQ219" s="902"/>
      <c r="AR219" s="902"/>
      <c r="AS219" s="902"/>
      <c r="AT219" s="902"/>
      <c r="AU219" s="902"/>
      <c r="AV219" s="902"/>
      <c r="AW219" s="902"/>
      <c r="AX219" s="902"/>
      <c r="AY219" s="902"/>
      <c r="AZ219" s="902"/>
      <c r="BA219" s="902"/>
      <c r="BB219" s="902"/>
      <c r="BC219" s="902"/>
      <c r="BD219" s="902"/>
    </row>
    <row r="220" spans="1:58" s="851" customFormat="1" ht="14.25" customHeight="1" x14ac:dyDescent="0.25">
      <c r="A220" s="806"/>
      <c r="B220" s="828" t="s">
        <v>1402</v>
      </c>
      <c r="C220" s="829" t="s">
        <v>739</v>
      </c>
      <c r="D220" s="829" t="s">
        <v>1401</v>
      </c>
      <c r="E220" s="830" t="s">
        <v>1439</v>
      </c>
      <c r="F220" s="833"/>
      <c r="G220" s="833"/>
      <c r="K220" s="900"/>
      <c r="L220" s="900"/>
      <c r="M220" s="900"/>
      <c r="N220" s="900"/>
      <c r="O220" s="900"/>
      <c r="P220" s="900"/>
      <c r="Q220" s="884"/>
      <c r="R220" s="884">
        <f>'Phân loại dược phẩm'!C341</f>
        <v>889.43661971830988</v>
      </c>
      <c r="S220" s="934">
        <f>'Phân loại dược phẩm'!D341</f>
        <v>889.43661971830988</v>
      </c>
      <c r="T220" s="1060">
        <f t="shared" si="90"/>
        <v>889.43661971830988</v>
      </c>
      <c r="U220" s="1060">
        <f t="shared" si="91"/>
        <v>889.43661971830988</v>
      </c>
      <c r="V220" s="1060">
        <f t="shared" si="91"/>
        <v>889.43661971830988</v>
      </c>
      <c r="W220" s="1060">
        <f t="shared" si="91"/>
        <v>889.43661971830988</v>
      </c>
      <c r="X220" s="1060">
        <f t="shared" si="91"/>
        <v>889.43661971830988</v>
      </c>
      <c r="Y220" s="1060">
        <f t="shared" si="91"/>
        <v>889.43661971830988</v>
      </c>
      <c r="Z220" s="1060">
        <f t="shared" si="91"/>
        <v>889.43661971830988</v>
      </c>
      <c r="AA220" s="1060">
        <f t="shared" si="91"/>
        <v>889.43661971830988</v>
      </c>
      <c r="AB220" s="1060">
        <f t="shared" si="91"/>
        <v>889.43661971830988</v>
      </c>
      <c r="AC220" s="1060">
        <f t="shared" si="91"/>
        <v>889.43661971830988</v>
      </c>
      <c r="AD220" s="1060">
        <f t="shared" si="91"/>
        <v>889.43661971830988</v>
      </c>
      <c r="AE220" s="902"/>
      <c r="AF220" s="902"/>
      <c r="AG220" s="902"/>
      <c r="AH220" s="902"/>
      <c r="AI220" s="902"/>
      <c r="AJ220" s="902"/>
      <c r="AK220" s="902"/>
      <c r="AL220" s="902"/>
      <c r="AM220" s="902"/>
      <c r="AN220" s="902"/>
      <c r="AO220" s="902"/>
      <c r="AP220" s="902"/>
      <c r="AQ220" s="902"/>
      <c r="AR220" s="902"/>
      <c r="AS220" s="902"/>
      <c r="AT220" s="902"/>
      <c r="AU220" s="902"/>
      <c r="AV220" s="902"/>
      <c r="AW220" s="902"/>
      <c r="AX220" s="902"/>
      <c r="AY220" s="902"/>
      <c r="AZ220" s="902"/>
      <c r="BA220" s="902"/>
      <c r="BB220" s="902"/>
      <c r="BC220" s="902"/>
      <c r="BD220" s="902"/>
    </row>
    <row r="221" spans="1:58" s="851" customFormat="1" ht="14.25" customHeight="1" x14ac:dyDescent="0.25">
      <c r="A221" s="806"/>
      <c r="B221" s="828" t="s">
        <v>1403</v>
      </c>
      <c r="C221" s="829" t="s">
        <v>701</v>
      </c>
      <c r="D221" s="829" t="s">
        <v>1401</v>
      </c>
      <c r="E221" s="830" t="s">
        <v>1439</v>
      </c>
      <c r="F221" s="833"/>
      <c r="G221" s="833"/>
      <c r="K221" s="900"/>
      <c r="L221" s="900"/>
      <c r="M221" s="900"/>
      <c r="N221" s="900"/>
      <c r="O221" s="900"/>
      <c r="P221" s="900"/>
      <c r="Q221" s="884"/>
      <c r="R221" s="884">
        <f>'Phân loại dược phẩm'!C342</f>
        <v>2668.375</v>
      </c>
      <c r="S221" s="934">
        <f>'Phân loại dược phẩm'!D342</f>
        <v>2668.375</v>
      </c>
      <c r="T221" s="1060">
        <f t="shared" si="90"/>
        <v>2668.375</v>
      </c>
      <c r="U221" s="1060">
        <f t="shared" si="91"/>
        <v>2668.375</v>
      </c>
      <c r="V221" s="1060">
        <f t="shared" si="91"/>
        <v>2668.375</v>
      </c>
      <c r="W221" s="1060">
        <f t="shared" si="91"/>
        <v>2668.375</v>
      </c>
      <c r="X221" s="1060">
        <f t="shared" si="91"/>
        <v>2668.375</v>
      </c>
      <c r="Y221" s="1060">
        <f t="shared" si="91"/>
        <v>2668.375</v>
      </c>
      <c r="Z221" s="1060">
        <f t="shared" si="91"/>
        <v>2668.375</v>
      </c>
      <c r="AA221" s="1060">
        <f t="shared" si="91"/>
        <v>2668.375</v>
      </c>
      <c r="AB221" s="1060">
        <f t="shared" si="91"/>
        <v>2668.375</v>
      </c>
      <c r="AC221" s="1060">
        <f t="shared" si="91"/>
        <v>2668.375</v>
      </c>
      <c r="AD221" s="1060">
        <f t="shared" si="91"/>
        <v>2668.375</v>
      </c>
      <c r="AE221" s="902"/>
      <c r="AF221" s="902"/>
      <c r="AG221" s="902"/>
      <c r="AH221" s="902"/>
      <c r="AI221" s="902"/>
      <c r="AJ221" s="902"/>
      <c r="AK221" s="902"/>
      <c r="AL221" s="902"/>
      <c r="AM221" s="902"/>
      <c r="AN221" s="902"/>
      <c r="AO221" s="902"/>
      <c r="AP221" s="902"/>
      <c r="AQ221" s="902"/>
      <c r="AR221" s="902"/>
      <c r="AS221" s="902"/>
      <c r="AT221" s="902"/>
      <c r="AU221" s="902"/>
      <c r="AV221" s="902"/>
      <c r="AW221" s="902"/>
      <c r="AX221" s="902"/>
      <c r="AY221" s="902"/>
      <c r="AZ221" s="902"/>
      <c r="BA221" s="902"/>
      <c r="BB221" s="902"/>
      <c r="BC221" s="902"/>
      <c r="BD221" s="902"/>
    </row>
    <row r="222" spans="1:58" s="851" customFormat="1" ht="14.25" customHeight="1" x14ac:dyDescent="0.25">
      <c r="A222" s="806"/>
      <c r="B222" s="828" t="s">
        <v>1404</v>
      </c>
      <c r="C222" s="829" t="s">
        <v>839</v>
      </c>
      <c r="D222" s="829" t="s">
        <v>1401</v>
      </c>
      <c r="E222" s="830" t="s">
        <v>1439</v>
      </c>
      <c r="F222" s="833"/>
      <c r="G222" s="833"/>
      <c r="K222" s="900"/>
      <c r="L222" s="900"/>
      <c r="M222" s="900"/>
      <c r="N222" s="900"/>
      <c r="O222" s="900"/>
      <c r="P222" s="900"/>
      <c r="Q222" s="884"/>
      <c r="R222" s="884">
        <f>'Phân loại dược phẩm'!C343</f>
        <v>2168.5555555555557</v>
      </c>
      <c r="S222" s="934">
        <f>'Phân loại dược phẩm'!D343</f>
        <v>2168.5555555555557</v>
      </c>
      <c r="T222" s="1060">
        <f t="shared" si="90"/>
        <v>2168.5555555555557</v>
      </c>
      <c r="U222" s="1060">
        <f t="shared" si="91"/>
        <v>2168.5555555555557</v>
      </c>
      <c r="V222" s="1060">
        <f t="shared" si="91"/>
        <v>2168.5555555555557</v>
      </c>
      <c r="W222" s="1060">
        <f t="shared" si="91"/>
        <v>2168.5555555555557</v>
      </c>
      <c r="X222" s="1060">
        <f t="shared" si="91"/>
        <v>2168.5555555555557</v>
      </c>
      <c r="Y222" s="1060">
        <f t="shared" si="91"/>
        <v>2168.5555555555557</v>
      </c>
      <c r="Z222" s="1060">
        <f t="shared" si="91"/>
        <v>2168.5555555555557</v>
      </c>
      <c r="AA222" s="1060">
        <f t="shared" si="91"/>
        <v>2168.5555555555557</v>
      </c>
      <c r="AB222" s="1060">
        <f t="shared" si="91"/>
        <v>2168.5555555555557</v>
      </c>
      <c r="AC222" s="1060">
        <f t="shared" si="91"/>
        <v>2168.5555555555557</v>
      </c>
      <c r="AD222" s="1060">
        <f t="shared" si="91"/>
        <v>2168.5555555555557</v>
      </c>
      <c r="AE222" s="902"/>
      <c r="AF222" s="902"/>
      <c r="AG222" s="902"/>
      <c r="AH222" s="902"/>
      <c r="AI222" s="902"/>
      <c r="AJ222" s="902"/>
      <c r="AK222" s="902"/>
      <c r="AL222" s="902"/>
      <c r="AM222" s="902"/>
      <c r="AN222" s="902"/>
      <c r="AO222" s="902"/>
      <c r="AP222" s="902"/>
      <c r="AQ222" s="902"/>
      <c r="AR222" s="902"/>
      <c r="AS222" s="902"/>
      <c r="AT222" s="902"/>
      <c r="AU222" s="902"/>
      <c r="AV222" s="902"/>
      <c r="AW222" s="902"/>
      <c r="AX222" s="902"/>
      <c r="AY222" s="902"/>
      <c r="AZ222" s="902"/>
      <c r="BA222" s="902"/>
      <c r="BB222" s="902"/>
      <c r="BC222" s="902"/>
      <c r="BD222" s="902"/>
    </row>
    <row r="223" spans="1:58" s="851" customFormat="1" ht="14.25" customHeight="1" x14ac:dyDescent="0.25">
      <c r="A223" s="806"/>
      <c r="B223" s="828" t="s">
        <v>1405</v>
      </c>
      <c r="C223" s="829" t="s">
        <v>928</v>
      </c>
      <c r="D223" s="829" t="s">
        <v>1401</v>
      </c>
      <c r="E223" s="830" t="s">
        <v>1438</v>
      </c>
      <c r="F223" s="833"/>
      <c r="G223" s="833"/>
      <c r="K223" s="900"/>
      <c r="L223" s="900"/>
      <c r="M223" s="900"/>
      <c r="N223" s="900"/>
      <c r="O223" s="900"/>
      <c r="P223" s="900"/>
      <c r="Q223" s="884"/>
      <c r="R223" s="884">
        <f>'Phân loại dược phẩm'!C344</f>
        <v>54412.57894736842</v>
      </c>
      <c r="S223" s="934">
        <f>'Phân loại dược phẩm'!D344</f>
        <v>54412.57894736842</v>
      </c>
      <c r="T223" s="1060">
        <f t="shared" si="90"/>
        <v>54412.57894736842</v>
      </c>
      <c r="U223" s="1060">
        <f t="shared" si="91"/>
        <v>54412.57894736842</v>
      </c>
      <c r="V223" s="1060">
        <f t="shared" si="91"/>
        <v>54412.57894736842</v>
      </c>
      <c r="W223" s="1060">
        <f t="shared" si="91"/>
        <v>54412.57894736842</v>
      </c>
      <c r="X223" s="1060">
        <f t="shared" si="91"/>
        <v>54412.57894736842</v>
      </c>
      <c r="Y223" s="1060">
        <f t="shared" si="91"/>
        <v>54412.57894736842</v>
      </c>
      <c r="Z223" s="1060">
        <f t="shared" si="91"/>
        <v>54412.57894736842</v>
      </c>
      <c r="AA223" s="1060">
        <f t="shared" si="91"/>
        <v>54412.57894736842</v>
      </c>
      <c r="AB223" s="1060">
        <f t="shared" si="91"/>
        <v>54412.57894736842</v>
      </c>
      <c r="AC223" s="1060">
        <f t="shared" si="91"/>
        <v>54412.57894736842</v>
      </c>
      <c r="AD223" s="1060">
        <f t="shared" si="91"/>
        <v>54412.57894736842</v>
      </c>
      <c r="AE223" s="902"/>
      <c r="AF223" s="902"/>
      <c r="AG223" s="902"/>
      <c r="AH223" s="902"/>
      <c r="AI223" s="902"/>
      <c r="AJ223" s="902"/>
      <c r="AK223" s="902"/>
      <c r="AL223" s="902"/>
      <c r="AM223" s="902"/>
      <c r="AN223" s="902"/>
      <c r="AO223" s="902"/>
      <c r="AP223" s="902"/>
      <c r="AQ223" s="902"/>
      <c r="AR223" s="902"/>
      <c r="AS223" s="902"/>
      <c r="AT223" s="902"/>
      <c r="AU223" s="902"/>
      <c r="AV223" s="902"/>
      <c r="AW223" s="902"/>
      <c r="AX223" s="902"/>
      <c r="AY223" s="902"/>
      <c r="AZ223" s="902"/>
      <c r="BA223" s="902"/>
      <c r="BB223" s="902"/>
      <c r="BC223" s="902"/>
      <c r="BD223" s="902"/>
    </row>
    <row r="224" spans="1:58" s="851" customFormat="1" ht="14.25" customHeight="1" x14ac:dyDescent="0.25">
      <c r="A224" s="806"/>
      <c r="B224" s="828" t="s">
        <v>1406</v>
      </c>
      <c r="C224" s="829" t="s">
        <v>723</v>
      </c>
      <c r="D224" s="829" t="s">
        <v>1401</v>
      </c>
      <c r="E224" s="830" t="s">
        <v>1440</v>
      </c>
      <c r="F224" s="833"/>
      <c r="G224" s="833"/>
      <c r="K224" s="900"/>
      <c r="L224" s="900"/>
      <c r="M224" s="900"/>
      <c r="N224" s="900"/>
      <c r="O224" s="900"/>
      <c r="P224" s="900"/>
      <c r="Q224" s="884"/>
      <c r="R224" s="884">
        <f>'Phân loại dược phẩm'!C345</f>
        <v>1422.5263157894738</v>
      </c>
      <c r="S224" s="934">
        <f>'Phân loại dược phẩm'!D345</f>
        <v>1422.5263157894738</v>
      </c>
      <c r="T224" s="1060">
        <f t="shared" si="90"/>
        <v>1422.5263157894738</v>
      </c>
      <c r="U224" s="1060">
        <f t="shared" si="91"/>
        <v>1422.5263157894738</v>
      </c>
      <c r="V224" s="1060">
        <f t="shared" si="91"/>
        <v>1422.5263157894738</v>
      </c>
      <c r="W224" s="1060">
        <f t="shared" si="91"/>
        <v>1422.5263157894738</v>
      </c>
      <c r="X224" s="1060">
        <f t="shared" si="91"/>
        <v>1422.5263157894738</v>
      </c>
      <c r="Y224" s="1060">
        <f t="shared" si="91"/>
        <v>1422.5263157894738</v>
      </c>
      <c r="Z224" s="1060">
        <f t="shared" si="91"/>
        <v>1422.5263157894738</v>
      </c>
      <c r="AA224" s="1060">
        <f t="shared" si="91"/>
        <v>1422.5263157894738</v>
      </c>
      <c r="AB224" s="1060">
        <f t="shared" si="91"/>
        <v>1422.5263157894738</v>
      </c>
      <c r="AC224" s="1060">
        <f t="shared" si="91"/>
        <v>1422.5263157894738</v>
      </c>
      <c r="AD224" s="1060">
        <f t="shared" si="91"/>
        <v>1422.5263157894738</v>
      </c>
      <c r="AE224" s="902"/>
      <c r="AF224" s="902"/>
      <c r="AG224" s="902"/>
      <c r="AH224" s="902"/>
      <c r="AI224" s="902"/>
      <c r="AJ224" s="902"/>
      <c r="AK224" s="902"/>
      <c r="AL224" s="902"/>
      <c r="AM224" s="902"/>
      <c r="AN224" s="902"/>
      <c r="AO224" s="902"/>
      <c r="AP224" s="902"/>
      <c r="AQ224" s="902"/>
      <c r="AR224" s="902"/>
      <c r="AS224" s="902"/>
      <c r="AT224" s="902"/>
      <c r="AU224" s="902"/>
      <c r="AV224" s="902"/>
      <c r="AW224" s="902"/>
      <c r="AX224" s="902"/>
      <c r="AY224" s="902"/>
      <c r="AZ224" s="902"/>
      <c r="BA224" s="902"/>
      <c r="BB224" s="902"/>
      <c r="BC224" s="902"/>
      <c r="BD224" s="902"/>
    </row>
    <row r="225" spans="1:56" s="851" customFormat="1" ht="14.25" customHeight="1" x14ac:dyDescent="0.25">
      <c r="A225" s="806"/>
      <c r="B225" s="828" t="s">
        <v>1407</v>
      </c>
      <c r="C225" s="829" t="s">
        <v>695</v>
      </c>
      <c r="D225" s="829" t="s">
        <v>1401</v>
      </c>
      <c r="E225" s="830" t="s">
        <v>1438</v>
      </c>
      <c r="F225" s="833"/>
      <c r="G225" s="833"/>
      <c r="K225" s="900"/>
      <c r="L225" s="900"/>
      <c r="M225" s="900"/>
      <c r="N225" s="900"/>
      <c r="O225" s="900"/>
      <c r="P225" s="900"/>
      <c r="Q225" s="884"/>
      <c r="R225" s="884">
        <f>'Phân loại dược phẩm'!C346</f>
        <v>204522.81818181818</v>
      </c>
      <c r="S225" s="934">
        <f>'Phân loại dược phẩm'!D346</f>
        <v>204522.81818181818</v>
      </c>
      <c r="T225" s="1060">
        <f t="shared" si="90"/>
        <v>204522.81818181818</v>
      </c>
      <c r="U225" s="1060">
        <f t="shared" si="91"/>
        <v>204522.81818181818</v>
      </c>
      <c r="V225" s="1060">
        <f t="shared" si="91"/>
        <v>204522.81818181818</v>
      </c>
      <c r="W225" s="1060">
        <f t="shared" si="91"/>
        <v>204522.81818181818</v>
      </c>
      <c r="X225" s="1060">
        <f t="shared" si="91"/>
        <v>204522.81818181818</v>
      </c>
      <c r="Y225" s="1060">
        <f t="shared" si="91"/>
        <v>204522.81818181818</v>
      </c>
      <c r="Z225" s="1060">
        <f t="shared" si="91"/>
        <v>204522.81818181818</v>
      </c>
      <c r="AA225" s="1060">
        <f t="shared" si="91"/>
        <v>204522.81818181818</v>
      </c>
      <c r="AB225" s="1060">
        <f t="shared" si="91"/>
        <v>204522.81818181818</v>
      </c>
      <c r="AC225" s="1060">
        <f t="shared" si="91"/>
        <v>204522.81818181818</v>
      </c>
      <c r="AD225" s="1060">
        <f t="shared" si="91"/>
        <v>204522.81818181818</v>
      </c>
      <c r="AE225" s="902"/>
      <c r="AF225" s="902"/>
      <c r="AG225" s="902"/>
      <c r="AH225" s="902"/>
      <c r="AI225" s="902"/>
      <c r="AJ225" s="902"/>
      <c r="AK225" s="902"/>
      <c r="AL225" s="902"/>
      <c r="AM225" s="902"/>
      <c r="AN225" s="902"/>
      <c r="AO225" s="902"/>
      <c r="AP225" s="902"/>
      <c r="AQ225" s="902"/>
      <c r="AR225" s="902"/>
      <c r="AS225" s="902"/>
      <c r="AT225" s="902"/>
      <c r="AU225" s="902"/>
      <c r="AV225" s="902"/>
      <c r="AW225" s="902"/>
      <c r="AX225" s="902"/>
      <c r="AY225" s="902"/>
      <c r="AZ225" s="902"/>
      <c r="BA225" s="902"/>
      <c r="BB225" s="902"/>
      <c r="BC225" s="902"/>
      <c r="BD225" s="902"/>
    </row>
    <row r="226" spans="1:56" s="851" customFormat="1" ht="14.25" customHeight="1" x14ac:dyDescent="0.25">
      <c r="A226" s="806"/>
      <c r="B226" s="828" t="s">
        <v>1408</v>
      </c>
      <c r="C226" s="828"/>
      <c r="D226" s="828"/>
      <c r="E226" s="830"/>
      <c r="F226" s="833"/>
      <c r="G226" s="833"/>
      <c r="K226" s="900"/>
      <c r="L226" s="900"/>
      <c r="M226" s="900"/>
      <c r="N226" s="900"/>
      <c r="O226" s="900"/>
      <c r="P226" s="900"/>
      <c r="Q226" s="884"/>
      <c r="R226" s="901"/>
      <c r="S226" s="934"/>
      <c r="T226" s="1061"/>
      <c r="U226" s="1060"/>
      <c r="V226" s="1060"/>
      <c r="W226" s="1060"/>
      <c r="X226" s="1060"/>
      <c r="Y226" s="1060"/>
      <c r="Z226" s="1060"/>
      <c r="AA226" s="1060"/>
      <c r="AB226" s="1060"/>
      <c r="AC226" s="1060"/>
      <c r="AD226" s="1060"/>
      <c r="AE226" s="902"/>
      <c r="AF226" s="902"/>
      <c r="AG226" s="902"/>
      <c r="AH226" s="902"/>
      <c r="AI226" s="902"/>
      <c r="AJ226" s="902"/>
      <c r="AK226" s="902"/>
      <c r="AL226" s="902"/>
      <c r="AM226" s="902"/>
      <c r="AN226" s="902"/>
      <c r="AO226" s="902"/>
      <c r="AP226" s="902"/>
      <c r="AQ226" s="902"/>
      <c r="AR226" s="902"/>
      <c r="AS226" s="902"/>
      <c r="AT226" s="902"/>
      <c r="AU226" s="902"/>
      <c r="AV226" s="902"/>
      <c r="AW226" s="902"/>
      <c r="AX226" s="902"/>
      <c r="AY226" s="902"/>
      <c r="AZ226" s="902"/>
      <c r="BA226" s="902"/>
      <c r="BB226" s="902"/>
      <c r="BC226" s="902"/>
      <c r="BD226" s="902"/>
    </row>
    <row r="227" spans="1:56" s="851" customFormat="1" ht="14.25" customHeight="1" x14ac:dyDescent="0.25">
      <c r="A227" s="806"/>
      <c r="B227" s="840" t="s">
        <v>1409</v>
      </c>
      <c r="C227" s="840"/>
      <c r="D227" s="840"/>
      <c r="E227" s="830"/>
      <c r="F227" s="833"/>
      <c r="G227" s="833"/>
      <c r="K227" s="900"/>
      <c r="L227" s="900"/>
      <c r="M227" s="900"/>
      <c r="N227" s="900"/>
      <c r="O227" s="900"/>
      <c r="P227" s="900"/>
      <c r="Q227" s="884"/>
      <c r="R227" s="901"/>
      <c r="S227" s="934"/>
      <c r="T227" s="1061"/>
      <c r="U227" s="1060"/>
      <c r="V227" s="1060"/>
      <c r="W227" s="1060"/>
      <c r="X227" s="1060"/>
      <c r="Y227" s="1060"/>
      <c r="Z227" s="1060"/>
      <c r="AA227" s="1060"/>
      <c r="AB227" s="1060"/>
      <c r="AC227" s="1060"/>
      <c r="AD227" s="1060"/>
      <c r="AE227" s="902"/>
      <c r="AF227" s="902"/>
      <c r="AG227" s="902"/>
      <c r="AH227" s="902"/>
      <c r="AI227" s="902"/>
      <c r="AJ227" s="902"/>
      <c r="AK227" s="902"/>
      <c r="AL227" s="902"/>
      <c r="AM227" s="902"/>
      <c r="AN227" s="902"/>
      <c r="AO227" s="902"/>
      <c r="AP227" s="902"/>
      <c r="AQ227" s="902"/>
      <c r="AR227" s="902"/>
      <c r="AS227" s="902"/>
      <c r="AT227" s="902"/>
      <c r="AU227" s="902"/>
      <c r="AV227" s="902"/>
      <c r="AW227" s="902"/>
      <c r="AX227" s="902"/>
      <c r="AY227" s="902"/>
      <c r="AZ227" s="902"/>
      <c r="BA227" s="902"/>
      <c r="BB227" s="902"/>
      <c r="BC227" s="902"/>
      <c r="BD227" s="902"/>
    </row>
    <row r="228" spans="1:56" s="851" customFormat="1" ht="14.25" customHeight="1" x14ac:dyDescent="0.25">
      <c r="A228" s="806"/>
      <c r="B228" s="840" t="s">
        <v>1441</v>
      </c>
      <c r="C228" s="841" t="s">
        <v>1411</v>
      </c>
      <c r="D228" s="841" t="s">
        <v>1412</v>
      </c>
      <c r="E228" s="830" t="s">
        <v>1439</v>
      </c>
      <c r="F228" s="833"/>
      <c r="G228" s="833"/>
      <c r="K228" s="900"/>
      <c r="L228" s="900"/>
      <c r="M228" s="900"/>
      <c r="N228" s="900"/>
      <c r="O228" s="900"/>
      <c r="P228" s="900"/>
      <c r="Q228" s="884"/>
      <c r="R228" s="901"/>
      <c r="S228" s="934">
        <f>'Phân loại dược phẩm'!C354</f>
        <v>29981.064152264717</v>
      </c>
      <c r="T228" s="1060">
        <f>S228</f>
        <v>29981.064152264717</v>
      </c>
      <c r="U228" s="1060">
        <f t="shared" ref="U228:AD228" si="92">T228</f>
        <v>29981.064152264717</v>
      </c>
      <c r="V228" s="1060">
        <f>'Phân loại dược phẩm'!C356</f>
        <v>89955.578345449976</v>
      </c>
      <c r="W228" s="1060">
        <f t="shared" si="92"/>
        <v>89955.578345449976</v>
      </c>
      <c r="X228" s="1060">
        <f t="shared" si="92"/>
        <v>89955.578345449976</v>
      </c>
      <c r="Y228" s="1060">
        <f t="shared" si="92"/>
        <v>89955.578345449976</v>
      </c>
      <c r="Z228" s="1060">
        <f t="shared" si="92"/>
        <v>89955.578345449976</v>
      </c>
      <c r="AA228" s="1060">
        <f t="shared" si="92"/>
        <v>89955.578345449976</v>
      </c>
      <c r="AB228" s="1060">
        <f t="shared" si="92"/>
        <v>89955.578345449976</v>
      </c>
      <c r="AC228" s="1060">
        <f t="shared" si="92"/>
        <v>89955.578345449976</v>
      </c>
      <c r="AD228" s="1060">
        <f t="shared" si="92"/>
        <v>89955.578345449976</v>
      </c>
      <c r="AE228" s="902"/>
      <c r="AF228" s="902"/>
      <c r="AG228" s="902"/>
      <c r="AH228" s="902"/>
      <c r="AI228" s="902"/>
      <c r="AJ228" s="902"/>
      <c r="AK228" s="902"/>
      <c r="AL228" s="902"/>
      <c r="AM228" s="902"/>
      <c r="AN228" s="902"/>
      <c r="AO228" s="902"/>
      <c r="AP228" s="902"/>
      <c r="AQ228" s="902"/>
      <c r="AR228" s="902"/>
      <c r="AS228" s="902"/>
      <c r="AT228" s="902"/>
      <c r="AU228" s="902"/>
      <c r="AV228" s="902"/>
      <c r="AW228" s="902"/>
      <c r="AX228" s="902"/>
      <c r="AY228" s="902"/>
      <c r="AZ228" s="902"/>
      <c r="BA228" s="902"/>
      <c r="BB228" s="902"/>
      <c r="BC228" s="902"/>
      <c r="BD228" s="902"/>
    </row>
    <row r="229" spans="1:56" s="851" customFormat="1" ht="14.25" customHeight="1" x14ac:dyDescent="0.25">
      <c r="A229" s="806"/>
      <c r="B229" s="840" t="s">
        <v>1442</v>
      </c>
      <c r="C229" s="841" t="s">
        <v>1414</v>
      </c>
      <c r="D229" s="841" t="s">
        <v>1412</v>
      </c>
      <c r="E229" s="830" t="s">
        <v>1438</v>
      </c>
      <c r="F229" s="833"/>
      <c r="G229" s="833"/>
      <c r="K229" s="900"/>
      <c r="L229" s="900"/>
      <c r="M229" s="900"/>
      <c r="N229" s="900"/>
      <c r="O229" s="900"/>
      <c r="P229" s="900"/>
      <c r="Q229" s="884"/>
      <c r="R229" s="910"/>
      <c r="S229" s="934">
        <f>'Phân loại dược phẩm'!C353</f>
        <v>448052.52500000002</v>
      </c>
      <c r="T229" s="1060">
        <f>S229</f>
        <v>448052.52500000002</v>
      </c>
      <c r="U229" s="1060">
        <f>T229</f>
        <v>448052.52500000002</v>
      </c>
      <c r="V229" s="1060">
        <f>'Phân loại dược phẩm'!C355</f>
        <v>1344342.676124444</v>
      </c>
      <c r="W229" s="1060">
        <f>V229</f>
        <v>1344342.676124444</v>
      </c>
      <c r="X229" s="1060">
        <f t="shared" ref="X229:AD229" si="93">W229</f>
        <v>1344342.676124444</v>
      </c>
      <c r="Y229" s="1060">
        <f t="shared" si="93"/>
        <v>1344342.676124444</v>
      </c>
      <c r="Z229" s="1060">
        <f t="shared" si="93"/>
        <v>1344342.676124444</v>
      </c>
      <c r="AA229" s="1060">
        <f t="shared" si="93"/>
        <v>1344342.676124444</v>
      </c>
      <c r="AB229" s="1060">
        <f t="shared" si="93"/>
        <v>1344342.676124444</v>
      </c>
      <c r="AC229" s="1060">
        <f t="shared" si="93"/>
        <v>1344342.676124444</v>
      </c>
      <c r="AD229" s="1060">
        <f t="shared" si="93"/>
        <v>1344342.676124444</v>
      </c>
      <c r="AE229" s="902"/>
      <c r="AF229" s="902"/>
      <c r="AG229" s="902"/>
      <c r="AH229" s="902"/>
      <c r="AI229" s="902"/>
      <c r="AJ229" s="902"/>
      <c r="AK229" s="902"/>
      <c r="AL229" s="902"/>
      <c r="AM229" s="902"/>
      <c r="AN229" s="902"/>
      <c r="AO229" s="902"/>
      <c r="AP229" s="902"/>
      <c r="AQ229" s="902"/>
      <c r="AR229" s="902"/>
      <c r="AS229" s="902"/>
      <c r="AT229" s="902"/>
      <c r="AU229" s="902"/>
      <c r="AV229" s="902"/>
      <c r="AW229" s="902"/>
      <c r="AX229" s="902"/>
      <c r="AY229" s="902"/>
      <c r="AZ229" s="902"/>
      <c r="BA229" s="902"/>
      <c r="BB229" s="902"/>
      <c r="BC229" s="902"/>
      <c r="BD229" s="902"/>
    </row>
    <row r="230" spans="1:56" s="800" customFormat="1" ht="14.25" customHeight="1" x14ac:dyDescent="0.25">
      <c r="A230" s="799"/>
      <c r="B230" s="840" t="s">
        <v>1415</v>
      </c>
      <c r="C230" s="841" t="s">
        <v>1416</v>
      </c>
      <c r="D230" s="841" t="s">
        <v>1412</v>
      </c>
      <c r="E230" s="830" t="s">
        <v>1439</v>
      </c>
      <c r="F230" s="833"/>
      <c r="G230" s="833"/>
      <c r="K230" s="839"/>
      <c r="L230" s="839"/>
      <c r="M230" s="839"/>
      <c r="N230" s="839"/>
      <c r="O230" s="839"/>
      <c r="P230" s="900"/>
      <c r="Q230" s="884"/>
      <c r="R230" s="922"/>
      <c r="S230" s="941"/>
      <c r="T230" s="1060">
        <f>'Phân loại dược phẩm'!C341</f>
        <v>889.43661971830988</v>
      </c>
      <c r="U230" s="1060">
        <f>T230</f>
        <v>889.43661971830988</v>
      </c>
      <c r="V230" s="1060">
        <f>U230</f>
        <v>889.43661971830988</v>
      </c>
      <c r="W230" s="1060">
        <f>'Phân loại dược phẩm'!C341 * 'Phân loại dược phẩm'!C363</f>
        <v>2668.6773065171146</v>
      </c>
      <c r="X230" s="1060">
        <f>W230</f>
        <v>2668.6773065171146</v>
      </c>
      <c r="Y230" s="1060">
        <f t="shared" ref="Y230:AD230" si="94">X230</f>
        <v>2668.6773065171146</v>
      </c>
      <c r="Z230" s="1060">
        <f t="shared" si="94"/>
        <v>2668.6773065171146</v>
      </c>
      <c r="AA230" s="1060">
        <f t="shared" si="94"/>
        <v>2668.6773065171146</v>
      </c>
      <c r="AB230" s="1060">
        <f t="shared" si="94"/>
        <v>2668.6773065171146</v>
      </c>
      <c r="AC230" s="1060">
        <f t="shared" si="94"/>
        <v>2668.6773065171146</v>
      </c>
      <c r="AD230" s="1060">
        <f t="shared" si="94"/>
        <v>2668.6773065171146</v>
      </c>
      <c r="AE230" s="925"/>
      <c r="AF230" s="925"/>
      <c r="AG230" s="925"/>
      <c r="AH230" s="925"/>
      <c r="AI230" s="925"/>
      <c r="AJ230" s="925"/>
      <c r="AK230" s="925"/>
      <c r="AL230" s="925"/>
      <c r="AM230" s="925"/>
      <c r="AN230" s="925"/>
      <c r="AO230" s="925"/>
      <c r="AP230" s="925"/>
      <c r="AQ230" s="925"/>
      <c r="AR230" s="925"/>
      <c r="AS230" s="925"/>
      <c r="AT230" s="925"/>
      <c r="AU230" s="925"/>
      <c r="AV230" s="925"/>
      <c r="AW230" s="925"/>
      <c r="AX230" s="925"/>
      <c r="AY230" s="925"/>
      <c r="AZ230" s="925"/>
      <c r="BA230" s="925"/>
      <c r="BB230" s="925"/>
      <c r="BC230" s="925"/>
      <c r="BD230" s="925"/>
    </row>
    <row r="231" spans="1:56" s="800" customFormat="1" ht="14.25" customHeight="1" x14ac:dyDescent="0.25">
      <c r="A231" s="799"/>
      <c r="B231" s="828" t="s">
        <v>1417</v>
      </c>
      <c r="C231" s="828"/>
      <c r="D231" s="828"/>
      <c r="E231" s="830" t="s">
        <v>1440</v>
      </c>
      <c r="F231" s="833"/>
      <c r="G231" s="833"/>
      <c r="K231" s="839"/>
      <c r="L231" s="839"/>
      <c r="M231" s="839"/>
      <c r="N231" s="839"/>
      <c r="O231" s="839"/>
      <c r="P231" s="900"/>
      <c r="Q231" s="884"/>
      <c r="R231" s="922"/>
      <c r="S231" s="941"/>
      <c r="T231" s="1083"/>
      <c r="U231" s="1060"/>
      <c r="V231" s="1060"/>
      <c r="W231" s="1060"/>
      <c r="X231" s="1060"/>
      <c r="Y231" s="1060"/>
      <c r="Z231" s="1060"/>
      <c r="AA231" s="1060"/>
      <c r="AB231" s="1060"/>
      <c r="AC231" s="1060"/>
      <c r="AD231" s="1060"/>
      <c r="AE231" s="925"/>
      <c r="AF231" s="925"/>
      <c r="AG231" s="925"/>
      <c r="AH231" s="925"/>
      <c r="AI231" s="925"/>
      <c r="AJ231" s="925"/>
      <c r="AK231" s="925"/>
      <c r="AL231" s="925"/>
      <c r="AM231" s="925"/>
      <c r="AN231" s="925"/>
      <c r="AO231" s="925"/>
      <c r="AP231" s="925"/>
      <c r="AQ231" s="925"/>
      <c r="AR231" s="925"/>
      <c r="AS231" s="925"/>
      <c r="AT231" s="925"/>
      <c r="AU231" s="925"/>
      <c r="AV231" s="925"/>
      <c r="AW231" s="925"/>
      <c r="AX231" s="925"/>
      <c r="AY231" s="925"/>
      <c r="AZ231" s="925"/>
      <c r="BA231" s="925"/>
      <c r="BB231" s="925"/>
      <c r="BC231" s="925"/>
      <c r="BD231" s="925"/>
    </row>
    <row r="232" spans="1:56" s="800" customFormat="1" ht="14.25" customHeight="1" x14ac:dyDescent="0.25">
      <c r="A232" s="799"/>
      <c r="B232" s="840" t="s">
        <v>1418</v>
      </c>
      <c r="C232" s="841" t="s">
        <v>1419</v>
      </c>
      <c r="D232" s="829" t="s">
        <v>1401</v>
      </c>
      <c r="E232" s="830" t="s">
        <v>1438</v>
      </c>
      <c r="F232" s="833"/>
      <c r="G232" s="833"/>
      <c r="K232" s="839"/>
      <c r="L232" s="839"/>
      <c r="M232" s="839"/>
      <c r="N232" s="839"/>
      <c r="O232" s="839"/>
      <c r="P232" s="900"/>
      <c r="Q232" s="884"/>
      <c r="R232" s="922"/>
      <c r="S232" s="941"/>
      <c r="T232" s="1060"/>
      <c r="U232" s="1060"/>
      <c r="V232" s="1060">
        <f>'Phân loại dược phẩm'!C359</f>
        <v>104417.25</v>
      </c>
      <c r="W232" s="1060">
        <f>V232</f>
        <v>104417.25</v>
      </c>
      <c r="X232" s="1060">
        <f t="shared" ref="X232:AD232" si="95">W232</f>
        <v>104417.25</v>
      </c>
      <c r="Y232" s="1060">
        <f t="shared" si="95"/>
        <v>104417.25</v>
      </c>
      <c r="Z232" s="1060">
        <f t="shared" si="95"/>
        <v>104417.25</v>
      </c>
      <c r="AA232" s="1060">
        <f t="shared" si="95"/>
        <v>104417.25</v>
      </c>
      <c r="AB232" s="1060">
        <f t="shared" si="95"/>
        <v>104417.25</v>
      </c>
      <c r="AC232" s="1060">
        <f t="shared" si="95"/>
        <v>104417.25</v>
      </c>
      <c r="AD232" s="1060">
        <f t="shared" si="95"/>
        <v>104417.25</v>
      </c>
      <c r="AE232" s="925"/>
      <c r="AF232" s="925"/>
      <c r="AG232" s="925"/>
      <c r="AH232" s="925"/>
      <c r="AI232" s="925"/>
      <c r="AJ232" s="925"/>
      <c r="AK232" s="925"/>
      <c r="AL232" s="925"/>
      <c r="AM232" s="925"/>
      <c r="AN232" s="925"/>
      <c r="AO232" s="925"/>
      <c r="AP232" s="925"/>
      <c r="AQ232" s="925"/>
      <c r="AR232" s="925"/>
      <c r="AS232" s="925"/>
      <c r="AT232" s="925"/>
      <c r="AU232" s="925"/>
      <c r="AV232" s="925"/>
      <c r="AW232" s="925"/>
      <c r="AX232" s="925"/>
      <c r="AY232" s="925"/>
      <c r="AZ232" s="925"/>
      <c r="BA232" s="925"/>
      <c r="BB232" s="925"/>
      <c r="BC232" s="925"/>
      <c r="BD232" s="925"/>
    </row>
    <row r="233" spans="1:56" s="800" customFormat="1" ht="14.25" customHeight="1" x14ac:dyDescent="0.25">
      <c r="A233" s="799"/>
      <c r="B233" s="840" t="s">
        <v>1420</v>
      </c>
      <c r="C233" s="841" t="s">
        <v>1421</v>
      </c>
      <c r="D233" s="829" t="s">
        <v>1401</v>
      </c>
      <c r="E233" s="830" t="s">
        <v>1439</v>
      </c>
      <c r="F233" s="833"/>
      <c r="G233" s="833"/>
      <c r="K233" s="839"/>
      <c r="L233" s="839"/>
      <c r="M233" s="839"/>
      <c r="N233" s="839"/>
      <c r="O233" s="839"/>
      <c r="P233" s="900"/>
      <c r="Q233" s="884"/>
      <c r="R233" s="922"/>
      <c r="S233" s="941"/>
      <c r="T233" s="1060"/>
      <c r="U233" s="1060"/>
      <c r="V233" s="1060">
        <f>'Phân loại dược phẩm'!C358</f>
        <v>1277.2307692307693</v>
      </c>
      <c r="W233" s="1060">
        <f>V233</f>
        <v>1277.2307692307693</v>
      </c>
      <c r="X233" s="1060">
        <f t="shared" ref="X233:AD233" si="96">W233</f>
        <v>1277.2307692307693</v>
      </c>
      <c r="Y233" s="1060">
        <f t="shared" si="96"/>
        <v>1277.2307692307693</v>
      </c>
      <c r="Z233" s="1060">
        <f t="shared" si="96"/>
        <v>1277.2307692307693</v>
      </c>
      <c r="AA233" s="1060">
        <f t="shared" si="96"/>
        <v>1277.2307692307693</v>
      </c>
      <c r="AB233" s="1060">
        <f t="shared" si="96"/>
        <v>1277.2307692307693</v>
      </c>
      <c r="AC233" s="1060">
        <f t="shared" si="96"/>
        <v>1277.2307692307693</v>
      </c>
      <c r="AD233" s="1060">
        <f t="shared" si="96"/>
        <v>1277.2307692307693</v>
      </c>
      <c r="AE233" s="925"/>
      <c r="AF233" s="925"/>
      <c r="AG233" s="925"/>
      <c r="AH233" s="925"/>
      <c r="AI233" s="925"/>
      <c r="AJ233" s="925"/>
      <c r="AK233" s="925"/>
      <c r="AL233" s="925"/>
      <c r="AM233" s="925"/>
      <c r="AN233" s="925"/>
      <c r="AO233" s="925"/>
      <c r="AP233" s="925"/>
      <c r="AQ233" s="925"/>
      <c r="AR233" s="925"/>
      <c r="AS233" s="925"/>
      <c r="AT233" s="925"/>
      <c r="AU233" s="925"/>
      <c r="AV233" s="925"/>
      <c r="AW233" s="925"/>
      <c r="AX233" s="925"/>
      <c r="AY233" s="925"/>
      <c r="AZ233" s="925"/>
      <c r="BA233" s="925"/>
      <c r="BB233" s="925"/>
      <c r="BC233" s="925"/>
      <c r="BD233" s="925"/>
    </row>
    <row r="234" spans="1:56" s="800" customFormat="1" ht="14.25" customHeight="1" x14ac:dyDescent="0.25">
      <c r="A234" s="799"/>
      <c r="B234" s="828" t="s">
        <v>1422</v>
      </c>
      <c r="C234" s="828"/>
      <c r="D234" s="828"/>
      <c r="E234" s="830" t="s">
        <v>1440</v>
      </c>
      <c r="F234" s="833"/>
      <c r="G234" s="833"/>
      <c r="K234" s="839"/>
      <c r="L234" s="839"/>
      <c r="M234" s="839"/>
      <c r="N234" s="839"/>
      <c r="O234" s="839"/>
      <c r="P234" s="900"/>
      <c r="Q234" s="884"/>
      <c r="R234" s="922"/>
      <c r="S234" s="941"/>
      <c r="T234" s="1083"/>
      <c r="U234" s="1060"/>
      <c r="V234" s="1060"/>
      <c r="W234" s="1060"/>
      <c r="X234" s="1060"/>
      <c r="Y234" s="1060"/>
      <c r="Z234" s="1060"/>
      <c r="AA234" s="1060"/>
      <c r="AB234" s="1060"/>
      <c r="AC234" s="1060"/>
      <c r="AD234" s="1060"/>
      <c r="AE234" s="925"/>
      <c r="AF234" s="925"/>
      <c r="AG234" s="925"/>
      <c r="AH234" s="925"/>
      <c r="AI234" s="925"/>
      <c r="AJ234" s="925"/>
      <c r="AK234" s="925"/>
      <c r="AL234" s="925"/>
      <c r="AM234" s="925"/>
      <c r="AN234" s="925"/>
      <c r="AO234" s="925"/>
      <c r="AP234" s="925"/>
      <c r="AQ234" s="925"/>
      <c r="AR234" s="925"/>
      <c r="AS234" s="925"/>
      <c r="AT234" s="925"/>
      <c r="AU234" s="925"/>
      <c r="AV234" s="925"/>
      <c r="AW234" s="925"/>
      <c r="AX234" s="925"/>
      <c r="AY234" s="925"/>
      <c r="AZ234" s="925"/>
      <c r="BA234" s="925"/>
      <c r="BB234" s="925"/>
      <c r="BC234" s="925"/>
      <c r="BD234" s="925"/>
    </row>
    <row r="235" spans="1:56" s="800" customFormat="1" ht="14.25" customHeight="1" x14ac:dyDescent="0.25">
      <c r="A235" s="799"/>
      <c r="B235" s="840" t="s">
        <v>1423</v>
      </c>
      <c r="C235" s="841" t="s">
        <v>1424</v>
      </c>
      <c r="D235" s="841" t="s">
        <v>1412</v>
      </c>
      <c r="E235" s="830" t="s">
        <v>1438</v>
      </c>
      <c r="F235" s="833"/>
      <c r="G235" s="833"/>
      <c r="K235" s="839"/>
      <c r="L235" s="839"/>
      <c r="M235" s="839"/>
      <c r="N235" s="839"/>
      <c r="O235" s="839"/>
      <c r="P235" s="900"/>
      <c r="Q235" s="884"/>
      <c r="R235" s="922"/>
      <c r="S235" s="941"/>
      <c r="T235" s="1060"/>
      <c r="U235" s="1060"/>
      <c r="V235" s="1060"/>
      <c r="W235" s="1060">
        <f>'Phân loại dược phẩm'!C365</f>
        <v>12148.333333333334</v>
      </c>
      <c r="X235" s="1060">
        <f>W235</f>
        <v>12148.333333333334</v>
      </c>
      <c r="Y235" s="1060">
        <f>'Phân loại dược phẩm'!C365 * 'Phân loại dược phẩm'!C363</f>
        <v>36450.018764619439</v>
      </c>
      <c r="Z235" s="1060">
        <f>Y235</f>
        <v>36450.018764619439</v>
      </c>
      <c r="AA235" s="1060">
        <f t="shared" ref="AA235:AD235" si="97">Z235</f>
        <v>36450.018764619439</v>
      </c>
      <c r="AB235" s="1060">
        <f t="shared" si="97"/>
        <v>36450.018764619439</v>
      </c>
      <c r="AC235" s="1060">
        <f t="shared" si="97"/>
        <v>36450.018764619439</v>
      </c>
      <c r="AD235" s="1060">
        <f t="shared" si="97"/>
        <v>36450.018764619439</v>
      </c>
      <c r="AE235" s="925"/>
      <c r="AF235" s="925"/>
      <c r="AG235" s="925"/>
      <c r="AH235" s="925"/>
      <c r="AI235" s="925"/>
      <c r="AJ235" s="925"/>
      <c r="AK235" s="925"/>
      <c r="AL235" s="925"/>
      <c r="AM235" s="925"/>
      <c r="AN235" s="925"/>
      <c r="AO235" s="925"/>
      <c r="AP235" s="925"/>
      <c r="AQ235" s="925"/>
      <c r="AR235" s="925"/>
      <c r="AS235" s="925"/>
      <c r="AT235" s="925"/>
      <c r="AU235" s="925"/>
      <c r="AV235" s="925"/>
      <c r="AW235" s="925"/>
      <c r="AX235" s="925"/>
      <c r="AY235" s="925"/>
      <c r="AZ235" s="925"/>
      <c r="BA235" s="925"/>
      <c r="BB235" s="925"/>
      <c r="BC235" s="925"/>
      <c r="BD235" s="925"/>
    </row>
    <row r="236" spans="1:56" s="800" customFormat="1" ht="14.25" customHeight="1" x14ac:dyDescent="0.25">
      <c r="A236" s="799"/>
      <c r="B236" s="840" t="s">
        <v>1425</v>
      </c>
      <c r="C236" s="841" t="s">
        <v>1426</v>
      </c>
      <c r="D236" s="829" t="s">
        <v>1401</v>
      </c>
      <c r="E236" s="830" t="s">
        <v>1439</v>
      </c>
      <c r="F236" s="833"/>
      <c r="G236" s="833"/>
      <c r="K236" s="839"/>
      <c r="L236" s="839"/>
      <c r="M236" s="839"/>
      <c r="N236" s="839"/>
      <c r="O236" s="839"/>
      <c r="P236" s="900"/>
      <c r="Q236" s="884"/>
      <c r="R236" s="922"/>
      <c r="S236" s="941"/>
      <c r="T236" s="1060"/>
      <c r="U236" s="1060"/>
      <c r="V236" s="1060"/>
      <c r="W236" s="1060"/>
      <c r="X236" s="1060"/>
      <c r="Y236" s="1060"/>
      <c r="Z236" s="1060">
        <f>'Phân loại dược phẩm'!C366</f>
        <v>3047.6153846153848</v>
      </c>
      <c r="AA236" s="1060">
        <f>Z236</f>
        <v>3047.6153846153848</v>
      </c>
      <c r="AB236" s="1060">
        <f t="shared" ref="AB236:AD236" si="98">AA236</f>
        <v>3047.6153846153848</v>
      </c>
      <c r="AC236" s="1060">
        <f t="shared" si="98"/>
        <v>3047.6153846153848</v>
      </c>
      <c r="AD236" s="1060">
        <f t="shared" si="98"/>
        <v>3047.6153846153848</v>
      </c>
      <c r="AE236" s="925"/>
      <c r="AF236" s="925"/>
      <c r="AG236" s="925"/>
      <c r="AH236" s="925"/>
      <c r="AI236" s="925"/>
      <c r="AJ236" s="925"/>
      <c r="AK236" s="925"/>
      <c r="AL236" s="925"/>
      <c r="AM236" s="925"/>
      <c r="AN236" s="925"/>
      <c r="AO236" s="925"/>
      <c r="AP236" s="925"/>
      <c r="AQ236" s="925"/>
      <c r="AR236" s="925"/>
      <c r="AS236" s="925"/>
      <c r="AT236" s="925"/>
      <c r="AU236" s="925"/>
      <c r="AV236" s="925"/>
      <c r="AW236" s="925"/>
      <c r="AX236" s="925"/>
      <c r="AY236" s="925"/>
      <c r="AZ236" s="925"/>
      <c r="BA236" s="925"/>
      <c r="BB236" s="925"/>
      <c r="BC236" s="925"/>
      <c r="BD236" s="925"/>
    </row>
    <row r="237" spans="1:56" s="800" customFormat="1" ht="14.25" customHeight="1" x14ac:dyDescent="0.25">
      <c r="A237" s="799"/>
      <c r="B237" s="840" t="s">
        <v>1427</v>
      </c>
      <c r="C237" s="841" t="s">
        <v>1428</v>
      </c>
      <c r="D237" s="829" t="s">
        <v>1401</v>
      </c>
      <c r="E237" s="830" t="s">
        <v>1438</v>
      </c>
      <c r="F237" s="833"/>
      <c r="G237" s="833"/>
      <c r="K237" s="839"/>
      <c r="L237" s="839"/>
      <c r="M237" s="839"/>
      <c r="N237" s="839"/>
      <c r="O237" s="839"/>
      <c r="P237" s="900"/>
      <c r="Q237" s="884"/>
      <c r="R237" s="922"/>
      <c r="S237" s="941"/>
      <c r="T237" s="1060"/>
      <c r="U237" s="1060"/>
      <c r="V237" s="1060"/>
      <c r="W237" s="1060"/>
      <c r="X237" s="1060">
        <f>'Phân loại dược phẩm'!C367</f>
        <v>20445.714285714286</v>
      </c>
      <c r="Y237" s="1060">
        <f>X237</f>
        <v>20445.714285714286</v>
      </c>
      <c r="Z237" s="1060">
        <f t="shared" ref="Z237:AD237" si="99">Y237</f>
        <v>20445.714285714286</v>
      </c>
      <c r="AA237" s="1060">
        <f t="shared" si="99"/>
        <v>20445.714285714286</v>
      </c>
      <c r="AB237" s="1060">
        <f t="shared" si="99"/>
        <v>20445.714285714286</v>
      </c>
      <c r="AC237" s="1060">
        <f t="shared" si="99"/>
        <v>20445.714285714286</v>
      </c>
      <c r="AD237" s="1060">
        <f t="shared" si="99"/>
        <v>20445.714285714286</v>
      </c>
      <c r="AE237" s="925"/>
      <c r="AF237" s="925"/>
      <c r="AG237" s="925"/>
      <c r="AH237" s="925"/>
      <c r="AI237" s="925"/>
      <c r="AJ237" s="925"/>
      <c r="AK237" s="925"/>
      <c r="AL237" s="925"/>
      <c r="AM237" s="925"/>
      <c r="AN237" s="925"/>
      <c r="AO237" s="925"/>
      <c r="AP237" s="925"/>
      <c r="AQ237" s="925"/>
      <c r="AR237" s="925"/>
      <c r="AS237" s="925"/>
      <c r="AT237" s="925"/>
      <c r="AU237" s="925"/>
      <c r="AV237" s="925"/>
      <c r="AW237" s="925"/>
      <c r="AX237" s="925"/>
      <c r="AY237" s="925"/>
      <c r="AZ237" s="925"/>
      <c r="BA237" s="925"/>
      <c r="BB237" s="925"/>
      <c r="BC237" s="925"/>
      <c r="BD237" s="925"/>
    </row>
    <row r="238" spans="1:56" s="800" customFormat="1" ht="14.25" customHeight="1" x14ac:dyDescent="0.25">
      <c r="A238" s="799"/>
      <c r="B238" s="840" t="s">
        <v>1429</v>
      </c>
      <c r="C238" s="841" t="s">
        <v>1430</v>
      </c>
      <c r="D238" s="829" t="s">
        <v>1401</v>
      </c>
      <c r="E238" s="830" t="s">
        <v>1439</v>
      </c>
      <c r="F238" s="833"/>
      <c r="G238" s="833"/>
      <c r="K238" s="839"/>
      <c r="L238" s="839"/>
      <c r="M238" s="839"/>
      <c r="N238" s="839"/>
      <c r="O238" s="839"/>
      <c r="P238" s="900"/>
      <c r="Q238" s="884"/>
      <c r="R238" s="922"/>
      <c r="S238" s="941"/>
      <c r="T238" s="1060"/>
      <c r="U238" s="1060"/>
      <c r="V238" s="1060"/>
      <c r="W238" s="1060"/>
      <c r="X238" s="1060">
        <f>'Phân loại dược phẩm'!C368</f>
        <v>1335.75</v>
      </c>
      <c r="Y238" s="1060">
        <f>X238</f>
        <v>1335.75</v>
      </c>
      <c r="Z238" s="1060">
        <f t="shared" ref="Z238:AD238" si="100">Y238</f>
        <v>1335.75</v>
      </c>
      <c r="AA238" s="1060">
        <f t="shared" si="100"/>
        <v>1335.75</v>
      </c>
      <c r="AB238" s="1060">
        <f t="shared" si="100"/>
        <v>1335.75</v>
      </c>
      <c r="AC238" s="1060">
        <f t="shared" si="100"/>
        <v>1335.75</v>
      </c>
      <c r="AD238" s="1060">
        <f t="shared" si="100"/>
        <v>1335.75</v>
      </c>
      <c r="AE238" s="925"/>
      <c r="AF238" s="925"/>
      <c r="AG238" s="925"/>
      <c r="AH238" s="925"/>
      <c r="AI238" s="925"/>
      <c r="AJ238" s="925"/>
      <c r="AK238" s="925"/>
      <c r="AL238" s="925"/>
      <c r="AM238" s="925"/>
      <c r="AN238" s="925"/>
      <c r="AO238" s="925"/>
      <c r="AP238" s="925"/>
      <c r="AQ238" s="925"/>
      <c r="AR238" s="925"/>
      <c r="AS238" s="925"/>
      <c r="AT238" s="925"/>
      <c r="AU238" s="925"/>
      <c r="AV238" s="925"/>
      <c r="AW238" s="925"/>
      <c r="AX238" s="925"/>
      <c r="AY238" s="925"/>
      <c r="AZ238" s="925"/>
      <c r="BA238" s="925"/>
      <c r="BB238" s="925"/>
      <c r="BC238" s="925"/>
      <c r="BD238" s="925"/>
    </row>
    <row r="239" spans="1:56" s="800" customFormat="1" ht="14.25" customHeight="1" x14ac:dyDescent="0.25">
      <c r="A239" s="799"/>
      <c r="B239" s="828" t="s">
        <v>1431</v>
      </c>
      <c r="C239" s="829" t="s">
        <v>1432</v>
      </c>
      <c r="D239" s="829"/>
      <c r="E239" s="936"/>
      <c r="F239" s="833"/>
      <c r="G239" s="833"/>
      <c r="K239" s="839"/>
      <c r="L239" s="839"/>
      <c r="M239" s="839"/>
      <c r="N239" s="839"/>
      <c r="O239" s="839"/>
      <c r="P239" s="839"/>
      <c r="Q239" s="922"/>
      <c r="R239" s="922"/>
      <c r="S239" s="941"/>
      <c r="T239" s="1083"/>
      <c r="U239" s="1083"/>
      <c r="V239" s="1083"/>
      <c r="W239" s="1083"/>
      <c r="X239" s="1083"/>
      <c r="Y239" s="1083"/>
      <c r="Z239" s="1083"/>
      <c r="AA239" s="1083"/>
      <c r="AB239" s="1083"/>
      <c r="AC239" s="1083"/>
      <c r="AD239" s="1083"/>
      <c r="AE239" s="925"/>
      <c r="AF239" s="925"/>
      <c r="AG239" s="925"/>
      <c r="AH239" s="925"/>
      <c r="AI239" s="925"/>
      <c r="AJ239" s="925"/>
      <c r="AK239" s="925"/>
      <c r="AL239" s="925"/>
      <c r="AM239" s="925"/>
      <c r="AN239" s="925"/>
      <c r="AO239" s="925"/>
      <c r="AP239" s="925"/>
      <c r="AQ239" s="925"/>
      <c r="AR239" s="925"/>
      <c r="AS239" s="925"/>
      <c r="AT239" s="925"/>
      <c r="AU239" s="925"/>
      <c r="AV239" s="925"/>
      <c r="AW239" s="925"/>
      <c r="AX239" s="925"/>
      <c r="AY239" s="925"/>
      <c r="AZ239" s="925"/>
      <c r="BA239" s="925"/>
      <c r="BB239" s="925"/>
      <c r="BC239" s="925"/>
      <c r="BD239" s="925"/>
    </row>
    <row r="240" spans="1:56" s="800" customFormat="1" ht="22.5" customHeight="1" x14ac:dyDescent="0.25">
      <c r="A240" s="969"/>
      <c r="B240" s="844" t="s">
        <v>1463</v>
      </c>
      <c r="C240" s="844"/>
      <c r="D240" s="844"/>
      <c r="E240" s="845" t="s">
        <v>1464</v>
      </c>
      <c r="F240" s="844"/>
      <c r="G240" s="844"/>
      <c r="H240" s="844"/>
      <c r="I240" s="844"/>
      <c r="J240" s="844"/>
      <c r="K240" s="888"/>
      <c r="L240" s="888"/>
      <c r="M240" s="888"/>
      <c r="N240" s="888"/>
      <c r="O240" s="888"/>
      <c r="P240" s="888"/>
      <c r="Q240" s="888"/>
      <c r="R240" s="937">
        <f>(R30*10^9)/(R213*10^6)</f>
        <v>3096.8614551079422</v>
      </c>
      <c r="S240" s="938">
        <f>(S30*10^9)/(S213*10^6)</f>
        <v>3178.1354739316312</v>
      </c>
      <c r="T240" s="1065">
        <f>T241/T243*T242</f>
        <v>2920.3747441128039</v>
      </c>
      <c r="U240" s="1065">
        <f t="shared" ref="U240:AD240" si="101">U241/U243*U242</f>
        <v>2920.3747441128039</v>
      </c>
      <c r="V240" s="1065">
        <f t="shared" si="101"/>
        <v>3389.8434873606475</v>
      </c>
      <c r="W240" s="1065">
        <f t="shared" si="101"/>
        <v>3476.1428432052926</v>
      </c>
      <c r="X240" s="1065">
        <f t="shared" si="101"/>
        <v>3567.5580937036125</v>
      </c>
      <c r="Y240" s="1065">
        <f t="shared" si="101"/>
        <v>3608.9513223625181</v>
      </c>
      <c r="Z240" s="1065">
        <f t="shared" si="101"/>
        <v>3659.3191260322569</v>
      </c>
      <c r="AA240" s="1065">
        <f t="shared" si="101"/>
        <v>3659.3191260322569</v>
      </c>
      <c r="AB240" s="1065">
        <f t="shared" si="101"/>
        <v>3659.3191260322569</v>
      </c>
      <c r="AC240" s="1065">
        <f t="shared" si="101"/>
        <v>3659.3191260322569</v>
      </c>
      <c r="AD240" s="1065">
        <f t="shared" si="101"/>
        <v>3659.3191260322569</v>
      </c>
      <c r="AE240" s="896"/>
      <c r="AF240" s="896"/>
      <c r="AG240" s="896"/>
      <c r="AH240" s="896"/>
      <c r="AI240" s="896"/>
      <c r="AJ240" s="896"/>
      <c r="AK240" s="896"/>
      <c r="AL240" s="896"/>
      <c r="AM240" s="896"/>
      <c r="AN240" s="896"/>
      <c r="AO240" s="896"/>
      <c r="AP240" s="896"/>
      <c r="AQ240" s="896"/>
      <c r="AR240" s="896"/>
      <c r="AS240" s="896"/>
      <c r="AT240" s="896"/>
      <c r="AU240" s="896"/>
      <c r="AV240" s="896"/>
      <c r="AW240" s="896"/>
      <c r="AX240" s="896"/>
      <c r="AY240" s="896"/>
      <c r="AZ240" s="896"/>
      <c r="BA240" s="896"/>
      <c r="BB240" s="896"/>
      <c r="BC240" s="896"/>
      <c r="BD240" s="896"/>
    </row>
    <row r="241" spans="1:56" s="860" customFormat="1" ht="26.25" customHeight="1" x14ac:dyDescent="0.25">
      <c r="A241" s="970"/>
      <c r="B241" s="851" t="s">
        <v>1465</v>
      </c>
      <c r="C241" s="851"/>
      <c r="D241" s="851"/>
      <c r="E241" s="852" t="s">
        <v>1464</v>
      </c>
      <c r="F241" s="891"/>
      <c r="G241" s="891"/>
      <c r="H241" s="891"/>
      <c r="I241" s="891"/>
      <c r="J241" s="891"/>
      <c r="K241" s="892"/>
      <c r="L241" s="892"/>
      <c r="M241" s="892"/>
      <c r="N241" s="892"/>
      <c r="O241" s="892"/>
      <c r="P241" s="892"/>
      <c r="Q241" s="892"/>
      <c r="R241" s="910">
        <f>AVERAGE(R219:R238)</f>
        <v>73985.441517178566</v>
      </c>
      <c r="S241" s="1087">
        <f>AVERAGE(S219:S238)</f>
        <v>110659.0755302794</v>
      </c>
      <c r="T241" s="1084">
        <f>AVERAGE(T219:T238)</f>
        <v>99682.111639223294</v>
      </c>
      <c r="U241" s="1084">
        <f t="shared" ref="U241:AD241" si="102">AVERAGE(U219:U238)</f>
        <v>99682.111639223294</v>
      </c>
      <c r="V241" s="1084">
        <f t="shared" si="102"/>
        <v>171565.02187325773</v>
      </c>
      <c r="W241" s="1084">
        <f t="shared" si="102"/>
        <v>159439.06434609421</v>
      </c>
      <c r="X241" s="1084">
        <f t="shared" si="102"/>
        <v>139632.62005232929</v>
      </c>
      <c r="Y241" s="1084">
        <f t="shared" si="102"/>
        <v>141252.73241441502</v>
      </c>
      <c r="Z241" s="1084">
        <f t="shared" si="102"/>
        <v>132614.91260005254</v>
      </c>
      <c r="AA241" s="1084">
        <f t="shared" si="102"/>
        <v>132614.91260005254</v>
      </c>
      <c r="AB241" s="1084">
        <f t="shared" si="102"/>
        <v>132614.91260005254</v>
      </c>
      <c r="AC241" s="1084">
        <f t="shared" si="102"/>
        <v>132614.91260005254</v>
      </c>
      <c r="AD241" s="1084">
        <f t="shared" si="102"/>
        <v>132614.91260005254</v>
      </c>
      <c r="AE241" s="971"/>
      <c r="AF241" s="971"/>
      <c r="AG241" s="971"/>
      <c r="AH241" s="971"/>
      <c r="AI241" s="971"/>
      <c r="AJ241" s="971"/>
      <c r="AK241" s="971"/>
      <c r="AL241" s="971"/>
      <c r="AM241" s="971"/>
      <c r="AN241" s="971"/>
      <c r="AO241" s="971"/>
      <c r="AP241" s="971"/>
      <c r="AQ241" s="971"/>
      <c r="AR241" s="971"/>
      <c r="AS241" s="971"/>
      <c r="AT241" s="971"/>
      <c r="AU241" s="971"/>
      <c r="AV241" s="971"/>
      <c r="AW241" s="971"/>
      <c r="AX241" s="971"/>
      <c r="AY241" s="971"/>
      <c r="AZ241" s="971"/>
      <c r="BA241" s="971"/>
      <c r="BB241" s="971"/>
      <c r="BC241" s="971"/>
      <c r="BD241" s="971"/>
    </row>
    <row r="242" spans="1:56" s="860" customFormat="1" ht="26.25" customHeight="1" x14ac:dyDescent="0.25">
      <c r="A242" s="970"/>
      <c r="B242" s="851" t="s">
        <v>1466</v>
      </c>
      <c r="C242" s="851"/>
      <c r="D242" s="851"/>
      <c r="E242" s="852"/>
      <c r="F242" s="891"/>
      <c r="G242" s="891"/>
      <c r="H242" s="891"/>
      <c r="I242" s="891"/>
      <c r="J242" s="891"/>
      <c r="K242" s="892"/>
      <c r="L242" s="892"/>
      <c r="M242" s="892"/>
      <c r="N242" s="892"/>
      <c r="O242" s="892"/>
      <c r="P242" s="892"/>
      <c r="Q242" s="892"/>
      <c r="R242" s="972"/>
      <c r="S242" s="973"/>
      <c r="T242" s="1085">
        <v>0.86</v>
      </c>
      <c r="U242" s="1085">
        <f>T242</f>
        <v>0.86</v>
      </c>
      <c r="V242" s="1085">
        <f>0.58</f>
        <v>0.57999999999999996</v>
      </c>
      <c r="W242" s="1085">
        <v>0.64</v>
      </c>
      <c r="X242" s="1085">
        <v>0.75</v>
      </c>
      <c r="Y242" s="1085">
        <f>X242</f>
        <v>0.75</v>
      </c>
      <c r="Z242" s="1085">
        <v>0.81</v>
      </c>
      <c r="AA242" s="1085">
        <f>Z242</f>
        <v>0.81</v>
      </c>
      <c r="AB242" s="1085">
        <f t="shared" ref="AB242:AD242" si="103">AA242</f>
        <v>0.81</v>
      </c>
      <c r="AC242" s="1085">
        <f t="shared" si="103"/>
        <v>0.81</v>
      </c>
      <c r="AD242" s="1085">
        <f t="shared" si="103"/>
        <v>0.81</v>
      </c>
      <c r="AE242" s="971"/>
      <c r="AF242" s="971"/>
      <c r="AG242" s="971"/>
      <c r="AH242" s="971"/>
      <c r="AI242" s="971"/>
      <c r="AJ242" s="971"/>
      <c r="AK242" s="971"/>
      <c r="AL242" s="971"/>
      <c r="AM242" s="971"/>
      <c r="AN242" s="971"/>
      <c r="AO242" s="971"/>
      <c r="AP242" s="971"/>
      <c r="AQ242" s="971"/>
      <c r="AR242" s="971"/>
      <c r="AS242" s="971"/>
      <c r="AT242" s="971"/>
      <c r="AU242" s="971"/>
      <c r="AV242" s="971"/>
      <c r="AW242" s="971"/>
      <c r="AX242" s="971"/>
      <c r="AY242" s="971"/>
      <c r="AZ242" s="971"/>
      <c r="BA242" s="971"/>
      <c r="BB242" s="971"/>
      <c r="BC242" s="971"/>
      <c r="BD242" s="971"/>
    </row>
    <row r="243" spans="1:56" ht="29.25" customHeight="1" x14ac:dyDescent="0.25">
      <c r="B243" s="851" t="s">
        <v>1235</v>
      </c>
      <c r="C243" s="965"/>
      <c r="D243" s="965"/>
      <c r="E243" s="965"/>
      <c r="F243" s="965"/>
      <c r="G243" s="965"/>
      <c r="H243" s="965"/>
      <c r="I243" s="965"/>
      <c r="J243" s="965"/>
      <c r="K243" s="966"/>
      <c r="L243" s="966"/>
      <c r="M243" s="966"/>
      <c r="N243" s="966"/>
      <c r="O243" s="966"/>
      <c r="P243" s="966"/>
      <c r="Q243" s="966"/>
      <c r="R243" s="974">
        <f>R241/R240</f>
        <v>23.890458966172826</v>
      </c>
      <c r="S243" s="1088">
        <f>S241/S240</f>
        <v>34.818866734269342</v>
      </c>
      <c r="T243" s="1086">
        <f>AVERAGE(R243:S243)</f>
        <v>29.354662850221082</v>
      </c>
      <c r="U243" s="1086">
        <f>T243</f>
        <v>29.354662850221082</v>
      </c>
      <c r="V243" s="1086">
        <f t="shared" ref="V243:AD243" si="104">U243</f>
        <v>29.354662850221082</v>
      </c>
      <c r="W243" s="1086">
        <f t="shared" si="104"/>
        <v>29.354662850221082</v>
      </c>
      <c r="X243" s="1086">
        <f t="shared" si="104"/>
        <v>29.354662850221082</v>
      </c>
      <c r="Y243" s="1086">
        <f t="shared" si="104"/>
        <v>29.354662850221082</v>
      </c>
      <c r="Z243" s="1086">
        <f t="shared" si="104"/>
        <v>29.354662850221082</v>
      </c>
      <c r="AA243" s="1086">
        <f t="shared" si="104"/>
        <v>29.354662850221082</v>
      </c>
      <c r="AB243" s="1086">
        <f t="shared" si="104"/>
        <v>29.354662850221082</v>
      </c>
      <c r="AC243" s="1086">
        <f t="shared" si="104"/>
        <v>29.354662850221082</v>
      </c>
      <c r="AD243" s="1086">
        <f t="shared" si="104"/>
        <v>29.354662850221082</v>
      </c>
      <c r="AE243" s="966"/>
      <c r="AF243" s="966"/>
      <c r="AG243" s="966"/>
      <c r="AH243" s="966"/>
      <c r="AI243" s="966"/>
      <c r="AJ243" s="966"/>
      <c r="AK243" s="966"/>
      <c r="AL243" s="966"/>
      <c r="AM243" s="966"/>
      <c r="AN243" s="966"/>
      <c r="AO243" s="966"/>
      <c r="AP243" s="966"/>
      <c r="AQ243" s="966"/>
      <c r="AR243" s="966"/>
      <c r="AS243" s="966"/>
      <c r="AT243" s="966"/>
      <c r="AU243" s="966"/>
      <c r="AV243" s="966"/>
      <c r="AW243" s="966"/>
      <c r="AX243" s="966"/>
      <c r="AY243" s="966"/>
      <c r="AZ243" s="966"/>
      <c r="BA243" s="966"/>
      <c r="BB243" s="966"/>
      <c r="BC243" s="966"/>
      <c r="BD243" s="966"/>
    </row>
    <row r="244" spans="1:56" s="825" customFormat="1" ht="14.25" customHeight="1" x14ac:dyDescent="0.25">
      <c r="A244" s="823">
        <v>11</v>
      </c>
      <c r="B244" s="824" t="s">
        <v>1467</v>
      </c>
      <c r="C244" s="824"/>
      <c r="D244" s="824"/>
      <c r="E244" s="911"/>
      <c r="F244" s="911"/>
      <c r="G244" s="911"/>
      <c r="H244" s="911"/>
      <c r="I244" s="911"/>
      <c r="J244" s="911"/>
      <c r="K244" s="912"/>
      <c r="L244" s="912"/>
      <c r="M244" s="912"/>
      <c r="N244" s="912"/>
      <c r="O244" s="912"/>
      <c r="P244" s="912"/>
      <c r="Q244" s="912"/>
      <c r="R244" s="912"/>
      <c r="S244" s="913"/>
      <c r="T244" s="912"/>
      <c r="U244" s="912"/>
      <c r="V244" s="912"/>
      <c r="W244" s="912"/>
      <c r="X244" s="912"/>
      <c r="Y244" s="912"/>
      <c r="Z244" s="912"/>
      <c r="AA244" s="912"/>
      <c r="AB244" s="912"/>
      <c r="AC244" s="912"/>
      <c r="AD244" s="912"/>
      <c r="AE244" s="912"/>
      <c r="AF244" s="912"/>
      <c r="AG244" s="912"/>
      <c r="AH244" s="912"/>
      <c r="AI244" s="912"/>
      <c r="AJ244" s="912"/>
      <c r="AK244" s="912"/>
      <c r="AL244" s="912"/>
      <c r="AM244" s="912"/>
      <c r="AN244" s="912"/>
      <c r="AO244" s="912"/>
      <c r="AP244" s="912"/>
      <c r="AQ244" s="912"/>
      <c r="AR244" s="912"/>
      <c r="AS244" s="912"/>
      <c r="AT244" s="912"/>
      <c r="AU244" s="912"/>
      <c r="AV244" s="912"/>
      <c r="AW244" s="912"/>
      <c r="AX244" s="912"/>
      <c r="AY244" s="912"/>
      <c r="AZ244" s="912"/>
      <c r="BA244" s="912"/>
      <c r="BB244" s="912"/>
      <c r="BC244" s="912"/>
      <c r="BD244" s="912"/>
    </row>
    <row r="245" spans="1:56" s="851" customFormat="1" ht="14.25" customHeight="1" x14ac:dyDescent="0.25">
      <c r="A245" s="806"/>
      <c r="B245" s="828" t="s">
        <v>1400</v>
      </c>
      <c r="C245" s="829" t="s">
        <v>714</v>
      </c>
      <c r="D245" s="829" t="s">
        <v>1401</v>
      </c>
      <c r="E245" s="830" t="s">
        <v>1438</v>
      </c>
      <c r="F245" s="833"/>
      <c r="G245" s="833"/>
      <c r="K245" s="900"/>
      <c r="L245" s="900"/>
      <c r="M245" s="900"/>
      <c r="N245" s="900"/>
      <c r="O245" s="900"/>
      <c r="P245" s="900"/>
      <c r="Q245" s="975"/>
      <c r="R245" s="975"/>
      <c r="S245" s="976"/>
      <c r="T245" s="977"/>
      <c r="U245" s="977"/>
      <c r="V245" s="977"/>
      <c r="W245" s="977"/>
      <c r="X245" s="977"/>
      <c r="Y245" s="977"/>
      <c r="Z245" s="977"/>
      <c r="AA245" s="977"/>
      <c r="AB245" s="977"/>
      <c r="AC245" s="977"/>
      <c r="AD245" s="977"/>
      <c r="AE245" s="977"/>
      <c r="AF245" s="977"/>
      <c r="AG245" s="977"/>
      <c r="AH245" s="977"/>
      <c r="AI245" s="977"/>
      <c r="AJ245" s="977"/>
      <c r="AK245" s="977"/>
      <c r="AL245" s="977"/>
      <c r="AM245" s="977"/>
      <c r="AN245" s="977"/>
      <c r="AO245" s="977"/>
      <c r="AP245" s="977"/>
      <c r="AQ245" s="977"/>
      <c r="AR245" s="977"/>
      <c r="AS245" s="977"/>
      <c r="AT245" s="977"/>
      <c r="AU245" s="977"/>
      <c r="AV245" s="977"/>
      <c r="AW245" s="977"/>
      <c r="AX245" s="977"/>
      <c r="AY245" s="977"/>
      <c r="AZ245" s="977"/>
      <c r="BA245" s="977"/>
      <c r="BB245" s="977"/>
      <c r="BC245" s="977"/>
      <c r="BD245" s="977"/>
    </row>
    <row r="246" spans="1:56" s="851" customFormat="1" ht="14.25" customHeight="1" x14ac:dyDescent="0.25">
      <c r="A246" s="806"/>
      <c r="B246" s="828" t="s">
        <v>1402</v>
      </c>
      <c r="C246" s="829" t="s">
        <v>739</v>
      </c>
      <c r="D246" s="829" t="s">
        <v>1401</v>
      </c>
      <c r="E246" s="830" t="s">
        <v>1439</v>
      </c>
      <c r="F246" s="833"/>
      <c r="G246" s="833"/>
      <c r="K246" s="900"/>
      <c r="L246" s="900"/>
      <c r="M246" s="900"/>
      <c r="N246" s="900"/>
      <c r="O246" s="900"/>
      <c r="P246" s="900"/>
      <c r="Q246" s="975"/>
      <c r="R246" s="975"/>
      <c r="S246" s="976"/>
      <c r="T246" s="977"/>
      <c r="U246" s="977"/>
      <c r="V246" s="977"/>
      <c r="W246" s="977"/>
      <c r="X246" s="977"/>
      <c r="Y246" s="977"/>
      <c r="Z246" s="977"/>
      <c r="AA246" s="977"/>
      <c r="AB246" s="977"/>
      <c r="AC246" s="977"/>
      <c r="AD246" s="977"/>
      <c r="AE246" s="977"/>
      <c r="AF246" s="977"/>
      <c r="AG246" s="977"/>
      <c r="AH246" s="977"/>
      <c r="AI246" s="977"/>
      <c r="AJ246" s="977"/>
      <c r="AK246" s="977"/>
      <c r="AL246" s="977"/>
      <c r="AM246" s="977"/>
      <c r="AN246" s="977"/>
      <c r="AO246" s="977"/>
      <c r="AP246" s="977"/>
      <c r="AQ246" s="977"/>
      <c r="AR246" s="977"/>
      <c r="AS246" s="977"/>
      <c r="AT246" s="977"/>
      <c r="AU246" s="977"/>
      <c r="AV246" s="977"/>
      <c r="AW246" s="977"/>
      <c r="AX246" s="977"/>
      <c r="AY246" s="977"/>
      <c r="AZ246" s="977"/>
      <c r="BA246" s="977"/>
      <c r="BB246" s="977"/>
      <c r="BC246" s="977"/>
      <c r="BD246" s="977"/>
    </row>
    <row r="247" spans="1:56" s="851" customFormat="1" ht="14.25" customHeight="1" x14ac:dyDescent="0.25">
      <c r="A247" s="806"/>
      <c r="B247" s="828" t="s">
        <v>1403</v>
      </c>
      <c r="C247" s="829" t="s">
        <v>701</v>
      </c>
      <c r="D247" s="829" t="s">
        <v>1401</v>
      </c>
      <c r="E247" s="830" t="s">
        <v>1439</v>
      </c>
      <c r="F247" s="833"/>
      <c r="G247" s="833"/>
      <c r="K247" s="900"/>
      <c r="L247" s="900"/>
      <c r="M247" s="900"/>
      <c r="N247" s="900"/>
      <c r="O247" s="900"/>
      <c r="P247" s="900"/>
      <c r="Q247" s="975"/>
      <c r="R247" s="975"/>
      <c r="S247" s="976"/>
      <c r="T247" s="977"/>
      <c r="U247" s="977"/>
      <c r="V247" s="977"/>
      <c r="W247" s="977"/>
      <c r="X247" s="977"/>
      <c r="Y247" s="977"/>
      <c r="Z247" s="977"/>
      <c r="AA247" s="977"/>
      <c r="AB247" s="977"/>
      <c r="AC247" s="977"/>
      <c r="AD247" s="977"/>
      <c r="AE247" s="977"/>
      <c r="AF247" s="977"/>
      <c r="AG247" s="977"/>
      <c r="AH247" s="977"/>
      <c r="AI247" s="977"/>
      <c r="AJ247" s="977"/>
      <c r="AK247" s="977"/>
      <c r="AL247" s="977"/>
      <c r="AM247" s="977"/>
      <c r="AN247" s="977"/>
      <c r="AO247" s="977"/>
      <c r="AP247" s="977"/>
      <c r="AQ247" s="977"/>
      <c r="AR247" s="977"/>
      <c r="AS247" s="977"/>
      <c r="AT247" s="977"/>
      <c r="AU247" s="977"/>
      <c r="AV247" s="977"/>
      <c r="AW247" s="977"/>
      <c r="AX247" s="977"/>
      <c r="AY247" s="977"/>
      <c r="AZ247" s="977"/>
      <c r="BA247" s="977"/>
      <c r="BB247" s="977"/>
      <c r="BC247" s="977"/>
      <c r="BD247" s="977"/>
    </row>
    <row r="248" spans="1:56" s="851" customFormat="1" ht="14.25" customHeight="1" x14ac:dyDescent="0.25">
      <c r="A248" s="806"/>
      <c r="B248" s="828" t="s">
        <v>1404</v>
      </c>
      <c r="C248" s="829" t="s">
        <v>839</v>
      </c>
      <c r="D248" s="829" t="s">
        <v>1401</v>
      </c>
      <c r="E248" s="830" t="s">
        <v>1439</v>
      </c>
      <c r="F248" s="833"/>
      <c r="G248" s="833"/>
      <c r="K248" s="900"/>
      <c r="L248" s="900"/>
      <c r="M248" s="900"/>
      <c r="N248" s="900"/>
      <c r="O248" s="900"/>
      <c r="P248" s="900"/>
      <c r="Q248" s="975"/>
      <c r="R248" s="975"/>
      <c r="S248" s="976"/>
      <c r="T248" s="977"/>
      <c r="U248" s="977"/>
      <c r="V248" s="977"/>
      <c r="W248" s="977"/>
      <c r="X248" s="977"/>
      <c r="Y248" s="977"/>
      <c r="Z248" s="977"/>
      <c r="AA248" s="977"/>
      <c r="AB248" s="977"/>
      <c r="AC248" s="977"/>
      <c r="AD248" s="977"/>
      <c r="AE248" s="977"/>
      <c r="AF248" s="977"/>
      <c r="AG248" s="977"/>
      <c r="AH248" s="977"/>
      <c r="AI248" s="977"/>
      <c r="AJ248" s="977"/>
      <c r="AK248" s="977"/>
      <c r="AL248" s="977"/>
      <c r="AM248" s="977"/>
      <c r="AN248" s="977"/>
      <c r="AO248" s="977"/>
      <c r="AP248" s="977"/>
      <c r="AQ248" s="977"/>
      <c r="AR248" s="977"/>
      <c r="AS248" s="977"/>
      <c r="AT248" s="977"/>
      <c r="AU248" s="977"/>
      <c r="AV248" s="977"/>
      <c r="AW248" s="977"/>
      <c r="AX248" s="977"/>
      <c r="AY248" s="977"/>
      <c r="AZ248" s="977"/>
      <c r="BA248" s="977"/>
      <c r="BB248" s="977"/>
      <c r="BC248" s="977"/>
      <c r="BD248" s="977"/>
    </row>
    <row r="249" spans="1:56" s="851" customFormat="1" ht="14.25" customHeight="1" x14ac:dyDescent="0.25">
      <c r="A249" s="806"/>
      <c r="B249" s="828" t="s">
        <v>1405</v>
      </c>
      <c r="C249" s="829" t="s">
        <v>928</v>
      </c>
      <c r="D249" s="829" t="s">
        <v>1401</v>
      </c>
      <c r="E249" s="830" t="s">
        <v>1438</v>
      </c>
      <c r="F249" s="833"/>
      <c r="G249" s="833"/>
      <c r="K249" s="900"/>
      <c r="L249" s="900"/>
      <c r="M249" s="900"/>
      <c r="N249" s="900"/>
      <c r="O249" s="900"/>
      <c r="P249" s="900"/>
      <c r="Q249" s="975"/>
      <c r="R249" s="975"/>
      <c r="S249" s="976"/>
      <c r="T249" s="977"/>
      <c r="U249" s="977"/>
      <c r="V249" s="977"/>
      <c r="W249" s="977"/>
      <c r="X249" s="977"/>
      <c r="Y249" s="977"/>
      <c r="Z249" s="977"/>
      <c r="AA249" s="977"/>
      <c r="AB249" s="977"/>
      <c r="AC249" s="977"/>
      <c r="AD249" s="977"/>
      <c r="AE249" s="977"/>
      <c r="AF249" s="977"/>
      <c r="AG249" s="977"/>
      <c r="AH249" s="977"/>
      <c r="AI249" s="977"/>
      <c r="AJ249" s="977"/>
      <c r="AK249" s="977"/>
      <c r="AL249" s="977"/>
      <c r="AM249" s="977"/>
      <c r="AN249" s="977"/>
      <c r="AO249" s="977"/>
      <c r="AP249" s="977"/>
      <c r="AQ249" s="977"/>
      <c r="AR249" s="977"/>
      <c r="AS249" s="977"/>
      <c r="AT249" s="977"/>
      <c r="AU249" s="977"/>
      <c r="AV249" s="977"/>
      <c r="AW249" s="977"/>
      <c r="AX249" s="977"/>
      <c r="AY249" s="977"/>
      <c r="AZ249" s="977"/>
      <c r="BA249" s="977"/>
      <c r="BB249" s="977"/>
      <c r="BC249" s="977"/>
      <c r="BD249" s="977"/>
    </row>
    <row r="250" spans="1:56" s="851" customFormat="1" ht="14.25" customHeight="1" x14ac:dyDescent="0.25">
      <c r="A250" s="806"/>
      <c r="B250" s="828" t="s">
        <v>1406</v>
      </c>
      <c r="C250" s="829" t="s">
        <v>723</v>
      </c>
      <c r="D250" s="829" t="s">
        <v>1401</v>
      </c>
      <c r="E250" s="830" t="s">
        <v>1440</v>
      </c>
      <c r="F250" s="833"/>
      <c r="G250" s="833"/>
      <c r="K250" s="900"/>
      <c r="L250" s="900"/>
      <c r="M250" s="900"/>
      <c r="N250" s="900"/>
      <c r="O250" s="900"/>
      <c r="P250" s="900"/>
      <c r="Q250" s="975"/>
      <c r="R250" s="975"/>
      <c r="S250" s="976"/>
      <c r="T250" s="977"/>
      <c r="U250" s="977"/>
      <c r="V250" s="977"/>
      <c r="W250" s="977"/>
      <c r="X250" s="977"/>
      <c r="Y250" s="977"/>
      <c r="Z250" s="977"/>
      <c r="AA250" s="977"/>
      <c r="AB250" s="977"/>
      <c r="AC250" s="977"/>
      <c r="AD250" s="977"/>
      <c r="AE250" s="977"/>
      <c r="AF250" s="977"/>
      <c r="AG250" s="977"/>
      <c r="AH250" s="977"/>
      <c r="AI250" s="977"/>
      <c r="AJ250" s="977"/>
      <c r="AK250" s="977"/>
      <c r="AL250" s="977"/>
      <c r="AM250" s="977"/>
      <c r="AN250" s="977"/>
      <c r="AO250" s="977"/>
      <c r="AP250" s="977"/>
      <c r="AQ250" s="977"/>
      <c r="AR250" s="977"/>
      <c r="AS250" s="977"/>
      <c r="AT250" s="977"/>
      <c r="AU250" s="977"/>
      <c r="AV250" s="977"/>
      <c r="AW250" s="977"/>
      <c r="AX250" s="977"/>
      <c r="AY250" s="977"/>
      <c r="AZ250" s="977"/>
      <c r="BA250" s="977"/>
      <c r="BB250" s="977"/>
      <c r="BC250" s="977"/>
      <c r="BD250" s="977"/>
    </row>
    <row r="251" spans="1:56" s="851" customFormat="1" ht="14.25" customHeight="1" x14ac:dyDescent="0.25">
      <c r="A251" s="806"/>
      <c r="B251" s="828" t="s">
        <v>1407</v>
      </c>
      <c r="C251" s="829" t="s">
        <v>695</v>
      </c>
      <c r="D251" s="829" t="s">
        <v>1401</v>
      </c>
      <c r="E251" s="830" t="s">
        <v>1438</v>
      </c>
      <c r="F251" s="833"/>
      <c r="G251" s="833"/>
      <c r="K251" s="900"/>
      <c r="L251" s="900"/>
      <c r="M251" s="900"/>
      <c r="N251" s="900"/>
      <c r="O251" s="900"/>
      <c r="P251" s="900"/>
      <c r="Q251" s="975"/>
      <c r="R251" s="975"/>
      <c r="S251" s="976"/>
      <c r="T251" s="977"/>
      <c r="U251" s="977"/>
      <c r="V251" s="977"/>
      <c r="W251" s="977"/>
      <c r="X251" s="977"/>
      <c r="Y251" s="977"/>
      <c r="Z251" s="977"/>
      <c r="AA251" s="977"/>
      <c r="AB251" s="977"/>
      <c r="AC251" s="977"/>
      <c r="AD251" s="977"/>
      <c r="AE251" s="977"/>
      <c r="AF251" s="977"/>
      <c r="AG251" s="977"/>
      <c r="AH251" s="977"/>
      <c r="AI251" s="977"/>
      <c r="AJ251" s="977"/>
      <c r="AK251" s="977"/>
      <c r="AL251" s="977"/>
      <c r="AM251" s="977"/>
      <c r="AN251" s="977"/>
      <c r="AO251" s="977"/>
      <c r="AP251" s="977"/>
      <c r="AQ251" s="977"/>
      <c r="AR251" s="977"/>
      <c r="AS251" s="977"/>
      <c r="AT251" s="977"/>
      <c r="AU251" s="977"/>
      <c r="AV251" s="977"/>
      <c r="AW251" s="977"/>
      <c r="AX251" s="977"/>
      <c r="AY251" s="977"/>
      <c r="AZ251" s="977"/>
      <c r="BA251" s="977"/>
      <c r="BB251" s="977"/>
      <c r="BC251" s="977"/>
      <c r="BD251" s="977"/>
    </row>
    <row r="252" spans="1:56" s="851" customFormat="1" ht="14.25" customHeight="1" x14ac:dyDescent="0.25">
      <c r="A252" s="806"/>
      <c r="B252" s="828" t="s">
        <v>1408</v>
      </c>
      <c r="C252" s="828"/>
      <c r="D252" s="828"/>
      <c r="E252" s="830"/>
      <c r="F252" s="833"/>
      <c r="G252" s="833"/>
      <c r="K252" s="900"/>
      <c r="L252" s="900"/>
      <c r="M252" s="900"/>
      <c r="N252" s="900"/>
      <c r="O252" s="900"/>
      <c r="P252" s="900"/>
      <c r="Q252" s="975"/>
      <c r="R252" s="975"/>
      <c r="S252" s="976"/>
      <c r="T252" s="977"/>
      <c r="U252" s="977"/>
      <c r="V252" s="977"/>
      <c r="W252" s="977"/>
      <c r="X252" s="977"/>
      <c r="Y252" s="977"/>
      <c r="Z252" s="977"/>
      <c r="AA252" s="977"/>
      <c r="AB252" s="977"/>
      <c r="AC252" s="977"/>
      <c r="AD252" s="977"/>
      <c r="AE252" s="977"/>
      <c r="AF252" s="977"/>
      <c r="AG252" s="977"/>
      <c r="AH252" s="977"/>
      <c r="AI252" s="977"/>
      <c r="AJ252" s="977"/>
      <c r="AK252" s="977"/>
      <c r="AL252" s="977"/>
      <c r="AM252" s="977"/>
      <c r="AN252" s="977"/>
      <c r="AO252" s="977"/>
      <c r="AP252" s="977"/>
      <c r="AQ252" s="977"/>
      <c r="AR252" s="977"/>
      <c r="AS252" s="977"/>
      <c r="AT252" s="977"/>
      <c r="AU252" s="977"/>
      <c r="AV252" s="977"/>
      <c r="AW252" s="977"/>
      <c r="AX252" s="977"/>
      <c r="AY252" s="977"/>
      <c r="AZ252" s="977"/>
      <c r="BA252" s="977"/>
      <c r="BB252" s="977"/>
      <c r="BC252" s="977"/>
      <c r="BD252" s="977"/>
    </row>
    <row r="253" spans="1:56" s="851" customFormat="1" ht="14.25" customHeight="1" x14ac:dyDescent="0.25">
      <c r="A253" s="806"/>
      <c r="B253" s="840" t="s">
        <v>1409</v>
      </c>
      <c r="C253" s="840"/>
      <c r="D253" s="840"/>
      <c r="E253" s="830"/>
      <c r="F253" s="833"/>
      <c r="G253" s="833"/>
      <c r="K253" s="900"/>
      <c r="L253" s="900"/>
      <c r="M253" s="900"/>
      <c r="N253" s="900"/>
      <c r="O253" s="900"/>
      <c r="P253" s="900"/>
      <c r="Q253" s="975"/>
      <c r="R253" s="975"/>
      <c r="S253" s="976"/>
      <c r="T253" s="977"/>
      <c r="U253" s="977"/>
      <c r="V253" s="977"/>
      <c r="W253" s="977"/>
      <c r="X253" s="977"/>
      <c r="Y253" s="977"/>
      <c r="Z253" s="977"/>
      <c r="AA253" s="977"/>
      <c r="AB253" s="977"/>
      <c r="AC253" s="977"/>
      <c r="AD253" s="977"/>
      <c r="AE253" s="977"/>
      <c r="AF253" s="977"/>
      <c r="AG253" s="977"/>
      <c r="AH253" s="977"/>
      <c r="AI253" s="977"/>
      <c r="AJ253" s="977"/>
      <c r="AK253" s="977"/>
      <c r="AL253" s="977"/>
      <c r="AM253" s="977"/>
      <c r="AN253" s="977"/>
      <c r="AO253" s="977"/>
      <c r="AP253" s="977"/>
      <c r="AQ253" s="977"/>
      <c r="AR253" s="977"/>
      <c r="AS253" s="977"/>
      <c r="AT253" s="977"/>
      <c r="AU253" s="977"/>
      <c r="AV253" s="977"/>
      <c r="AW253" s="977"/>
      <c r="AX253" s="977"/>
      <c r="AY253" s="977"/>
      <c r="AZ253" s="977"/>
      <c r="BA253" s="977"/>
      <c r="BB253" s="977"/>
      <c r="BC253" s="977"/>
      <c r="BD253" s="977"/>
    </row>
    <row r="254" spans="1:56" s="851" customFormat="1" ht="14.25" customHeight="1" x14ac:dyDescent="0.25">
      <c r="A254" s="806"/>
      <c r="B254" s="840" t="s">
        <v>1441</v>
      </c>
      <c r="C254" s="841" t="s">
        <v>1411</v>
      </c>
      <c r="D254" s="841" t="s">
        <v>1412</v>
      </c>
      <c r="E254" s="830" t="s">
        <v>1439</v>
      </c>
      <c r="F254" s="833"/>
      <c r="G254" s="833"/>
      <c r="K254" s="900"/>
      <c r="L254" s="900"/>
      <c r="M254" s="900"/>
      <c r="N254" s="900"/>
      <c r="O254" s="900"/>
      <c r="P254" s="900"/>
      <c r="Q254" s="975"/>
      <c r="R254" s="975"/>
      <c r="S254" s="976"/>
      <c r="T254" s="977"/>
      <c r="U254" s="977"/>
      <c r="V254" s="977"/>
      <c r="W254" s="977"/>
      <c r="X254" s="977"/>
      <c r="Y254" s="977"/>
      <c r="Z254" s="977"/>
      <c r="AA254" s="977"/>
      <c r="AB254" s="977"/>
      <c r="AC254" s="977"/>
      <c r="AD254" s="977"/>
      <c r="AE254" s="977"/>
      <c r="AF254" s="977"/>
      <c r="AG254" s="977"/>
      <c r="AH254" s="977"/>
      <c r="AI254" s="977"/>
      <c r="AJ254" s="977"/>
      <c r="AK254" s="977"/>
      <c r="AL254" s="977"/>
      <c r="AM254" s="977"/>
      <c r="AN254" s="977"/>
      <c r="AO254" s="977"/>
      <c r="AP254" s="977"/>
      <c r="AQ254" s="977"/>
      <c r="AR254" s="977"/>
      <c r="AS254" s="977"/>
      <c r="AT254" s="977"/>
      <c r="AU254" s="977"/>
      <c r="AV254" s="977"/>
      <c r="AW254" s="977"/>
      <c r="AX254" s="977"/>
      <c r="AY254" s="977"/>
      <c r="AZ254" s="977"/>
      <c r="BA254" s="977"/>
      <c r="BB254" s="977"/>
      <c r="BC254" s="977"/>
      <c r="BD254" s="977"/>
    </row>
    <row r="255" spans="1:56" s="851" customFormat="1" ht="14.25" customHeight="1" x14ac:dyDescent="0.25">
      <c r="A255" s="806"/>
      <c r="B255" s="840" t="s">
        <v>1442</v>
      </c>
      <c r="C255" s="841" t="s">
        <v>1414</v>
      </c>
      <c r="D255" s="841" t="s">
        <v>1412</v>
      </c>
      <c r="E255" s="830" t="s">
        <v>1438</v>
      </c>
      <c r="F255" s="833"/>
      <c r="G255" s="833"/>
      <c r="K255" s="900"/>
      <c r="L255" s="900"/>
      <c r="M255" s="900"/>
      <c r="N255" s="900"/>
      <c r="O255" s="900"/>
      <c r="P255" s="900"/>
      <c r="Q255" s="975"/>
      <c r="R255" s="975"/>
      <c r="S255" s="976"/>
      <c r="T255" s="977"/>
      <c r="U255" s="977"/>
      <c r="V255" s="977"/>
      <c r="W255" s="977"/>
      <c r="X255" s="977"/>
      <c r="Y255" s="977"/>
      <c r="Z255" s="977"/>
      <c r="AA255" s="977"/>
      <c r="AB255" s="977"/>
      <c r="AC255" s="977"/>
      <c r="AD255" s="977"/>
      <c r="AE255" s="977"/>
      <c r="AF255" s="977"/>
      <c r="AG255" s="977"/>
      <c r="AH255" s="977"/>
      <c r="AI255" s="977"/>
      <c r="AJ255" s="977"/>
      <c r="AK255" s="977"/>
      <c r="AL255" s="977"/>
      <c r="AM255" s="977"/>
      <c r="AN255" s="977"/>
      <c r="AO255" s="977"/>
      <c r="AP255" s="977"/>
      <c r="AQ255" s="977"/>
      <c r="AR255" s="977"/>
      <c r="AS255" s="977"/>
      <c r="AT255" s="977"/>
      <c r="AU255" s="977"/>
      <c r="AV255" s="977"/>
      <c r="AW255" s="977"/>
      <c r="AX255" s="977"/>
      <c r="AY255" s="977"/>
      <c r="AZ255" s="977"/>
      <c r="BA255" s="977"/>
      <c r="BB255" s="977"/>
      <c r="BC255" s="977"/>
      <c r="BD255" s="977"/>
    </row>
    <row r="256" spans="1:56" s="800" customFormat="1" ht="14.25" customHeight="1" x14ac:dyDescent="0.25">
      <c r="A256" s="799"/>
      <c r="B256" s="840" t="s">
        <v>1415</v>
      </c>
      <c r="C256" s="841" t="s">
        <v>1416</v>
      </c>
      <c r="D256" s="841" t="s">
        <v>1412</v>
      </c>
      <c r="E256" s="830" t="s">
        <v>1439</v>
      </c>
      <c r="F256" s="833"/>
      <c r="G256" s="833"/>
      <c r="K256" s="839"/>
      <c r="L256" s="839"/>
      <c r="M256" s="839"/>
      <c r="N256" s="839"/>
      <c r="O256" s="839"/>
      <c r="P256" s="839"/>
      <c r="Q256" s="978"/>
      <c r="R256" s="978"/>
      <c r="S256" s="979"/>
      <c r="T256" s="980"/>
      <c r="U256" s="980"/>
      <c r="V256" s="980"/>
      <c r="W256" s="980"/>
      <c r="X256" s="980"/>
      <c r="Y256" s="980"/>
      <c r="Z256" s="980"/>
      <c r="AA256" s="980"/>
      <c r="AB256" s="980"/>
      <c r="AC256" s="980"/>
      <c r="AD256" s="980"/>
      <c r="AE256" s="980"/>
      <c r="AF256" s="980"/>
      <c r="AG256" s="980"/>
      <c r="AH256" s="980"/>
      <c r="AI256" s="980"/>
      <c r="AJ256" s="980"/>
      <c r="AK256" s="980"/>
      <c r="AL256" s="980"/>
      <c r="AM256" s="980"/>
      <c r="AN256" s="980"/>
      <c r="AO256" s="980"/>
      <c r="AP256" s="980"/>
      <c r="AQ256" s="980"/>
      <c r="AR256" s="980"/>
      <c r="AS256" s="980"/>
      <c r="AT256" s="980"/>
      <c r="AU256" s="980"/>
      <c r="AV256" s="980"/>
      <c r="AW256" s="980"/>
      <c r="AX256" s="980"/>
      <c r="AY256" s="980"/>
      <c r="AZ256" s="980"/>
      <c r="BA256" s="980"/>
      <c r="BB256" s="980"/>
      <c r="BC256" s="980"/>
      <c r="BD256" s="980"/>
    </row>
    <row r="257" spans="1:56" s="800" customFormat="1" ht="14.25" customHeight="1" x14ac:dyDescent="0.25">
      <c r="A257" s="799"/>
      <c r="B257" s="828" t="s">
        <v>1417</v>
      </c>
      <c r="C257" s="828"/>
      <c r="D257" s="828"/>
      <c r="E257" s="830" t="s">
        <v>1440</v>
      </c>
      <c r="F257" s="833"/>
      <c r="G257" s="833"/>
      <c r="K257" s="839"/>
      <c r="L257" s="839"/>
      <c r="M257" s="839"/>
      <c r="N257" s="839"/>
      <c r="O257" s="839"/>
      <c r="P257" s="839"/>
      <c r="Q257" s="978"/>
      <c r="R257" s="978"/>
      <c r="S257" s="979"/>
      <c r="T257" s="980"/>
      <c r="U257" s="980"/>
      <c r="V257" s="980"/>
      <c r="W257" s="980"/>
      <c r="X257" s="980"/>
      <c r="Y257" s="980"/>
      <c r="Z257" s="980"/>
      <c r="AA257" s="980"/>
      <c r="AB257" s="980"/>
      <c r="AC257" s="980"/>
      <c r="AD257" s="980"/>
      <c r="AE257" s="980"/>
      <c r="AF257" s="980"/>
      <c r="AG257" s="980"/>
      <c r="AH257" s="980"/>
      <c r="AI257" s="980"/>
      <c r="AJ257" s="980"/>
      <c r="AK257" s="980"/>
      <c r="AL257" s="980"/>
      <c r="AM257" s="980"/>
      <c r="AN257" s="980"/>
      <c r="AO257" s="980"/>
      <c r="AP257" s="980"/>
      <c r="AQ257" s="980"/>
      <c r="AR257" s="980"/>
      <c r="AS257" s="980"/>
      <c r="AT257" s="980"/>
      <c r="AU257" s="980"/>
      <c r="AV257" s="980"/>
      <c r="AW257" s="980"/>
      <c r="AX257" s="980"/>
      <c r="AY257" s="980"/>
      <c r="AZ257" s="980"/>
      <c r="BA257" s="980"/>
      <c r="BB257" s="980"/>
      <c r="BC257" s="980"/>
      <c r="BD257" s="980"/>
    </row>
    <row r="258" spans="1:56" s="800" customFormat="1" ht="14.25" customHeight="1" x14ac:dyDescent="0.25">
      <c r="A258" s="799"/>
      <c r="B258" s="840" t="s">
        <v>1418</v>
      </c>
      <c r="C258" s="841" t="s">
        <v>1419</v>
      </c>
      <c r="D258" s="829" t="s">
        <v>1401</v>
      </c>
      <c r="E258" s="830" t="s">
        <v>1438</v>
      </c>
      <c r="F258" s="833"/>
      <c r="G258" s="833"/>
      <c r="K258" s="839"/>
      <c r="L258" s="839"/>
      <c r="M258" s="839"/>
      <c r="N258" s="839"/>
      <c r="O258" s="839"/>
      <c r="P258" s="839"/>
      <c r="Q258" s="978"/>
      <c r="R258" s="978"/>
      <c r="S258" s="979"/>
      <c r="T258" s="980"/>
      <c r="U258" s="980"/>
      <c r="V258" s="980"/>
      <c r="W258" s="980"/>
      <c r="X258" s="980"/>
      <c r="Y258" s="980"/>
      <c r="Z258" s="980"/>
      <c r="AA258" s="980"/>
      <c r="AB258" s="980"/>
      <c r="AC258" s="980"/>
      <c r="AD258" s="980"/>
      <c r="AE258" s="980"/>
      <c r="AF258" s="980"/>
      <c r="AG258" s="980"/>
      <c r="AH258" s="980"/>
      <c r="AI258" s="980"/>
      <c r="AJ258" s="980"/>
      <c r="AK258" s="980"/>
      <c r="AL258" s="980"/>
      <c r="AM258" s="980"/>
      <c r="AN258" s="980"/>
      <c r="AO258" s="980"/>
      <c r="AP258" s="980"/>
      <c r="AQ258" s="980"/>
      <c r="AR258" s="980"/>
      <c r="AS258" s="980"/>
      <c r="AT258" s="980"/>
      <c r="AU258" s="980"/>
      <c r="AV258" s="980"/>
      <c r="AW258" s="980"/>
      <c r="AX258" s="980"/>
      <c r="AY258" s="980"/>
      <c r="AZ258" s="980"/>
      <c r="BA258" s="980"/>
      <c r="BB258" s="980"/>
      <c r="BC258" s="980"/>
      <c r="BD258" s="980"/>
    </row>
    <row r="259" spans="1:56" s="800" customFormat="1" ht="14.25" customHeight="1" x14ac:dyDescent="0.25">
      <c r="A259" s="799"/>
      <c r="B259" s="840" t="s">
        <v>1420</v>
      </c>
      <c r="C259" s="841" t="s">
        <v>1421</v>
      </c>
      <c r="D259" s="829" t="s">
        <v>1401</v>
      </c>
      <c r="E259" s="830" t="s">
        <v>1439</v>
      </c>
      <c r="F259" s="833"/>
      <c r="G259" s="833"/>
      <c r="K259" s="839"/>
      <c r="L259" s="839"/>
      <c r="M259" s="839"/>
      <c r="N259" s="839"/>
      <c r="O259" s="839"/>
      <c r="P259" s="839"/>
      <c r="Q259" s="978"/>
      <c r="R259" s="978"/>
      <c r="S259" s="979"/>
      <c r="T259" s="980"/>
      <c r="U259" s="980"/>
      <c r="V259" s="980"/>
      <c r="W259" s="980"/>
      <c r="X259" s="980"/>
      <c r="Y259" s="980"/>
      <c r="Z259" s="980"/>
      <c r="AA259" s="980"/>
      <c r="AB259" s="980"/>
      <c r="AC259" s="980"/>
      <c r="AD259" s="980"/>
      <c r="AE259" s="980"/>
      <c r="AF259" s="980"/>
      <c r="AG259" s="980"/>
      <c r="AH259" s="980"/>
      <c r="AI259" s="980"/>
      <c r="AJ259" s="980"/>
      <c r="AK259" s="980"/>
      <c r="AL259" s="980"/>
      <c r="AM259" s="980"/>
      <c r="AN259" s="980"/>
      <c r="AO259" s="980"/>
      <c r="AP259" s="980"/>
      <c r="AQ259" s="980"/>
      <c r="AR259" s="980"/>
      <c r="AS259" s="980"/>
      <c r="AT259" s="980"/>
      <c r="AU259" s="980"/>
      <c r="AV259" s="980"/>
      <c r="AW259" s="980"/>
      <c r="AX259" s="980"/>
      <c r="AY259" s="980"/>
      <c r="AZ259" s="980"/>
      <c r="BA259" s="980"/>
      <c r="BB259" s="980"/>
      <c r="BC259" s="980"/>
      <c r="BD259" s="980"/>
    </row>
    <row r="260" spans="1:56" s="800" customFormat="1" ht="14.25" customHeight="1" x14ac:dyDescent="0.25">
      <c r="A260" s="799"/>
      <c r="B260" s="828" t="s">
        <v>1422</v>
      </c>
      <c r="C260" s="828"/>
      <c r="D260" s="828"/>
      <c r="E260" s="830" t="s">
        <v>1440</v>
      </c>
      <c r="F260" s="833"/>
      <c r="G260" s="833"/>
      <c r="K260" s="839"/>
      <c r="L260" s="839"/>
      <c r="M260" s="839"/>
      <c r="N260" s="839"/>
      <c r="O260" s="839"/>
      <c r="P260" s="839"/>
      <c r="Q260" s="978"/>
      <c r="R260" s="978"/>
      <c r="S260" s="979"/>
      <c r="T260" s="980"/>
      <c r="U260" s="980"/>
      <c r="V260" s="980"/>
      <c r="W260" s="980"/>
      <c r="X260" s="980"/>
      <c r="Y260" s="980"/>
      <c r="Z260" s="980"/>
      <c r="AA260" s="980"/>
      <c r="AB260" s="980"/>
      <c r="AC260" s="980"/>
      <c r="AD260" s="980"/>
      <c r="AE260" s="980"/>
      <c r="AF260" s="980"/>
      <c r="AG260" s="980"/>
      <c r="AH260" s="980"/>
      <c r="AI260" s="980"/>
      <c r="AJ260" s="980"/>
      <c r="AK260" s="980"/>
      <c r="AL260" s="980"/>
      <c r="AM260" s="980"/>
      <c r="AN260" s="980"/>
      <c r="AO260" s="980"/>
      <c r="AP260" s="980"/>
      <c r="AQ260" s="980"/>
      <c r="AR260" s="980"/>
      <c r="AS260" s="980"/>
      <c r="AT260" s="980"/>
      <c r="AU260" s="980"/>
      <c r="AV260" s="980"/>
      <c r="AW260" s="980"/>
      <c r="AX260" s="980"/>
      <c r="AY260" s="980"/>
      <c r="AZ260" s="980"/>
      <c r="BA260" s="980"/>
      <c r="BB260" s="980"/>
      <c r="BC260" s="980"/>
      <c r="BD260" s="980"/>
    </row>
    <row r="261" spans="1:56" s="800" customFormat="1" ht="14.25" customHeight="1" x14ac:dyDescent="0.25">
      <c r="A261" s="799"/>
      <c r="B261" s="840" t="s">
        <v>1423</v>
      </c>
      <c r="C261" s="841" t="s">
        <v>1424</v>
      </c>
      <c r="D261" s="841" t="s">
        <v>1412</v>
      </c>
      <c r="E261" s="830" t="s">
        <v>1438</v>
      </c>
      <c r="F261" s="833"/>
      <c r="G261" s="833"/>
      <c r="K261" s="839"/>
      <c r="L261" s="839"/>
      <c r="M261" s="839"/>
      <c r="N261" s="839"/>
      <c r="O261" s="839"/>
      <c r="P261" s="839"/>
      <c r="Q261" s="978"/>
      <c r="R261" s="978"/>
      <c r="S261" s="979"/>
      <c r="T261" s="980"/>
      <c r="U261" s="980"/>
      <c r="V261" s="980"/>
      <c r="W261" s="980"/>
      <c r="X261" s="980"/>
      <c r="Y261" s="980"/>
      <c r="Z261" s="980"/>
      <c r="AA261" s="980"/>
      <c r="AB261" s="980"/>
      <c r="AC261" s="980"/>
      <c r="AD261" s="980"/>
      <c r="AE261" s="980"/>
      <c r="AF261" s="980"/>
      <c r="AG261" s="980"/>
      <c r="AH261" s="980"/>
      <c r="AI261" s="980"/>
      <c r="AJ261" s="980"/>
      <c r="AK261" s="980"/>
      <c r="AL261" s="980"/>
      <c r="AM261" s="980"/>
      <c r="AN261" s="980"/>
      <c r="AO261" s="980"/>
      <c r="AP261" s="980"/>
      <c r="AQ261" s="980"/>
      <c r="AR261" s="980"/>
      <c r="AS261" s="980"/>
      <c r="AT261" s="980"/>
      <c r="AU261" s="980"/>
      <c r="AV261" s="980"/>
      <c r="AW261" s="980"/>
      <c r="AX261" s="980"/>
      <c r="AY261" s="980"/>
      <c r="AZ261" s="980"/>
      <c r="BA261" s="980"/>
      <c r="BB261" s="980"/>
      <c r="BC261" s="980"/>
      <c r="BD261" s="980"/>
    </row>
    <row r="262" spans="1:56" s="800" customFormat="1" ht="14.25" customHeight="1" x14ac:dyDescent="0.25">
      <c r="A262" s="799"/>
      <c r="B262" s="840" t="s">
        <v>1425</v>
      </c>
      <c r="C262" s="841" t="s">
        <v>1426</v>
      </c>
      <c r="D262" s="829" t="s">
        <v>1401</v>
      </c>
      <c r="E262" s="830" t="s">
        <v>1439</v>
      </c>
      <c r="F262" s="833"/>
      <c r="G262" s="833"/>
      <c r="K262" s="839"/>
      <c r="L262" s="839"/>
      <c r="M262" s="839"/>
      <c r="N262" s="839"/>
      <c r="O262" s="839"/>
      <c r="P262" s="839"/>
      <c r="Q262" s="978"/>
      <c r="R262" s="978"/>
      <c r="S262" s="979"/>
      <c r="T262" s="980"/>
      <c r="U262" s="980"/>
      <c r="V262" s="980"/>
      <c r="W262" s="980"/>
      <c r="X262" s="980"/>
      <c r="Y262" s="980"/>
      <c r="Z262" s="980"/>
      <c r="AA262" s="980"/>
      <c r="AB262" s="980"/>
      <c r="AC262" s="980"/>
      <c r="AD262" s="980"/>
      <c r="AE262" s="980"/>
      <c r="AF262" s="980"/>
      <c r="AG262" s="980"/>
      <c r="AH262" s="980"/>
      <c r="AI262" s="980"/>
      <c r="AJ262" s="980"/>
      <c r="AK262" s="980"/>
      <c r="AL262" s="980"/>
      <c r="AM262" s="980"/>
      <c r="AN262" s="980"/>
      <c r="AO262" s="980"/>
      <c r="AP262" s="980"/>
      <c r="AQ262" s="980"/>
      <c r="AR262" s="980"/>
      <c r="AS262" s="980"/>
      <c r="AT262" s="980"/>
      <c r="AU262" s="980"/>
      <c r="AV262" s="980"/>
      <c r="AW262" s="980"/>
      <c r="AX262" s="980"/>
      <c r="AY262" s="980"/>
      <c r="AZ262" s="980"/>
      <c r="BA262" s="980"/>
      <c r="BB262" s="980"/>
      <c r="BC262" s="980"/>
      <c r="BD262" s="980"/>
    </row>
    <row r="263" spans="1:56" s="800" customFormat="1" ht="14.25" customHeight="1" x14ac:dyDescent="0.25">
      <c r="A263" s="799"/>
      <c r="B263" s="840" t="s">
        <v>1427</v>
      </c>
      <c r="C263" s="841" t="s">
        <v>1428</v>
      </c>
      <c r="D263" s="829" t="s">
        <v>1401</v>
      </c>
      <c r="E263" s="830" t="s">
        <v>1438</v>
      </c>
      <c r="F263" s="833"/>
      <c r="G263" s="833"/>
      <c r="K263" s="839"/>
      <c r="L263" s="839"/>
      <c r="M263" s="839"/>
      <c r="N263" s="839"/>
      <c r="O263" s="839"/>
      <c r="P263" s="839"/>
      <c r="Q263" s="978"/>
      <c r="R263" s="978"/>
      <c r="S263" s="979"/>
      <c r="T263" s="980"/>
      <c r="U263" s="980"/>
      <c r="V263" s="980"/>
      <c r="W263" s="980"/>
      <c r="X263" s="980"/>
      <c r="Y263" s="980"/>
      <c r="Z263" s="980"/>
      <c r="AA263" s="980"/>
      <c r="AB263" s="980"/>
      <c r="AC263" s="980"/>
      <c r="AD263" s="980"/>
      <c r="AE263" s="980"/>
      <c r="AF263" s="980"/>
      <c r="AG263" s="980"/>
      <c r="AH263" s="980"/>
      <c r="AI263" s="980"/>
      <c r="AJ263" s="980"/>
      <c r="AK263" s="980"/>
      <c r="AL263" s="980"/>
      <c r="AM263" s="980"/>
      <c r="AN263" s="980"/>
      <c r="AO263" s="980"/>
      <c r="AP263" s="980"/>
      <c r="AQ263" s="980"/>
      <c r="AR263" s="980"/>
      <c r="AS263" s="980"/>
      <c r="AT263" s="980"/>
      <c r="AU263" s="980"/>
      <c r="AV263" s="980"/>
      <c r="AW263" s="980"/>
      <c r="AX263" s="980"/>
      <c r="AY263" s="980"/>
      <c r="AZ263" s="980"/>
      <c r="BA263" s="980"/>
      <c r="BB263" s="980"/>
      <c r="BC263" s="980"/>
      <c r="BD263" s="980"/>
    </row>
    <row r="264" spans="1:56" s="800" customFormat="1" ht="14.25" customHeight="1" x14ac:dyDescent="0.25">
      <c r="A264" s="799"/>
      <c r="B264" s="840" t="s">
        <v>1429</v>
      </c>
      <c r="C264" s="841" t="s">
        <v>1430</v>
      </c>
      <c r="D264" s="829" t="s">
        <v>1401</v>
      </c>
      <c r="E264" s="830" t="s">
        <v>1439</v>
      </c>
      <c r="F264" s="833"/>
      <c r="G264" s="833"/>
      <c r="K264" s="839"/>
      <c r="L264" s="839"/>
      <c r="M264" s="839"/>
      <c r="N264" s="839"/>
      <c r="O264" s="839"/>
      <c r="P264" s="839"/>
      <c r="Q264" s="978"/>
      <c r="R264" s="978"/>
      <c r="S264" s="979"/>
      <c r="T264" s="980"/>
      <c r="U264" s="980"/>
      <c r="V264" s="980"/>
      <c r="W264" s="980"/>
      <c r="X264" s="980"/>
      <c r="Y264" s="980"/>
      <c r="Z264" s="980"/>
      <c r="AA264" s="980"/>
      <c r="AB264" s="980"/>
      <c r="AC264" s="980"/>
      <c r="AD264" s="980"/>
      <c r="AE264" s="980"/>
      <c r="AF264" s="980"/>
      <c r="AG264" s="980"/>
      <c r="AH264" s="980"/>
      <c r="AI264" s="980"/>
      <c r="AJ264" s="980"/>
      <c r="AK264" s="980"/>
      <c r="AL264" s="980"/>
      <c r="AM264" s="980"/>
      <c r="AN264" s="980"/>
      <c r="AO264" s="980"/>
      <c r="AP264" s="980"/>
      <c r="AQ264" s="980"/>
      <c r="AR264" s="980"/>
      <c r="AS264" s="980"/>
      <c r="AT264" s="980"/>
      <c r="AU264" s="980"/>
      <c r="AV264" s="980"/>
      <c r="AW264" s="980"/>
      <c r="AX264" s="980"/>
      <c r="AY264" s="980"/>
      <c r="AZ264" s="980"/>
      <c r="BA264" s="980"/>
      <c r="BB264" s="980"/>
      <c r="BC264" s="980"/>
      <c r="BD264" s="980"/>
    </row>
    <row r="265" spans="1:56" s="800" customFormat="1" ht="14.25" customHeight="1" x14ac:dyDescent="0.25">
      <c r="A265" s="799"/>
      <c r="B265" s="828" t="s">
        <v>1431</v>
      </c>
      <c r="C265" s="829" t="s">
        <v>1432</v>
      </c>
      <c r="D265" s="829"/>
      <c r="E265" s="936"/>
      <c r="F265" s="833"/>
      <c r="G265" s="833"/>
      <c r="K265" s="839"/>
      <c r="L265" s="839"/>
      <c r="M265" s="839"/>
      <c r="N265" s="839"/>
      <c r="O265" s="839"/>
      <c r="P265" s="839"/>
      <c r="Q265" s="978"/>
      <c r="R265" s="978"/>
      <c r="S265" s="979"/>
      <c r="T265" s="980"/>
      <c r="U265" s="980"/>
      <c r="V265" s="980"/>
      <c r="W265" s="980"/>
      <c r="X265" s="980"/>
      <c r="Y265" s="980"/>
      <c r="Z265" s="980"/>
      <c r="AA265" s="980"/>
      <c r="AB265" s="980"/>
      <c r="AC265" s="980"/>
      <c r="AD265" s="980"/>
      <c r="AE265" s="980"/>
      <c r="AF265" s="980"/>
      <c r="AG265" s="980"/>
      <c r="AH265" s="980"/>
      <c r="AI265" s="980"/>
      <c r="AJ265" s="980"/>
      <c r="AK265" s="980"/>
      <c r="AL265" s="980"/>
      <c r="AM265" s="980"/>
      <c r="AN265" s="980"/>
      <c r="AO265" s="980"/>
      <c r="AP265" s="980"/>
      <c r="AQ265" s="980"/>
      <c r="AR265" s="980"/>
      <c r="AS265" s="980"/>
      <c r="AT265" s="980"/>
      <c r="AU265" s="980"/>
      <c r="AV265" s="980"/>
      <c r="AW265" s="980"/>
      <c r="AX265" s="980"/>
      <c r="AY265" s="980"/>
      <c r="AZ265" s="980"/>
      <c r="BA265" s="980"/>
      <c r="BB265" s="980"/>
      <c r="BC265" s="980"/>
      <c r="BD265" s="980"/>
    </row>
    <row r="266" spans="1:56" s="800" customFormat="1" ht="14.25" customHeight="1" x14ac:dyDescent="0.25">
      <c r="A266" s="969"/>
      <c r="B266" s="844" t="s">
        <v>467</v>
      </c>
      <c r="C266" s="844"/>
      <c r="D266" s="844"/>
      <c r="E266" s="845"/>
      <c r="F266" s="844"/>
      <c r="G266" s="844"/>
      <c r="H266" s="844"/>
      <c r="I266" s="844"/>
      <c r="J266" s="844"/>
      <c r="K266" s="888"/>
      <c r="L266" s="888"/>
      <c r="M266" s="888"/>
      <c r="N266" s="888"/>
      <c r="O266" s="888"/>
      <c r="P266" s="888"/>
      <c r="Q266" s="869"/>
      <c r="R266" s="869">
        <v>0</v>
      </c>
      <c r="S266" s="870">
        <v>0</v>
      </c>
      <c r="T266" s="931">
        <f>T240/S240 - 1</f>
        <v>-8.11043871266931E-2</v>
      </c>
      <c r="U266" s="931">
        <f t="shared" ref="U266:AD266" si="105">U240/T240 - 1</f>
        <v>0</v>
      </c>
      <c r="V266" s="931">
        <f t="shared" si="105"/>
        <v>0.16075633587581439</v>
      </c>
      <c r="W266" s="931">
        <f t="shared" si="105"/>
        <v>2.5458212500494515E-2</v>
      </c>
      <c r="X266" s="931">
        <f t="shared" si="105"/>
        <v>2.6297898165205336E-2</v>
      </c>
      <c r="Y266" s="931">
        <f t="shared" si="105"/>
        <v>1.1602678238641806E-2</v>
      </c>
      <c r="Z266" s="931">
        <f t="shared" si="105"/>
        <v>1.3956354400692428E-2</v>
      </c>
      <c r="AA266" s="931">
        <f t="shared" si="105"/>
        <v>0</v>
      </c>
      <c r="AB266" s="931">
        <f t="shared" si="105"/>
        <v>0</v>
      </c>
      <c r="AC266" s="931">
        <f t="shared" si="105"/>
        <v>0</v>
      </c>
      <c r="AD266" s="931">
        <f t="shared" si="105"/>
        <v>0</v>
      </c>
      <c r="AE266" s="906"/>
      <c r="AF266" s="906"/>
      <c r="AG266" s="906"/>
      <c r="AH266" s="906"/>
      <c r="AI266" s="906">
        <v>0</v>
      </c>
      <c r="AJ266" s="906">
        <v>0</v>
      </c>
      <c r="AK266" s="906">
        <v>0</v>
      </c>
      <c r="AL266" s="906">
        <v>0</v>
      </c>
      <c r="AM266" s="906">
        <v>0</v>
      </c>
      <c r="AN266" s="906">
        <v>0</v>
      </c>
      <c r="AO266" s="906">
        <v>0</v>
      </c>
      <c r="AP266" s="906">
        <v>0</v>
      </c>
      <c r="AQ266" s="906"/>
      <c r="AR266" s="906"/>
      <c r="AS266" s="906"/>
      <c r="AT266" s="906"/>
      <c r="AU266" s="906"/>
      <c r="AV266" s="906"/>
      <c r="AW266" s="906"/>
      <c r="AX266" s="906"/>
      <c r="AY266" s="906"/>
      <c r="AZ266" s="906"/>
      <c r="BA266" s="906"/>
      <c r="BB266" s="906"/>
      <c r="BC266" s="906"/>
      <c r="BD266" s="906"/>
    </row>
    <row r="267" spans="1:56" s="800" customFormat="1" ht="14.25" customHeight="1" x14ac:dyDescent="0.25">
      <c r="A267" s="799"/>
      <c r="B267" s="851"/>
      <c r="C267" s="851"/>
      <c r="D267" s="851"/>
      <c r="E267" s="852"/>
      <c r="F267" s="851"/>
      <c r="G267" s="851"/>
      <c r="H267" s="851"/>
      <c r="I267" s="851"/>
      <c r="J267" s="851"/>
      <c r="K267" s="900"/>
      <c r="L267" s="900"/>
      <c r="M267" s="900"/>
      <c r="N267" s="900"/>
      <c r="O267" s="900"/>
      <c r="P267" s="900"/>
      <c r="Q267" s="900"/>
      <c r="R267" s="900"/>
      <c r="S267" s="939"/>
      <c r="T267" s="2349" t="s">
        <v>1483</v>
      </c>
      <c r="U267" s="2350"/>
      <c r="V267" s="2350"/>
      <c r="W267" s="2350"/>
      <c r="X267" s="2350"/>
      <c r="Y267" s="2350"/>
      <c r="Z267" s="2350"/>
      <c r="AA267" s="2350"/>
      <c r="AB267" s="2350"/>
      <c r="AC267" s="2350"/>
      <c r="AD267" s="2350"/>
      <c r="AE267" s="2350"/>
      <c r="AF267" s="2350"/>
      <c r="AG267" s="2350"/>
      <c r="AH267" s="2350"/>
      <c r="AI267" s="900"/>
      <c r="AJ267" s="900"/>
      <c r="AK267" s="900"/>
      <c r="AL267" s="900"/>
      <c r="AM267" s="900"/>
      <c r="AN267" s="900"/>
      <c r="AO267" s="900"/>
      <c r="AP267" s="900"/>
      <c r="AQ267" s="900"/>
      <c r="AR267" s="900"/>
      <c r="AS267" s="900"/>
      <c r="AT267" s="900"/>
      <c r="AU267" s="900"/>
      <c r="AV267" s="900"/>
      <c r="AW267" s="900"/>
      <c r="AX267" s="900"/>
      <c r="AY267" s="900"/>
      <c r="AZ267" s="900"/>
      <c r="BA267" s="900"/>
      <c r="BB267" s="900"/>
      <c r="BC267" s="900"/>
      <c r="BD267" s="900"/>
    </row>
    <row r="268" spans="1:56" ht="14.25" customHeight="1" x14ac:dyDescent="0.25">
      <c r="B268" s="965"/>
      <c r="C268" s="965"/>
      <c r="D268" s="965"/>
      <c r="E268" s="965"/>
      <c r="F268" s="965"/>
      <c r="G268" s="965"/>
      <c r="H268" s="965"/>
      <c r="I268" s="965"/>
      <c r="J268" s="965"/>
      <c r="K268" s="966"/>
      <c r="L268" s="966"/>
      <c r="M268" s="966"/>
      <c r="N268" s="966"/>
      <c r="O268" s="966"/>
      <c r="P268" s="966"/>
      <c r="Q268" s="966"/>
      <c r="R268" s="966"/>
      <c r="S268" s="968"/>
      <c r="T268" s="966"/>
      <c r="U268" s="966"/>
      <c r="V268" s="966"/>
      <c r="W268" s="966"/>
      <c r="X268" s="966"/>
      <c r="Y268" s="966"/>
      <c r="Z268" s="966"/>
      <c r="AA268" s="966"/>
      <c r="AB268" s="966"/>
      <c r="AC268" s="966"/>
      <c r="AD268" s="966"/>
      <c r="AE268" s="966"/>
      <c r="AF268" s="966"/>
      <c r="AG268" s="966"/>
      <c r="AH268" s="966"/>
      <c r="AI268" s="966"/>
      <c r="AJ268" s="966"/>
      <c r="AK268" s="966"/>
      <c r="AL268" s="966"/>
      <c r="AM268" s="966"/>
      <c r="AN268" s="966"/>
      <c r="AO268" s="966"/>
      <c r="AP268" s="966"/>
      <c r="AQ268" s="966"/>
      <c r="AR268" s="966"/>
      <c r="AS268" s="966"/>
      <c r="AT268" s="966"/>
      <c r="AU268" s="966"/>
      <c r="AV268" s="966"/>
      <c r="AW268" s="966"/>
      <c r="AX268" s="966"/>
      <c r="AY268" s="966"/>
      <c r="AZ268" s="966"/>
      <c r="BA268" s="966"/>
      <c r="BB268" s="966"/>
      <c r="BC268" s="966"/>
      <c r="BD268" s="966"/>
    </row>
    <row r="269" spans="1:56" x14ac:dyDescent="0.25">
      <c r="B269" s="818" t="s">
        <v>1468</v>
      </c>
      <c r="C269" s="818"/>
      <c r="D269" s="818"/>
      <c r="E269" s="819"/>
      <c r="F269" s="819"/>
      <c r="G269" s="819"/>
      <c r="H269" s="819"/>
      <c r="I269" s="819"/>
      <c r="J269" s="819"/>
      <c r="K269" s="819"/>
      <c r="L269" s="819"/>
      <c r="M269" s="819"/>
      <c r="N269" s="819"/>
      <c r="O269" s="819"/>
      <c r="P269" s="819"/>
      <c r="Q269" s="819"/>
      <c r="R269" s="819"/>
      <c r="S269" s="820"/>
      <c r="T269" s="819"/>
      <c r="U269" s="819"/>
      <c r="V269" s="819"/>
      <c r="W269" s="819"/>
      <c r="X269" s="819"/>
      <c r="Y269" s="819"/>
      <c r="Z269" s="819"/>
      <c r="AA269" s="819"/>
      <c r="AB269" s="819"/>
      <c r="AC269" s="819"/>
      <c r="AD269" s="819"/>
      <c r="AE269" s="819"/>
      <c r="AF269" s="819"/>
      <c r="AG269" s="819"/>
      <c r="AH269" s="819"/>
      <c r="AI269" s="819"/>
      <c r="AJ269" s="819"/>
      <c r="AK269" s="819"/>
      <c r="AL269" s="819"/>
      <c r="AM269" s="819"/>
      <c r="AN269" s="819"/>
      <c r="AO269" s="819"/>
      <c r="AP269" s="819"/>
      <c r="AQ269" s="819"/>
      <c r="AR269" s="819"/>
      <c r="AS269" s="819"/>
      <c r="AT269" s="819"/>
      <c r="AU269" s="819"/>
      <c r="AV269" s="819"/>
      <c r="AW269" s="819"/>
      <c r="AX269" s="819"/>
      <c r="AY269" s="819"/>
      <c r="AZ269" s="819"/>
      <c r="BA269" s="819"/>
      <c r="BB269" s="819"/>
      <c r="BC269" s="819"/>
      <c r="BD269" s="819"/>
    </row>
    <row r="270" spans="1:56" x14ac:dyDescent="0.25">
      <c r="B270" s="981"/>
      <c r="C270" s="981"/>
      <c r="D270" s="981"/>
      <c r="O270" s="884"/>
      <c r="P270" s="884"/>
      <c r="Q270" s="821"/>
      <c r="R270" s="821"/>
      <c r="S270" s="822"/>
      <c r="T270" s="821"/>
      <c r="U270" s="821"/>
    </row>
    <row r="271" spans="1:56" s="825" customFormat="1" x14ac:dyDescent="0.25">
      <c r="A271" s="823">
        <v>1</v>
      </c>
      <c r="B271" s="824" t="s">
        <v>1469</v>
      </c>
      <c r="C271" s="824"/>
      <c r="D271" s="824"/>
      <c r="S271" s="982"/>
    </row>
    <row r="272" spans="1:56" s="901" customFormat="1" x14ac:dyDescent="0.25">
      <c r="A272" s="983"/>
      <c r="B272" s="828" t="s">
        <v>1400</v>
      </c>
      <c r="C272" s="829" t="s">
        <v>714</v>
      </c>
      <c r="D272" s="829" t="s">
        <v>1401</v>
      </c>
      <c r="E272" s="830" t="s">
        <v>1438</v>
      </c>
      <c r="F272" s="833"/>
      <c r="G272" s="833"/>
      <c r="L272" s="880"/>
      <c r="M272" s="880"/>
      <c r="N272" s="880"/>
      <c r="O272" s="880"/>
      <c r="P272" s="880"/>
      <c r="Q272" s="984"/>
      <c r="R272" s="984"/>
      <c r="S272" s="985"/>
      <c r="T272" s="986"/>
      <c r="U272" s="986"/>
      <c r="V272" s="986"/>
      <c r="W272" s="986"/>
      <c r="X272" s="986"/>
      <c r="Y272" s="986"/>
      <c r="Z272" s="986"/>
      <c r="AA272" s="986"/>
      <c r="AB272" s="986"/>
      <c r="AC272" s="986"/>
      <c r="AD272" s="986"/>
      <c r="AE272" s="986"/>
      <c r="AF272" s="986"/>
      <c r="AG272" s="986"/>
      <c r="AH272" s="986"/>
      <c r="AI272" s="986"/>
      <c r="AJ272" s="986"/>
      <c r="AK272" s="986"/>
      <c r="AL272" s="986"/>
      <c r="AM272" s="986"/>
      <c r="AN272" s="986"/>
      <c r="AO272" s="986"/>
      <c r="AP272" s="986"/>
      <c r="AQ272" s="986"/>
      <c r="AR272" s="986"/>
      <c r="AS272" s="986"/>
      <c r="AT272" s="986"/>
      <c r="AU272" s="986"/>
      <c r="AV272" s="986"/>
      <c r="AW272" s="986"/>
      <c r="AX272" s="986"/>
      <c r="AY272" s="986"/>
      <c r="AZ272" s="986"/>
      <c r="BA272" s="986"/>
      <c r="BB272" s="986"/>
      <c r="BC272" s="986"/>
      <c r="BD272" s="986"/>
    </row>
    <row r="273" spans="1:56" s="901" customFormat="1" x14ac:dyDescent="0.25">
      <c r="A273" s="983"/>
      <c r="B273" s="828" t="s">
        <v>1402</v>
      </c>
      <c r="C273" s="829" t="s">
        <v>739</v>
      </c>
      <c r="D273" s="829" t="s">
        <v>1401</v>
      </c>
      <c r="E273" s="830" t="s">
        <v>1439</v>
      </c>
      <c r="F273" s="833"/>
      <c r="G273" s="833"/>
      <c r="L273" s="880"/>
      <c r="M273" s="880"/>
      <c r="N273" s="880"/>
      <c r="O273" s="880"/>
      <c r="P273" s="880"/>
      <c r="Q273" s="984"/>
      <c r="R273" s="984"/>
      <c r="S273" s="985"/>
      <c r="T273" s="986"/>
      <c r="U273" s="986"/>
      <c r="V273" s="986"/>
      <c r="W273" s="986"/>
      <c r="X273" s="986"/>
      <c r="Y273" s="986"/>
      <c r="Z273" s="986"/>
      <c r="AA273" s="986"/>
      <c r="AB273" s="986"/>
      <c r="AC273" s="986"/>
      <c r="AD273" s="986"/>
      <c r="AE273" s="986"/>
      <c r="AF273" s="986"/>
      <c r="AG273" s="986"/>
      <c r="AH273" s="986"/>
      <c r="AI273" s="986"/>
      <c r="AJ273" s="986"/>
      <c r="AK273" s="986"/>
      <c r="AL273" s="986"/>
      <c r="AM273" s="986"/>
      <c r="AN273" s="986"/>
      <c r="AO273" s="986"/>
      <c r="AP273" s="986"/>
      <c r="AQ273" s="986"/>
      <c r="AR273" s="986"/>
      <c r="AS273" s="986"/>
      <c r="AT273" s="986"/>
      <c r="AU273" s="986"/>
      <c r="AV273" s="986"/>
      <c r="AW273" s="986"/>
      <c r="AX273" s="986"/>
      <c r="AY273" s="986"/>
      <c r="AZ273" s="986"/>
      <c r="BA273" s="986"/>
      <c r="BB273" s="986"/>
      <c r="BC273" s="986"/>
      <c r="BD273" s="986"/>
    </row>
    <row r="274" spans="1:56" s="901" customFormat="1" x14ac:dyDescent="0.25">
      <c r="A274" s="983"/>
      <c r="B274" s="828" t="s">
        <v>1403</v>
      </c>
      <c r="C274" s="829" t="s">
        <v>701</v>
      </c>
      <c r="D274" s="829" t="s">
        <v>1401</v>
      </c>
      <c r="E274" s="830" t="s">
        <v>1439</v>
      </c>
      <c r="F274" s="833"/>
      <c r="G274" s="833"/>
      <c r="L274" s="880"/>
      <c r="M274" s="880"/>
      <c r="N274" s="880"/>
      <c r="O274" s="880"/>
      <c r="P274" s="880"/>
      <c r="Q274" s="984"/>
      <c r="R274" s="984"/>
      <c r="S274" s="985"/>
      <c r="T274" s="986"/>
      <c r="U274" s="986"/>
      <c r="V274" s="986"/>
      <c r="W274" s="986"/>
      <c r="X274" s="986"/>
      <c r="Y274" s="986"/>
      <c r="Z274" s="986"/>
      <c r="AA274" s="986"/>
      <c r="AB274" s="986"/>
      <c r="AC274" s="986"/>
      <c r="AD274" s="986"/>
      <c r="AE274" s="986"/>
      <c r="AF274" s="986"/>
      <c r="AG274" s="986"/>
      <c r="AH274" s="986"/>
      <c r="AI274" s="986"/>
      <c r="AJ274" s="986"/>
      <c r="AK274" s="986"/>
      <c r="AL274" s="986"/>
      <c r="AM274" s="986"/>
      <c r="AN274" s="986"/>
      <c r="AO274" s="986"/>
      <c r="AP274" s="986"/>
      <c r="AQ274" s="986"/>
      <c r="AR274" s="986"/>
      <c r="AS274" s="986"/>
      <c r="AT274" s="986"/>
      <c r="AU274" s="986"/>
      <c r="AV274" s="986"/>
      <c r="AW274" s="986"/>
      <c r="AX274" s="986"/>
      <c r="AY274" s="986"/>
      <c r="AZ274" s="986"/>
      <c r="BA274" s="986"/>
      <c r="BB274" s="986"/>
      <c r="BC274" s="986"/>
      <c r="BD274" s="986"/>
    </row>
    <row r="275" spans="1:56" s="901" customFormat="1" x14ac:dyDescent="0.25">
      <c r="A275" s="983"/>
      <c r="B275" s="828" t="s">
        <v>1404</v>
      </c>
      <c r="C275" s="829" t="s">
        <v>839</v>
      </c>
      <c r="D275" s="829" t="s">
        <v>1401</v>
      </c>
      <c r="E275" s="830" t="s">
        <v>1439</v>
      </c>
      <c r="F275" s="833"/>
      <c r="G275" s="833"/>
      <c r="L275" s="880"/>
      <c r="M275" s="880"/>
      <c r="N275" s="880"/>
      <c r="O275" s="880"/>
      <c r="P275" s="880"/>
      <c r="Q275" s="984"/>
      <c r="R275" s="984"/>
      <c r="S275" s="985"/>
      <c r="T275" s="986"/>
      <c r="U275" s="986"/>
      <c r="V275" s="986"/>
      <c r="W275" s="986"/>
      <c r="X275" s="986"/>
      <c r="Y275" s="986"/>
      <c r="Z275" s="986"/>
      <c r="AA275" s="986"/>
      <c r="AB275" s="986"/>
      <c r="AC275" s="986"/>
      <c r="AD275" s="986"/>
      <c r="AE275" s="986"/>
      <c r="AF275" s="986"/>
      <c r="AG275" s="986"/>
      <c r="AH275" s="986"/>
      <c r="AI275" s="986"/>
      <c r="AJ275" s="986"/>
      <c r="AK275" s="986"/>
      <c r="AL275" s="986"/>
      <c r="AM275" s="986"/>
      <c r="AN275" s="986"/>
      <c r="AO275" s="986"/>
      <c r="AP275" s="986"/>
      <c r="AQ275" s="986"/>
      <c r="AR275" s="986"/>
      <c r="AS275" s="986"/>
      <c r="AT275" s="986"/>
      <c r="AU275" s="986"/>
      <c r="AV275" s="986"/>
      <c r="AW275" s="986"/>
      <c r="AX275" s="986"/>
      <c r="AY275" s="986"/>
      <c r="AZ275" s="986"/>
      <c r="BA275" s="986"/>
      <c r="BB275" s="986"/>
      <c r="BC275" s="986"/>
      <c r="BD275" s="986"/>
    </row>
    <row r="276" spans="1:56" s="901" customFormat="1" x14ac:dyDescent="0.25">
      <c r="A276" s="983"/>
      <c r="B276" s="828" t="s">
        <v>1405</v>
      </c>
      <c r="C276" s="829" t="s">
        <v>928</v>
      </c>
      <c r="D276" s="829" t="s">
        <v>1401</v>
      </c>
      <c r="E276" s="830" t="s">
        <v>1438</v>
      </c>
      <c r="F276" s="833"/>
      <c r="G276" s="833"/>
      <c r="L276" s="880"/>
      <c r="M276" s="880"/>
      <c r="N276" s="880"/>
      <c r="O276" s="880"/>
      <c r="P276" s="880"/>
      <c r="Q276" s="984"/>
      <c r="R276" s="984"/>
      <c r="S276" s="985"/>
      <c r="T276" s="986"/>
      <c r="U276" s="986"/>
      <c r="V276" s="986"/>
      <c r="W276" s="986"/>
      <c r="X276" s="986"/>
      <c r="Y276" s="986"/>
      <c r="Z276" s="986"/>
      <c r="AA276" s="986"/>
      <c r="AB276" s="986"/>
      <c r="AC276" s="986"/>
      <c r="AD276" s="986"/>
      <c r="AE276" s="986"/>
      <c r="AF276" s="986"/>
      <c r="AG276" s="986"/>
      <c r="AH276" s="986"/>
      <c r="AI276" s="986"/>
      <c r="AJ276" s="986"/>
      <c r="AK276" s="986"/>
      <c r="AL276" s="986"/>
      <c r="AM276" s="986"/>
      <c r="AN276" s="986"/>
      <c r="AO276" s="986"/>
      <c r="AP276" s="986"/>
      <c r="AQ276" s="986"/>
      <c r="AR276" s="986"/>
      <c r="AS276" s="986"/>
      <c r="AT276" s="986"/>
      <c r="AU276" s="986"/>
      <c r="AV276" s="986"/>
      <c r="AW276" s="986"/>
      <c r="AX276" s="986"/>
      <c r="AY276" s="986"/>
      <c r="AZ276" s="986"/>
      <c r="BA276" s="986"/>
      <c r="BB276" s="986"/>
      <c r="BC276" s="986"/>
      <c r="BD276" s="986"/>
    </row>
    <row r="277" spans="1:56" s="901" customFormat="1" x14ac:dyDescent="0.25">
      <c r="A277" s="983"/>
      <c r="B277" s="828" t="s">
        <v>1406</v>
      </c>
      <c r="C277" s="829" t="s">
        <v>723</v>
      </c>
      <c r="D277" s="829" t="s">
        <v>1401</v>
      </c>
      <c r="E277" s="830" t="s">
        <v>1440</v>
      </c>
      <c r="F277" s="833"/>
      <c r="G277" s="833"/>
      <c r="L277" s="880"/>
      <c r="M277" s="880"/>
      <c r="N277" s="880"/>
      <c r="O277" s="880"/>
      <c r="P277" s="880"/>
      <c r="Q277" s="984"/>
      <c r="R277" s="984"/>
      <c r="S277" s="985"/>
      <c r="T277" s="986"/>
      <c r="U277" s="986"/>
      <c r="V277" s="986"/>
      <c r="W277" s="986"/>
      <c r="X277" s="986"/>
      <c r="Y277" s="986"/>
      <c r="Z277" s="986"/>
      <c r="AA277" s="986"/>
      <c r="AB277" s="986"/>
      <c r="AC277" s="986"/>
      <c r="AD277" s="986"/>
      <c r="AE277" s="986"/>
      <c r="AF277" s="986"/>
      <c r="AG277" s="986"/>
      <c r="AH277" s="986"/>
      <c r="AI277" s="986"/>
      <c r="AJ277" s="986"/>
      <c r="AK277" s="986"/>
      <c r="AL277" s="986"/>
      <c r="AM277" s="986"/>
      <c r="AN277" s="986"/>
      <c r="AO277" s="986"/>
      <c r="AP277" s="986"/>
      <c r="AQ277" s="986"/>
      <c r="AR277" s="986"/>
      <c r="AS277" s="986"/>
      <c r="AT277" s="986"/>
      <c r="AU277" s="986"/>
      <c r="AV277" s="986"/>
      <c r="AW277" s="986"/>
      <c r="AX277" s="986"/>
      <c r="AY277" s="986"/>
      <c r="AZ277" s="986"/>
      <c r="BA277" s="986"/>
      <c r="BB277" s="986"/>
      <c r="BC277" s="986"/>
      <c r="BD277" s="986"/>
    </row>
    <row r="278" spans="1:56" s="901" customFormat="1" x14ac:dyDescent="0.25">
      <c r="A278" s="983"/>
      <c r="B278" s="828" t="s">
        <v>1407</v>
      </c>
      <c r="C278" s="829" t="s">
        <v>695</v>
      </c>
      <c r="D278" s="829" t="s">
        <v>1401</v>
      </c>
      <c r="E278" s="830" t="s">
        <v>1438</v>
      </c>
      <c r="F278" s="833"/>
      <c r="G278" s="833"/>
      <c r="L278" s="880"/>
      <c r="M278" s="880"/>
      <c r="N278" s="880"/>
      <c r="O278" s="880"/>
      <c r="P278" s="880"/>
      <c r="Q278" s="984"/>
      <c r="R278" s="984"/>
      <c r="S278" s="985"/>
      <c r="T278" s="986"/>
      <c r="U278" s="986"/>
      <c r="V278" s="986"/>
      <c r="W278" s="986"/>
      <c r="X278" s="986"/>
      <c r="Y278" s="986"/>
      <c r="Z278" s="986"/>
      <c r="AA278" s="986"/>
      <c r="AB278" s="986"/>
      <c r="AC278" s="986"/>
      <c r="AD278" s="986"/>
      <c r="AE278" s="986"/>
      <c r="AF278" s="986"/>
      <c r="AG278" s="986"/>
      <c r="AH278" s="986"/>
      <c r="AI278" s="986"/>
      <c r="AJ278" s="986"/>
      <c r="AK278" s="986"/>
      <c r="AL278" s="986"/>
      <c r="AM278" s="986"/>
      <c r="AN278" s="986"/>
      <c r="AO278" s="986"/>
      <c r="AP278" s="986"/>
      <c r="AQ278" s="986"/>
      <c r="AR278" s="986"/>
      <c r="AS278" s="986"/>
      <c r="AT278" s="986"/>
      <c r="AU278" s="986"/>
      <c r="AV278" s="986"/>
      <c r="AW278" s="986"/>
      <c r="AX278" s="986"/>
      <c r="AY278" s="986"/>
      <c r="AZ278" s="986"/>
      <c r="BA278" s="986"/>
      <c r="BB278" s="986"/>
      <c r="BC278" s="986"/>
      <c r="BD278" s="986"/>
    </row>
    <row r="279" spans="1:56" s="901" customFormat="1" x14ac:dyDescent="0.25">
      <c r="A279" s="983"/>
      <c r="B279" s="828" t="s">
        <v>1408</v>
      </c>
      <c r="C279" s="828"/>
      <c r="D279" s="828"/>
      <c r="E279" s="830"/>
      <c r="F279" s="833"/>
      <c r="G279" s="833"/>
      <c r="L279" s="880"/>
      <c r="M279" s="880"/>
      <c r="N279" s="880"/>
      <c r="O279" s="880"/>
      <c r="P279" s="880"/>
      <c r="Q279" s="984"/>
      <c r="R279" s="984"/>
      <c r="S279" s="985"/>
      <c r="T279" s="986"/>
      <c r="U279" s="986"/>
      <c r="V279" s="986"/>
      <c r="W279" s="986"/>
      <c r="X279" s="986"/>
      <c r="Y279" s="986"/>
      <c r="Z279" s="986"/>
      <c r="AA279" s="986"/>
      <c r="AB279" s="986"/>
      <c r="AC279" s="986"/>
      <c r="AD279" s="986"/>
      <c r="AE279" s="986"/>
      <c r="AF279" s="986"/>
      <c r="AG279" s="986"/>
      <c r="AH279" s="986"/>
      <c r="AI279" s="986"/>
      <c r="AJ279" s="986"/>
      <c r="AK279" s="986"/>
      <c r="AL279" s="986"/>
      <c r="AM279" s="986"/>
      <c r="AN279" s="986"/>
      <c r="AO279" s="986"/>
      <c r="AP279" s="986"/>
      <c r="AQ279" s="986"/>
      <c r="AR279" s="986"/>
      <c r="AS279" s="986"/>
      <c r="AT279" s="986"/>
      <c r="AU279" s="986"/>
      <c r="AV279" s="986"/>
      <c r="AW279" s="986"/>
      <c r="AX279" s="986"/>
      <c r="AY279" s="986"/>
      <c r="AZ279" s="986"/>
      <c r="BA279" s="986"/>
      <c r="BB279" s="986"/>
      <c r="BC279" s="986"/>
      <c r="BD279" s="986"/>
    </row>
    <row r="280" spans="1:56" s="901" customFormat="1" x14ac:dyDescent="0.25">
      <c r="A280" s="983"/>
      <c r="B280" s="840" t="s">
        <v>1409</v>
      </c>
      <c r="C280" s="840"/>
      <c r="D280" s="840"/>
      <c r="E280" s="830"/>
      <c r="F280" s="833"/>
      <c r="G280" s="833"/>
      <c r="L280" s="880"/>
      <c r="M280" s="880"/>
      <c r="N280" s="880"/>
      <c r="O280" s="880"/>
      <c r="P280" s="880"/>
      <c r="Q280" s="984"/>
      <c r="R280" s="984"/>
      <c r="S280" s="985"/>
      <c r="T280" s="986"/>
      <c r="U280" s="986"/>
      <c r="V280" s="986"/>
      <c r="W280" s="986"/>
      <c r="X280" s="986"/>
      <c r="Y280" s="986"/>
      <c r="Z280" s="986"/>
      <c r="AA280" s="986"/>
      <c r="AB280" s="986"/>
      <c r="AC280" s="986"/>
      <c r="AD280" s="986"/>
      <c r="AE280" s="986"/>
      <c r="AF280" s="986"/>
      <c r="AG280" s="986"/>
      <c r="AH280" s="986"/>
      <c r="AI280" s="986"/>
      <c r="AJ280" s="986"/>
      <c r="AK280" s="986"/>
      <c r="AL280" s="986"/>
      <c r="AM280" s="986"/>
      <c r="AN280" s="986"/>
      <c r="AO280" s="986"/>
      <c r="AP280" s="986"/>
      <c r="AQ280" s="986"/>
      <c r="AR280" s="986"/>
      <c r="AS280" s="986"/>
      <c r="AT280" s="986"/>
      <c r="AU280" s="986"/>
      <c r="AV280" s="986"/>
      <c r="AW280" s="986"/>
      <c r="AX280" s="986"/>
      <c r="AY280" s="986"/>
      <c r="AZ280" s="986"/>
      <c r="BA280" s="986"/>
      <c r="BB280" s="986"/>
      <c r="BC280" s="986"/>
      <c r="BD280" s="986"/>
    </row>
    <row r="281" spans="1:56" s="901" customFormat="1" x14ac:dyDescent="0.25">
      <c r="A281" s="983"/>
      <c r="B281" s="840" t="s">
        <v>1441</v>
      </c>
      <c r="C281" s="841" t="s">
        <v>1411</v>
      </c>
      <c r="D281" s="841" t="s">
        <v>1412</v>
      </c>
      <c r="E281" s="830" t="s">
        <v>1439</v>
      </c>
      <c r="F281" s="833"/>
      <c r="G281" s="833"/>
      <c r="L281" s="880"/>
      <c r="M281" s="880"/>
      <c r="N281" s="880"/>
      <c r="O281" s="880"/>
      <c r="P281" s="880"/>
      <c r="Q281" s="984"/>
      <c r="R281" s="984"/>
      <c r="S281" s="985"/>
      <c r="T281" s="986"/>
      <c r="U281" s="986"/>
      <c r="V281" s="986"/>
      <c r="W281" s="986"/>
      <c r="X281" s="986"/>
      <c r="Y281" s="986"/>
      <c r="Z281" s="986"/>
      <c r="AA281" s="986"/>
      <c r="AB281" s="986"/>
      <c r="AC281" s="986"/>
      <c r="AD281" s="986"/>
      <c r="AE281" s="986"/>
      <c r="AF281" s="986"/>
      <c r="AG281" s="986"/>
      <c r="AH281" s="986"/>
      <c r="AI281" s="986"/>
      <c r="AJ281" s="986"/>
      <c r="AK281" s="986"/>
      <c r="AL281" s="986"/>
      <c r="AM281" s="986"/>
      <c r="AN281" s="986"/>
      <c r="AO281" s="986"/>
      <c r="AP281" s="986"/>
      <c r="AQ281" s="986"/>
      <c r="AR281" s="986"/>
      <c r="AS281" s="986"/>
      <c r="AT281" s="986"/>
      <c r="AU281" s="986"/>
      <c r="AV281" s="986"/>
      <c r="AW281" s="986"/>
      <c r="AX281" s="986"/>
      <c r="AY281" s="986"/>
      <c r="AZ281" s="986"/>
      <c r="BA281" s="986"/>
      <c r="BB281" s="986"/>
      <c r="BC281" s="986"/>
      <c r="BD281" s="986"/>
    </row>
    <row r="282" spans="1:56" s="901" customFormat="1" x14ac:dyDescent="0.25">
      <c r="A282" s="983"/>
      <c r="B282" s="840" t="s">
        <v>1442</v>
      </c>
      <c r="C282" s="841" t="s">
        <v>1414</v>
      </c>
      <c r="D282" s="841" t="s">
        <v>1412</v>
      </c>
      <c r="E282" s="830" t="s">
        <v>1438</v>
      </c>
      <c r="F282" s="833"/>
      <c r="G282" s="833"/>
      <c r="L282" s="880"/>
      <c r="M282" s="880"/>
      <c r="N282" s="880"/>
      <c r="O282" s="880"/>
      <c r="P282" s="880"/>
      <c r="Q282" s="984"/>
      <c r="R282" s="984"/>
      <c r="S282" s="985"/>
      <c r="T282" s="986"/>
      <c r="U282" s="986"/>
      <c r="V282" s="986"/>
      <c r="W282" s="986"/>
      <c r="X282" s="986"/>
      <c r="Y282" s="986"/>
      <c r="Z282" s="986"/>
      <c r="AA282" s="986"/>
      <c r="AB282" s="986"/>
      <c r="AC282" s="986"/>
      <c r="AD282" s="986"/>
      <c r="AE282" s="986"/>
      <c r="AF282" s="986"/>
      <c r="AG282" s="986"/>
      <c r="AH282" s="986"/>
      <c r="AI282" s="986"/>
      <c r="AJ282" s="986"/>
      <c r="AK282" s="986"/>
      <c r="AL282" s="986"/>
      <c r="AM282" s="986"/>
      <c r="AN282" s="986"/>
      <c r="AO282" s="986"/>
      <c r="AP282" s="986"/>
      <c r="AQ282" s="986"/>
      <c r="AR282" s="986"/>
      <c r="AS282" s="986"/>
      <c r="AT282" s="986"/>
      <c r="AU282" s="986"/>
      <c r="AV282" s="986"/>
      <c r="AW282" s="986"/>
      <c r="AX282" s="986"/>
      <c r="AY282" s="986"/>
      <c r="AZ282" s="986"/>
      <c r="BA282" s="986"/>
      <c r="BB282" s="986"/>
      <c r="BC282" s="986"/>
      <c r="BD282" s="986"/>
    </row>
    <row r="283" spans="1:56" s="922" customFormat="1" x14ac:dyDescent="0.25">
      <c r="A283" s="987"/>
      <c r="B283" s="840" t="s">
        <v>1415</v>
      </c>
      <c r="C283" s="841" t="s">
        <v>1416</v>
      </c>
      <c r="D283" s="841" t="s">
        <v>1412</v>
      </c>
      <c r="E283" s="830" t="s">
        <v>1439</v>
      </c>
      <c r="F283" s="833"/>
      <c r="G283" s="833"/>
      <c r="N283" s="988"/>
      <c r="O283" s="884"/>
      <c r="P283" s="884"/>
      <c r="Q283" s="989"/>
      <c r="R283" s="989"/>
      <c r="S283" s="990"/>
      <c r="T283" s="991"/>
      <c r="U283" s="991"/>
      <c r="V283" s="991"/>
      <c r="W283" s="991"/>
      <c r="X283" s="991"/>
      <c r="Y283" s="991"/>
      <c r="Z283" s="991"/>
      <c r="AA283" s="991"/>
      <c r="AB283" s="991"/>
      <c r="AC283" s="991"/>
      <c r="AD283" s="991"/>
      <c r="AE283" s="991"/>
      <c r="AF283" s="991"/>
      <c r="AG283" s="991"/>
      <c r="AH283" s="991"/>
      <c r="AI283" s="991"/>
      <c r="AJ283" s="991"/>
      <c r="AK283" s="991"/>
      <c r="AL283" s="991"/>
      <c r="AM283" s="991"/>
      <c r="AN283" s="991"/>
      <c r="AO283" s="991"/>
      <c r="AP283" s="991"/>
      <c r="AQ283" s="991"/>
      <c r="AR283" s="991"/>
      <c r="AS283" s="991"/>
      <c r="AT283" s="991"/>
      <c r="AU283" s="991"/>
      <c r="AV283" s="991"/>
      <c r="AW283" s="991"/>
      <c r="AX283" s="991"/>
      <c r="AY283" s="991"/>
      <c r="AZ283" s="991"/>
      <c r="BA283" s="991"/>
      <c r="BB283" s="991"/>
      <c r="BC283" s="991"/>
      <c r="BD283" s="991"/>
    </row>
    <row r="284" spans="1:56" s="922" customFormat="1" x14ac:dyDescent="0.25">
      <c r="A284" s="987"/>
      <c r="B284" s="828" t="s">
        <v>1417</v>
      </c>
      <c r="C284" s="828"/>
      <c r="D284" s="828"/>
      <c r="E284" s="830" t="s">
        <v>1440</v>
      </c>
      <c r="F284" s="833"/>
      <c r="G284" s="833"/>
      <c r="N284" s="988"/>
      <c r="O284" s="884"/>
      <c r="P284" s="884"/>
      <c r="Q284" s="989"/>
      <c r="R284" s="989"/>
      <c r="S284" s="990"/>
      <c r="T284" s="991"/>
      <c r="U284" s="991"/>
      <c r="V284" s="991"/>
      <c r="W284" s="991"/>
      <c r="X284" s="991"/>
      <c r="Y284" s="991"/>
      <c r="Z284" s="991"/>
      <c r="AA284" s="991"/>
      <c r="AB284" s="991"/>
      <c r="AC284" s="991"/>
      <c r="AD284" s="991"/>
      <c r="AE284" s="991"/>
      <c r="AF284" s="991"/>
      <c r="AG284" s="991"/>
      <c r="AH284" s="991"/>
      <c r="AI284" s="991"/>
      <c r="AJ284" s="991"/>
      <c r="AK284" s="991"/>
      <c r="AL284" s="991"/>
      <c r="AM284" s="991"/>
      <c r="AN284" s="991"/>
      <c r="AO284" s="991"/>
      <c r="AP284" s="991"/>
      <c r="AQ284" s="991"/>
      <c r="AR284" s="991"/>
      <c r="AS284" s="991"/>
      <c r="AT284" s="991"/>
      <c r="AU284" s="991"/>
      <c r="AV284" s="991"/>
      <c r="AW284" s="991"/>
      <c r="AX284" s="991"/>
      <c r="AY284" s="991"/>
      <c r="AZ284" s="991"/>
      <c r="BA284" s="991"/>
      <c r="BB284" s="991"/>
      <c r="BC284" s="991"/>
      <c r="BD284" s="991"/>
    </row>
    <row r="285" spans="1:56" s="922" customFormat="1" x14ac:dyDescent="0.25">
      <c r="A285" s="987"/>
      <c r="B285" s="840" t="s">
        <v>1418</v>
      </c>
      <c r="C285" s="841" t="s">
        <v>1419</v>
      </c>
      <c r="D285" s="829" t="s">
        <v>1401</v>
      </c>
      <c r="E285" s="830" t="s">
        <v>1438</v>
      </c>
      <c r="F285" s="833"/>
      <c r="G285" s="833"/>
      <c r="N285" s="988"/>
      <c r="O285" s="884"/>
      <c r="P285" s="884"/>
      <c r="Q285" s="989"/>
      <c r="R285" s="989"/>
      <c r="S285" s="990"/>
      <c r="T285" s="991"/>
      <c r="U285" s="991"/>
      <c r="V285" s="991"/>
      <c r="W285" s="991"/>
      <c r="X285" s="991"/>
      <c r="Y285" s="991"/>
      <c r="Z285" s="991"/>
      <c r="AA285" s="991"/>
      <c r="AB285" s="991"/>
      <c r="AC285" s="991"/>
      <c r="AD285" s="991"/>
      <c r="AE285" s="991"/>
      <c r="AF285" s="991"/>
      <c r="AG285" s="991"/>
      <c r="AH285" s="991"/>
      <c r="AI285" s="991"/>
      <c r="AJ285" s="991"/>
      <c r="AK285" s="991"/>
      <c r="AL285" s="991"/>
      <c r="AM285" s="991"/>
      <c r="AN285" s="991"/>
      <c r="AO285" s="991"/>
      <c r="AP285" s="991"/>
      <c r="AQ285" s="991"/>
      <c r="AR285" s="991"/>
      <c r="AS285" s="991"/>
      <c r="AT285" s="991"/>
      <c r="AU285" s="991"/>
      <c r="AV285" s="991"/>
      <c r="AW285" s="991"/>
      <c r="AX285" s="991"/>
      <c r="AY285" s="991"/>
      <c r="AZ285" s="991"/>
      <c r="BA285" s="991"/>
      <c r="BB285" s="991"/>
      <c r="BC285" s="991"/>
      <c r="BD285" s="991"/>
    </row>
    <row r="286" spans="1:56" s="922" customFormat="1" x14ac:dyDescent="0.25">
      <c r="A286" s="987"/>
      <c r="B286" s="840" t="s">
        <v>1420</v>
      </c>
      <c r="C286" s="841" t="s">
        <v>1421</v>
      </c>
      <c r="D286" s="829" t="s">
        <v>1401</v>
      </c>
      <c r="E286" s="830" t="s">
        <v>1439</v>
      </c>
      <c r="F286" s="833"/>
      <c r="G286" s="833"/>
      <c r="N286" s="988"/>
      <c r="O286" s="884"/>
      <c r="P286" s="884"/>
      <c r="Q286" s="989"/>
      <c r="R286" s="989"/>
      <c r="S286" s="990"/>
      <c r="T286" s="991"/>
      <c r="U286" s="991"/>
      <c r="V286" s="991"/>
      <c r="W286" s="991"/>
      <c r="X286" s="991"/>
      <c r="Y286" s="991"/>
      <c r="Z286" s="991"/>
      <c r="AA286" s="991"/>
      <c r="AB286" s="991"/>
      <c r="AC286" s="991"/>
      <c r="AD286" s="991"/>
      <c r="AE286" s="991"/>
      <c r="AF286" s="991"/>
      <c r="AG286" s="991"/>
      <c r="AH286" s="991"/>
      <c r="AI286" s="991"/>
      <c r="AJ286" s="991"/>
      <c r="AK286" s="991"/>
      <c r="AL286" s="991"/>
      <c r="AM286" s="991"/>
      <c r="AN286" s="991"/>
      <c r="AO286" s="991"/>
      <c r="AP286" s="991"/>
      <c r="AQ286" s="991"/>
      <c r="AR286" s="991"/>
      <c r="AS286" s="991"/>
      <c r="AT286" s="991"/>
      <c r="AU286" s="991"/>
      <c r="AV286" s="991"/>
      <c r="AW286" s="991"/>
      <c r="AX286" s="991"/>
      <c r="AY286" s="991"/>
      <c r="AZ286" s="991"/>
      <c r="BA286" s="991"/>
      <c r="BB286" s="991"/>
      <c r="BC286" s="991"/>
      <c r="BD286" s="991"/>
    </row>
    <row r="287" spans="1:56" s="922" customFormat="1" x14ac:dyDescent="0.25">
      <c r="A287" s="987"/>
      <c r="B287" s="828" t="s">
        <v>1422</v>
      </c>
      <c r="C287" s="828"/>
      <c r="D287" s="828"/>
      <c r="E287" s="830" t="s">
        <v>1440</v>
      </c>
      <c r="F287" s="833"/>
      <c r="G287" s="833"/>
      <c r="N287" s="988"/>
      <c r="O287" s="884"/>
      <c r="P287" s="884"/>
      <c r="Q287" s="989"/>
      <c r="R287" s="989"/>
      <c r="S287" s="990"/>
      <c r="T287" s="991"/>
      <c r="U287" s="991"/>
      <c r="V287" s="991"/>
      <c r="W287" s="991"/>
      <c r="X287" s="991"/>
      <c r="Y287" s="991"/>
      <c r="Z287" s="991"/>
      <c r="AA287" s="991"/>
      <c r="AB287" s="991"/>
      <c r="AC287" s="991"/>
      <c r="AD287" s="991"/>
      <c r="AE287" s="991"/>
      <c r="AF287" s="991"/>
      <c r="AG287" s="991"/>
      <c r="AH287" s="991"/>
      <c r="AI287" s="991"/>
      <c r="AJ287" s="991"/>
      <c r="AK287" s="991"/>
      <c r="AL287" s="991"/>
      <c r="AM287" s="991"/>
      <c r="AN287" s="991"/>
      <c r="AO287" s="991"/>
      <c r="AP287" s="991"/>
      <c r="AQ287" s="991"/>
      <c r="AR287" s="991"/>
      <c r="AS287" s="991"/>
      <c r="AT287" s="991"/>
      <c r="AU287" s="991"/>
      <c r="AV287" s="991"/>
      <c r="AW287" s="991"/>
      <c r="AX287" s="991"/>
      <c r="AY287" s="991"/>
      <c r="AZ287" s="991"/>
      <c r="BA287" s="991"/>
      <c r="BB287" s="991"/>
      <c r="BC287" s="991"/>
      <c r="BD287" s="991"/>
    </row>
    <row r="288" spans="1:56" s="922" customFormat="1" x14ac:dyDescent="0.25">
      <c r="A288" s="987"/>
      <c r="B288" s="840" t="s">
        <v>1423</v>
      </c>
      <c r="C288" s="841" t="s">
        <v>1424</v>
      </c>
      <c r="D288" s="841" t="s">
        <v>1412</v>
      </c>
      <c r="E288" s="830" t="s">
        <v>1438</v>
      </c>
      <c r="F288" s="833"/>
      <c r="G288" s="833"/>
      <c r="N288" s="988"/>
      <c r="O288" s="884"/>
      <c r="P288" s="884"/>
      <c r="Q288" s="989"/>
      <c r="R288" s="989"/>
      <c r="S288" s="990"/>
      <c r="T288" s="991"/>
      <c r="U288" s="991"/>
      <c r="V288" s="991"/>
      <c r="W288" s="991"/>
      <c r="X288" s="991"/>
      <c r="Y288" s="991"/>
      <c r="Z288" s="991"/>
      <c r="AA288" s="991"/>
      <c r="AB288" s="991"/>
      <c r="AC288" s="991"/>
      <c r="AD288" s="991"/>
      <c r="AE288" s="991"/>
      <c r="AF288" s="991"/>
      <c r="AG288" s="991"/>
      <c r="AH288" s="991"/>
      <c r="AI288" s="991"/>
      <c r="AJ288" s="991"/>
      <c r="AK288" s="991"/>
      <c r="AL288" s="991"/>
      <c r="AM288" s="991"/>
      <c r="AN288" s="991"/>
      <c r="AO288" s="991"/>
      <c r="AP288" s="991"/>
      <c r="AQ288" s="991"/>
      <c r="AR288" s="991"/>
      <c r="AS288" s="991"/>
      <c r="AT288" s="991"/>
      <c r="AU288" s="991"/>
      <c r="AV288" s="991"/>
      <c r="AW288" s="991"/>
      <c r="AX288" s="991"/>
      <c r="AY288" s="991"/>
      <c r="AZ288" s="991"/>
      <c r="BA288" s="991"/>
      <c r="BB288" s="991"/>
      <c r="BC288" s="991"/>
      <c r="BD288" s="991"/>
    </row>
    <row r="289" spans="1:56" s="922" customFormat="1" x14ac:dyDescent="0.25">
      <c r="A289" s="987"/>
      <c r="B289" s="840" t="s">
        <v>1425</v>
      </c>
      <c r="C289" s="841" t="s">
        <v>1426</v>
      </c>
      <c r="D289" s="829" t="s">
        <v>1401</v>
      </c>
      <c r="E289" s="830" t="s">
        <v>1439</v>
      </c>
      <c r="F289" s="833"/>
      <c r="G289" s="833"/>
      <c r="N289" s="988"/>
      <c r="O289" s="884"/>
      <c r="P289" s="884"/>
      <c r="Q289" s="989"/>
      <c r="R289" s="989"/>
      <c r="S289" s="990"/>
      <c r="T289" s="991"/>
      <c r="U289" s="991"/>
      <c r="V289" s="991"/>
      <c r="W289" s="991"/>
      <c r="X289" s="991"/>
      <c r="Y289" s="991"/>
      <c r="Z289" s="991"/>
      <c r="AA289" s="991"/>
      <c r="AB289" s="991"/>
      <c r="AC289" s="991"/>
      <c r="AD289" s="991"/>
      <c r="AE289" s="991"/>
      <c r="AF289" s="991"/>
      <c r="AG289" s="991"/>
      <c r="AH289" s="991"/>
      <c r="AI289" s="991"/>
      <c r="AJ289" s="991"/>
      <c r="AK289" s="991"/>
      <c r="AL289" s="991"/>
      <c r="AM289" s="991"/>
      <c r="AN289" s="991"/>
      <c r="AO289" s="991"/>
      <c r="AP289" s="991"/>
      <c r="AQ289" s="991"/>
      <c r="AR289" s="991"/>
      <c r="AS289" s="991"/>
      <c r="AT289" s="991"/>
      <c r="AU289" s="991"/>
      <c r="AV289" s="991"/>
      <c r="AW289" s="991"/>
      <c r="AX289" s="991"/>
      <c r="AY289" s="991"/>
      <c r="AZ289" s="991"/>
      <c r="BA289" s="991"/>
      <c r="BB289" s="991"/>
      <c r="BC289" s="991"/>
      <c r="BD289" s="991"/>
    </row>
    <row r="290" spans="1:56" s="922" customFormat="1" x14ac:dyDescent="0.25">
      <c r="A290" s="987"/>
      <c r="B290" s="840" t="s">
        <v>1427</v>
      </c>
      <c r="C290" s="841" t="s">
        <v>1428</v>
      </c>
      <c r="D290" s="829" t="s">
        <v>1401</v>
      </c>
      <c r="E290" s="830" t="s">
        <v>1438</v>
      </c>
      <c r="F290" s="833"/>
      <c r="G290" s="833"/>
      <c r="N290" s="988"/>
      <c r="O290" s="884"/>
      <c r="P290" s="884"/>
      <c r="Q290" s="989"/>
      <c r="R290" s="989"/>
      <c r="S290" s="990"/>
      <c r="T290" s="991"/>
      <c r="U290" s="991"/>
      <c r="V290" s="991"/>
      <c r="W290" s="991"/>
      <c r="X290" s="991"/>
      <c r="Y290" s="991"/>
      <c r="Z290" s="991"/>
      <c r="AA290" s="991"/>
      <c r="AB290" s="991"/>
      <c r="AC290" s="991"/>
      <c r="AD290" s="991"/>
      <c r="AE290" s="991"/>
      <c r="AF290" s="991"/>
      <c r="AG290" s="991"/>
      <c r="AH290" s="991"/>
      <c r="AI290" s="991"/>
      <c r="AJ290" s="991"/>
      <c r="AK290" s="991"/>
      <c r="AL290" s="991"/>
      <c r="AM290" s="991"/>
      <c r="AN290" s="991"/>
      <c r="AO290" s="991"/>
      <c r="AP290" s="991"/>
      <c r="AQ290" s="991"/>
      <c r="AR290" s="991"/>
      <c r="AS290" s="991"/>
      <c r="AT290" s="991"/>
      <c r="AU290" s="991"/>
      <c r="AV290" s="991"/>
      <c r="AW290" s="991"/>
      <c r="AX290" s="991"/>
      <c r="AY290" s="991"/>
      <c r="AZ290" s="991"/>
      <c r="BA290" s="991"/>
      <c r="BB290" s="991"/>
      <c r="BC290" s="991"/>
      <c r="BD290" s="991"/>
    </row>
    <row r="291" spans="1:56" s="922" customFormat="1" x14ac:dyDescent="0.25">
      <c r="A291" s="987"/>
      <c r="B291" s="840" t="s">
        <v>1429</v>
      </c>
      <c r="C291" s="841" t="s">
        <v>1430</v>
      </c>
      <c r="D291" s="829" t="s">
        <v>1401</v>
      </c>
      <c r="E291" s="830" t="s">
        <v>1439</v>
      </c>
      <c r="F291" s="833"/>
      <c r="G291" s="833"/>
      <c r="N291" s="988"/>
      <c r="O291" s="884"/>
      <c r="P291" s="884"/>
      <c r="Q291" s="989"/>
      <c r="R291" s="989"/>
      <c r="S291" s="990"/>
      <c r="T291" s="991"/>
      <c r="U291" s="991"/>
      <c r="V291" s="991"/>
      <c r="W291" s="991"/>
      <c r="X291" s="991"/>
      <c r="Y291" s="991"/>
      <c r="Z291" s="991"/>
      <c r="AA291" s="991"/>
      <c r="AB291" s="991"/>
      <c r="AC291" s="991"/>
      <c r="AD291" s="991"/>
      <c r="AE291" s="991"/>
      <c r="AF291" s="991"/>
      <c r="AG291" s="991"/>
      <c r="AH291" s="991"/>
      <c r="AI291" s="991"/>
      <c r="AJ291" s="991"/>
      <c r="AK291" s="991"/>
      <c r="AL291" s="991"/>
      <c r="AM291" s="991"/>
      <c r="AN291" s="991"/>
      <c r="AO291" s="991"/>
      <c r="AP291" s="991"/>
      <c r="AQ291" s="991"/>
      <c r="AR291" s="991"/>
      <c r="AS291" s="991"/>
      <c r="AT291" s="991"/>
      <c r="AU291" s="991"/>
      <c r="AV291" s="991"/>
      <c r="AW291" s="991"/>
      <c r="AX291" s="991"/>
      <c r="AY291" s="991"/>
      <c r="AZ291" s="991"/>
      <c r="BA291" s="991"/>
      <c r="BB291" s="991"/>
      <c r="BC291" s="991"/>
      <c r="BD291" s="991"/>
    </row>
    <row r="292" spans="1:56" s="922" customFormat="1" x14ac:dyDescent="0.25">
      <c r="A292" s="987"/>
      <c r="B292" s="828" t="s">
        <v>1431</v>
      </c>
      <c r="C292" s="829" t="s">
        <v>1432</v>
      </c>
      <c r="D292" s="829"/>
      <c r="E292" s="936"/>
      <c r="F292" s="833"/>
      <c r="G292" s="833"/>
      <c r="N292" s="988"/>
      <c r="O292" s="884"/>
      <c r="P292" s="884"/>
      <c r="Q292" s="989"/>
      <c r="R292" s="989"/>
      <c r="S292" s="990"/>
      <c r="T292" s="991"/>
      <c r="U292" s="991"/>
      <c r="V292" s="991"/>
      <c r="W292" s="991"/>
      <c r="X292" s="991"/>
      <c r="Y292" s="991"/>
      <c r="Z292" s="991"/>
      <c r="AA292" s="991"/>
      <c r="AB292" s="991"/>
      <c r="AC292" s="991"/>
      <c r="AD292" s="991"/>
      <c r="AE292" s="991"/>
      <c r="AF292" s="991"/>
      <c r="AG292" s="991"/>
      <c r="AH292" s="991"/>
      <c r="AI292" s="991"/>
      <c r="AJ292" s="991"/>
      <c r="AK292" s="991"/>
      <c r="AL292" s="991"/>
      <c r="AM292" s="991"/>
      <c r="AN292" s="991"/>
      <c r="AO292" s="991"/>
      <c r="AP292" s="991"/>
      <c r="AQ292" s="991"/>
      <c r="AR292" s="991"/>
      <c r="AS292" s="991"/>
      <c r="AT292" s="991"/>
      <c r="AU292" s="991"/>
      <c r="AV292" s="991"/>
      <c r="AW292" s="991"/>
      <c r="AX292" s="991"/>
      <c r="AY292" s="991"/>
      <c r="AZ292" s="991"/>
      <c r="BA292" s="991"/>
      <c r="BB292" s="991"/>
      <c r="BC292" s="991"/>
      <c r="BD292" s="991"/>
    </row>
    <row r="293" spans="1:56" s="901" customFormat="1" x14ac:dyDescent="0.25">
      <c r="A293" s="983"/>
      <c r="B293" s="844" t="s">
        <v>1470</v>
      </c>
      <c r="C293" s="844"/>
      <c r="D293" s="844"/>
      <c r="E293" s="845" t="s">
        <v>1434</v>
      </c>
      <c r="F293" s="992"/>
      <c r="G293" s="992"/>
      <c r="H293" s="992"/>
      <c r="I293" s="992"/>
      <c r="J293" s="992"/>
      <c r="K293" s="992"/>
      <c r="L293" s="992"/>
      <c r="M293" s="992">
        <f>'IS Raw'!J22</f>
        <v>674.42370221199997</v>
      </c>
      <c r="N293" s="992">
        <f>'IS Raw'!K22</f>
        <v>753.29844706400002</v>
      </c>
      <c r="O293" s="992">
        <f>'IS Raw'!L22</f>
        <v>767.29591335400005</v>
      </c>
      <c r="P293" s="992">
        <f>'IS Raw'!M22</f>
        <v>782.32084593499997</v>
      </c>
      <c r="Q293" s="992">
        <f>'IS Raw'!N22</f>
        <v>728.57259607799995</v>
      </c>
      <c r="R293" s="992">
        <f>'IS Raw'!O22</f>
        <v>669.32142736699996</v>
      </c>
      <c r="S293" s="993">
        <f>'IS Raw'!P22</f>
        <v>597.87220246599998</v>
      </c>
      <c r="T293" s="896">
        <f>T319*(T213*10^6)/(10^9)</f>
        <v>865.08179079651836</v>
      </c>
      <c r="U293" s="896">
        <f t="shared" ref="U293:AD293" si="106">U319*(U213*10^6)/(10^9)</f>
        <v>882.81819982644174</v>
      </c>
      <c r="V293" s="896">
        <f t="shared" si="106"/>
        <v>1075.3196009897649</v>
      </c>
      <c r="W293" s="896">
        <f t="shared" si="106"/>
        <v>1114.8247524024998</v>
      </c>
      <c r="X293" s="896">
        <f t="shared" si="106"/>
        <v>1155.9815943255321</v>
      </c>
      <c r="Y293" s="896">
        <f t="shared" si="106"/>
        <v>1197.978256093701</v>
      </c>
      <c r="Z293" s="896">
        <f t="shared" si="106"/>
        <v>1250.9290903303681</v>
      </c>
      <c r="AA293" s="896">
        <f t="shared" si="106"/>
        <v>1300.6122200926393</v>
      </c>
      <c r="AB293" s="896">
        <f t="shared" si="106"/>
        <v>1354.6461924952769</v>
      </c>
      <c r="AC293" s="896">
        <f t="shared" si="106"/>
        <v>1413.4699644401435</v>
      </c>
      <c r="AD293" s="896">
        <f t="shared" si="106"/>
        <v>1477.568051927241</v>
      </c>
      <c r="AE293" s="896"/>
      <c r="AF293" s="896"/>
      <c r="AG293" s="896"/>
      <c r="AH293" s="896"/>
      <c r="AI293" s="896">
        <f t="shared" ref="AI293:BD293" si="107">+AI319*AI215/10^9</f>
        <v>0</v>
      </c>
      <c r="AJ293" s="896">
        <f t="shared" si="107"/>
        <v>0</v>
      </c>
      <c r="AK293" s="896">
        <f t="shared" si="107"/>
        <v>0</v>
      </c>
      <c r="AL293" s="896">
        <f t="shared" si="107"/>
        <v>0</v>
      </c>
      <c r="AM293" s="896">
        <f t="shared" si="107"/>
        <v>0</v>
      </c>
      <c r="AN293" s="896">
        <f t="shared" si="107"/>
        <v>0</v>
      </c>
      <c r="AO293" s="896">
        <f t="shared" si="107"/>
        <v>0</v>
      </c>
      <c r="AP293" s="896">
        <f t="shared" si="107"/>
        <v>0</v>
      </c>
      <c r="AQ293" s="896">
        <f t="shared" si="107"/>
        <v>0</v>
      </c>
      <c r="AR293" s="896">
        <f t="shared" si="107"/>
        <v>0</v>
      </c>
      <c r="AS293" s="896">
        <f t="shared" si="107"/>
        <v>0</v>
      </c>
      <c r="AT293" s="896">
        <f t="shared" si="107"/>
        <v>0</v>
      </c>
      <c r="AU293" s="896">
        <f t="shared" si="107"/>
        <v>0</v>
      </c>
      <c r="AV293" s="896">
        <f t="shared" si="107"/>
        <v>0</v>
      </c>
      <c r="AW293" s="896">
        <f t="shared" si="107"/>
        <v>0</v>
      </c>
      <c r="AX293" s="896">
        <f t="shared" si="107"/>
        <v>0</v>
      </c>
      <c r="AY293" s="896">
        <f t="shared" si="107"/>
        <v>0</v>
      </c>
      <c r="AZ293" s="896">
        <f t="shared" si="107"/>
        <v>0</v>
      </c>
      <c r="BA293" s="896">
        <f t="shared" si="107"/>
        <v>0</v>
      </c>
      <c r="BB293" s="896">
        <f t="shared" si="107"/>
        <v>0</v>
      </c>
      <c r="BC293" s="896">
        <f t="shared" si="107"/>
        <v>0</v>
      </c>
      <c r="BD293" s="896">
        <f t="shared" si="107"/>
        <v>0</v>
      </c>
    </row>
    <row r="294" spans="1:56" s="922" customFormat="1" x14ac:dyDescent="0.25">
      <c r="A294" s="987"/>
      <c r="B294" s="994" t="s">
        <v>1471</v>
      </c>
      <c r="C294" s="994"/>
      <c r="D294" s="994"/>
      <c r="E294" s="995"/>
      <c r="F294" s="995"/>
      <c r="G294" s="995"/>
      <c r="H294" s="995"/>
      <c r="I294" s="995"/>
      <c r="J294" s="996"/>
      <c r="K294" s="996"/>
      <c r="L294" s="996"/>
      <c r="M294" s="996"/>
      <c r="N294" s="996"/>
      <c r="O294" s="996"/>
      <c r="P294" s="996"/>
      <c r="Q294" s="996"/>
      <c r="R294" s="996">
        <f>R293/R30</f>
        <v>0.58288028160498129</v>
      </c>
      <c r="S294" s="997">
        <f>S293/S30</f>
        <v>0.50197070019394652</v>
      </c>
      <c r="T294" s="996">
        <f t="shared" ref="T294:AD294" si="108">T293/T30</f>
        <v>0.5735898918436928</v>
      </c>
      <c r="U294" s="996">
        <f t="shared" si="108"/>
        <v>0.57358989184369269</v>
      </c>
      <c r="V294" s="996">
        <f t="shared" si="108"/>
        <v>0.54850855452458702</v>
      </c>
      <c r="W294" s="996">
        <f t="shared" si="108"/>
        <v>0.53489118116972756</v>
      </c>
      <c r="X294" s="996">
        <f t="shared" si="108"/>
        <v>0.5211851082672927</v>
      </c>
      <c r="Y294" s="996">
        <f t="shared" si="108"/>
        <v>0.51520732346691434</v>
      </c>
      <c r="Z294" s="996">
        <f t="shared" si="108"/>
        <v>0.50811587819421677</v>
      </c>
      <c r="AA294" s="996">
        <f t="shared" si="108"/>
        <v>0.50811587819421666</v>
      </c>
      <c r="AB294" s="996">
        <f t="shared" si="108"/>
        <v>0.50811587819421666</v>
      </c>
      <c r="AC294" s="996">
        <f t="shared" si="108"/>
        <v>0.50811587819421666</v>
      </c>
      <c r="AD294" s="996">
        <f t="shared" si="108"/>
        <v>0.50811587819421666</v>
      </c>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c r="AY294" s="998"/>
      <c r="AZ294" s="998"/>
      <c r="BA294" s="998"/>
      <c r="BB294" s="998"/>
      <c r="BC294" s="998"/>
      <c r="BD294" s="998"/>
    </row>
    <row r="295" spans="1:56" s="1007" customFormat="1" x14ac:dyDescent="0.25">
      <c r="A295" s="999"/>
      <c r="B295" s="1000"/>
      <c r="C295" s="1000"/>
      <c r="D295" s="1000"/>
      <c r="E295" s="1001"/>
      <c r="F295" s="1001"/>
      <c r="G295" s="1001"/>
      <c r="H295" s="1001"/>
      <c r="I295" s="1001"/>
      <c r="J295" s="1002"/>
      <c r="K295" s="1002"/>
      <c r="L295" s="1002"/>
      <c r="M295" s="1003"/>
      <c r="N295" s="1003"/>
      <c r="O295" s="1003"/>
      <c r="P295" s="1003"/>
      <c r="Q295" s="1003"/>
      <c r="R295" s="1003"/>
      <c r="S295" s="1004"/>
      <c r="T295" s="1005"/>
      <c r="U295" s="1005"/>
      <c r="V295" s="1005"/>
      <c r="W295" s="1005"/>
      <c r="X295" s="1005"/>
      <c r="Y295" s="1005"/>
      <c r="Z295" s="1005"/>
      <c r="AA295" s="1005"/>
      <c r="AB295" s="1005"/>
      <c r="AC295" s="1005"/>
      <c r="AD295" s="1005"/>
      <c r="AE295" s="1006"/>
      <c r="AF295" s="1006"/>
      <c r="AG295" s="1006"/>
      <c r="AH295" s="1006"/>
      <c r="AI295" s="1006"/>
      <c r="AJ295" s="1006"/>
      <c r="AK295" s="1006"/>
      <c r="AL295" s="1006"/>
      <c r="AM295" s="1006"/>
      <c r="AN295" s="1006"/>
      <c r="AO295" s="1006"/>
      <c r="AP295" s="1006"/>
      <c r="AQ295" s="1006"/>
      <c r="AR295" s="1006"/>
      <c r="AS295" s="1006"/>
      <c r="AT295" s="1006"/>
      <c r="AU295" s="1006"/>
      <c r="AV295" s="1006"/>
      <c r="AW295" s="1006"/>
      <c r="AX295" s="1006"/>
      <c r="AY295" s="1006"/>
      <c r="AZ295" s="1006"/>
      <c r="BA295" s="1006"/>
      <c r="BB295" s="1006"/>
      <c r="BC295" s="1006"/>
      <c r="BD295" s="1006"/>
    </row>
    <row r="296" spans="1:56" s="1007" customFormat="1" x14ac:dyDescent="0.25">
      <c r="A296" s="999"/>
      <c r="B296" s="1000"/>
      <c r="C296" s="1000"/>
      <c r="D296" s="1000"/>
      <c r="E296" s="1001"/>
      <c r="F296" s="1001"/>
      <c r="G296" s="1001"/>
      <c r="H296" s="1001"/>
      <c r="I296" s="1001"/>
      <c r="J296" s="1002"/>
      <c r="K296" s="1002"/>
      <c r="L296" s="1002"/>
      <c r="M296" s="1003"/>
      <c r="N296" s="1008"/>
      <c r="O296" s="1008"/>
      <c r="P296" s="1008"/>
      <c r="Q296" s="1008"/>
      <c r="R296" s="1008"/>
      <c r="S296" s="1009">
        <f>S293/R293-1</f>
        <v>-0.10674874877690599</v>
      </c>
      <c r="T296" s="1008">
        <f t="shared" ref="T296:AD296" si="109">T293/S293-1</f>
        <v>0.44693429001779728</v>
      </c>
      <c r="U296" s="1008">
        <f t="shared" si="109"/>
        <v>2.0502580471139842E-2</v>
      </c>
      <c r="V296" s="1008">
        <f t="shared" si="109"/>
        <v>0.21805327665556518</v>
      </c>
      <c r="W296" s="1008">
        <f t="shared" si="109"/>
        <v>3.6738055715131557E-2</v>
      </c>
      <c r="X296" s="1008">
        <f t="shared" si="109"/>
        <v>3.6917768316802491E-2</v>
      </c>
      <c r="Y296" s="1008">
        <f t="shared" si="109"/>
        <v>3.6329870626246707E-2</v>
      </c>
      <c r="Z296" s="1008">
        <f t="shared" si="109"/>
        <v>4.4200163039123996E-2</v>
      </c>
      <c r="AA296" s="1008">
        <f t="shared" si="109"/>
        <v>3.9716983277725104E-2</v>
      </c>
      <c r="AB296" s="1008">
        <f t="shared" si="109"/>
        <v>4.1545029000872313E-2</v>
      </c>
      <c r="AC296" s="1008">
        <f t="shared" si="109"/>
        <v>4.3423716296365544E-2</v>
      </c>
      <c r="AD296" s="1008">
        <f t="shared" si="109"/>
        <v>4.5348036463219721E-2</v>
      </c>
      <c r="AE296" s="1006"/>
      <c r="AF296" s="1006"/>
      <c r="AG296" s="1006"/>
      <c r="AH296" s="1006"/>
      <c r="AI296" s="1006"/>
      <c r="AJ296" s="1006"/>
      <c r="AK296" s="1006"/>
      <c r="AL296" s="1006"/>
      <c r="AM296" s="1006"/>
      <c r="AN296" s="1006"/>
      <c r="AO296" s="1006"/>
      <c r="AP296" s="1006"/>
      <c r="AQ296" s="1006"/>
      <c r="AR296" s="1006"/>
      <c r="AS296" s="1006"/>
      <c r="AT296" s="1006"/>
      <c r="AU296" s="1006"/>
      <c r="AV296" s="1006"/>
      <c r="AW296" s="1006"/>
      <c r="AX296" s="1006"/>
      <c r="AY296" s="1006"/>
      <c r="AZ296" s="1006"/>
      <c r="BA296" s="1006"/>
      <c r="BB296" s="1006"/>
      <c r="BC296" s="1006"/>
      <c r="BD296" s="1006"/>
    </row>
    <row r="297" spans="1:56" s="1014" customFormat="1" x14ac:dyDescent="0.25">
      <c r="A297" s="823">
        <v>2</v>
      </c>
      <c r="B297" s="824" t="s">
        <v>1472</v>
      </c>
      <c r="C297" s="824"/>
      <c r="D297" s="824"/>
      <c r="E297" s="1010"/>
      <c r="F297" s="1010"/>
      <c r="G297" s="1010"/>
      <c r="H297" s="1010"/>
      <c r="I297" s="1010"/>
      <c r="J297" s="1011"/>
      <c r="K297" s="1011"/>
      <c r="L297" s="1011"/>
      <c r="M297" s="1011"/>
      <c r="N297" s="1011"/>
      <c r="O297" s="1011"/>
      <c r="P297" s="1011"/>
      <c r="Q297" s="1011"/>
      <c r="R297" s="1011"/>
      <c r="S297" s="1012"/>
      <c r="T297" s="1011"/>
      <c r="U297" s="1013"/>
      <c r="V297" s="1013"/>
      <c r="W297" s="1013"/>
      <c r="X297" s="1013"/>
      <c r="Y297" s="1013"/>
      <c r="Z297" s="1013"/>
      <c r="AA297" s="1013"/>
      <c r="AB297" s="1013"/>
      <c r="AC297" s="1013"/>
      <c r="AD297" s="1013"/>
      <c r="AE297" s="1013"/>
      <c r="AF297" s="1013"/>
      <c r="AG297" s="1013"/>
      <c r="AH297" s="1013"/>
      <c r="AI297" s="1013"/>
      <c r="AJ297" s="1013"/>
      <c r="AK297" s="1013"/>
      <c r="AL297" s="1013"/>
      <c r="AM297" s="1013"/>
      <c r="AN297" s="1013"/>
      <c r="AO297" s="1013"/>
      <c r="AP297" s="1013"/>
      <c r="AQ297" s="1013"/>
      <c r="AR297" s="1013"/>
      <c r="AS297" s="1013"/>
      <c r="AT297" s="1013"/>
      <c r="AU297" s="1013"/>
      <c r="AV297" s="1013"/>
      <c r="AW297" s="1013"/>
      <c r="AX297" s="1013"/>
      <c r="AY297" s="1013"/>
      <c r="AZ297" s="1013"/>
      <c r="BA297" s="1013"/>
      <c r="BB297" s="1013"/>
      <c r="BC297" s="1013"/>
      <c r="BD297" s="1013"/>
    </row>
    <row r="298" spans="1:56" s="901" customFormat="1" x14ac:dyDescent="0.25">
      <c r="A298" s="983"/>
      <c r="B298" s="828" t="s">
        <v>1400</v>
      </c>
      <c r="C298" s="829" t="s">
        <v>714</v>
      </c>
      <c r="D298" s="829" t="s">
        <v>1401</v>
      </c>
      <c r="E298" s="830" t="s">
        <v>1438</v>
      </c>
      <c r="F298" s="833"/>
      <c r="G298" s="833"/>
      <c r="H298" s="1015"/>
      <c r="I298" s="1015"/>
      <c r="J298" s="1016"/>
      <c r="K298" s="1016"/>
      <c r="L298" s="880"/>
      <c r="M298" s="880"/>
      <c r="N298" s="880"/>
      <c r="O298" s="880"/>
      <c r="P298" s="880"/>
      <c r="Q298" s="880"/>
      <c r="R298" s="880"/>
      <c r="S298" s="1017"/>
      <c r="T298" s="858"/>
      <c r="U298" s="858"/>
      <c r="V298" s="858"/>
      <c r="W298" s="858"/>
      <c r="X298" s="858"/>
      <c r="Y298" s="858"/>
      <c r="Z298" s="858"/>
      <c r="AA298" s="858"/>
      <c r="AB298" s="858"/>
      <c r="AC298" s="858"/>
      <c r="AD298" s="858"/>
      <c r="AE298" s="858"/>
      <c r="AF298" s="858"/>
      <c r="AG298" s="858"/>
      <c r="AH298" s="858"/>
      <c r="AI298" s="858"/>
      <c r="AJ298" s="858"/>
      <c r="AK298" s="858"/>
      <c r="AL298" s="858"/>
      <c r="AM298" s="858"/>
      <c r="AN298" s="858"/>
      <c r="AO298" s="858"/>
      <c r="AP298" s="858"/>
      <c r="AQ298" s="858"/>
      <c r="AR298" s="858"/>
      <c r="AS298" s="858"/>
      <c r="AT298" s="858"/>
      <c r="AU298" s="858"/>
      <c r="AV298" s="858"/>
      <c r="AW298" s="858"/>
      <c r="AX298" s="858"/>
      <c r="AY298" s="858"/>
      <c r="AZ298" s="858"/>
      <c r="BA298" s="858"/>
      <c r="BB298" s="858"/>
      <c r="BC298" s="858"/>
      <c r="BD298" s="858"/>
    </row>
    <row r="299" spans="1:56" s="901" customFormat="1" x14ac:dyDescent="0.25">
      <c r="A299" s="983"/>
      <c r="B299" s="828" t="s">
        <v>1402</v>
      </c>
      <c r="C299" s="829" t="s">
        <v>739</v>
      </c>
      <c r="D299" s="829" t="s">
        <v>1401</v>
      </c>
      <c r="E299" s="830" t="s">
        <v>1439</v>
      </c>
      <c r="F299" s="833"/>
      <c r="G299" s="833"/>
      <c r="H299" s="1015"/>
      <c r="I299" s="1015"/>
      <c r="J299" s="1016"/>
      <c r="K299" s="1016"/>
      <c r="L299" s="880"/>
      <c r="M299" s="880"/>
      <c r="N299" s="880"/>
      <c r="O299" s="880"/>
      <c r="P299" s="880"/>
      <c r="Q299" s="880"/>
      <c r="R299" s="880"/>
      <c r="S299" s="1017"/>
      <c r="T299" s="858"/>
      <c r="U299" s="858"/>
      <c r="V299" s="858"/>
      <c r="W299" s="858"/>
      <c r="X299" s="858"/>
      <c r="Y299" s="858"/>
      <c r="Z299" s="858"/>
      <c r="AA299" s="858"/>
      <c r="AB299" s="858"/>
      <c r="AC299" s="858"/>
      <c r="AD299" s="858"/>
      <c r="AE299" s="858"/>
      <c r="AF299" s="858"/>
      <c r="AG299" s="858"/>
      <c r="AH299" s="858"/>
      <c r="AI299" s="858"/>
      <c r="AJ299" s="858"/>
      <c r="AK299" s="858"/>
      <c r="AL299" s="858"/>
      <c r="AM299" s="858"/>
      <c r="AN299" s="858"/>
      <c r="AO299" s="858"/>
      <c r="AP299" s="858"/>
      <c r="AQ299" s="858"/>
      <c r="AR299" s="858"/>
      <c r="AS299" s="858"/>
      <c r="AT299" s="858"/>
      <c r="AU299" s="858"/>
      <c r="AV299" s="858"/>
      <c r="AW299" s="858"/>
      <c r="AX299" s="858"/>
      <c r="AY299" s="858"/>
      <c r="AZ299" s="858"/>
      <c r="BA299" s="858"/>
      <c r="BB299" s="858"/>
      <c r="BC299" s="858"/>
      <c r="BD299" s="858"/>
    </row>
    <row r="300" spans="1:56" s="901" customFormat="1" x14ac:dyDescent="0.25">
      <c r="A300" s="983"/>
      <c r="B300" s="828" t="s">
        <v>1403</v>
      </c>
      <c r="C300" s="829" t="s">
        <v>701</v>
      </c>
      <c r="D300" s="829" t="s">
        <v>1401</v>
      </c>
      <c r="E300" s="830" t="s">
        <v>1439</v>
      </c>
      <c r="F300" s="833"/>
      <c r="G300" s="833"/>
      <c r="H300" s="1015"/>
      <c r="I300" s="1015"/>
      <c r="J300" s="1016"/>
      <c r="K300" s="1016"/>
      <c r="L300" s="880"/>
      <c r="M300" s="880"/>
      <c r="N300" s="880"/>
      <c r="O300" s="880"/>
      <c r="P300" s="880"/>
      <c r="Q300" s="880"/>
      <c r="R300" s="880"/>
      <c r="S300" s="1017"/>
      <c r="T300" s="858"/>
      <c r="U300" s="858"/>
      <c r="V300" s="858"/>
      <c r="W300" s="858"/>
      <c r="X300" s="858"/>
      <c r="Y300" s="858"/>
      <c r="Z300" s="858"/>
      <c r="AA300" s="858"/>
      <c r="AB300" s="858"/>
      <c r="AC300" s="858"/>
      <c r="AD300" s="858"/>
      <c r="AE300" s="858"/>
      <c r="AF300" s="858"/>
      <c r="AG300" s="858"/>
      <c r="AH300" s="858"/>
      <c r="AI300" s="858"/>
      <c r="AJ300" s="858"/>
      <c r="AK300" s="858"/>
      <c r="AL300" s="858"/>
      <c r="AM300" s="858"/>
      <c r="AN300" s="858"/>
      <c r="AO300" s="858"/>
      <c r="AP300" s="858"/>
      <c r="AQ300" s="858"/>
      <c r="AR300" s="858"/>
      <c r="AS300" s="858"/>
      <c r="AT300" s="858"/>
      <c r="AU300" s="858"/>
      <c r="AV300" s="858"/>
      <c r="AW300" s="858"/>
      <c r="AX300" s="858"/>
      <c r="AY300" s="858"/>
      <c r="AZ300" s="858"/>
      <c r="BA300" s="858"/>
      <c r="BB300" s="858"/>
      <c r="BC300" s="858"/>
      <c r="BD300" s="858"/>
    </row>
    <row r="301" spans="1:56" s="901" customFormat="1" x14ac:dyDescent="0.25">
      <c r="A301" s="983"/>
      <c r="B301" s="828" t="s">
        <v>1404</v>
      </c>
      <c r="C301" s="829" t="s">
        <v>839</v>
      </c>
      <c r="D301" s="829" t="s">
        <v>1401</v>
      </c>
      <c r="E301" s="830" t="s">
        <v>1439</v>
      </c>
      <c r="F301" s="833"/>
      <c r="G301" s="833"/>
      <c r="H301" s="1015"/>
      <c r="I301" s="1015"/>
      <c r="J301" s="1016"/>
      <c r="K301" s="1016"/>
      <c r="L301" s="880"/>
      <c r="M301" s="880"/>
      <c r="N301" s="880"/>
      <c r="O301" s="880"/>
      <c r="P301" s="880"/>
      <c r="Q301" s="880"/>
      <c r="R301" s="880"/>
      <c r="S301" s="1017"/>
      <c r="T301" s="858"/>
      <c r="U301" s="858"/>
      <c r="V301" s="858"/>
      <c r="W301" s="858"/>
      <c r="X301" s="858"/>
      <c r="Y301" s="858"/>
      <c r="Z301" s="858"/>
      <c r="AA301" s="858"/>
      <c r="AB301" s="858"/>
      <c r="AC301" s="858"/>
      <c r="AD301" s="858"/>
      <c r="AE301" s="858"/>
      <c r="AF301" s="858"/>
      <c r="AG301" s="858"/>
      <c r="AH301" s="858"/>
      <c r="AI301" s="858"/>
      <c r="AJ301" s="858"/>
      <c r="AK301" s="858"/>
      <c r="AL301" s="858"/>
      <c r="AM301" s="858"/>
      <c r="AN301" s="858"/>
      <c r="AO301" s="858"/>
      <c r="AP301" s="858"/>
      <c r="AQ301" s="858"/>
      <c r="AR301" s="858"/>
      <c r="AS301" s="858"/>
      <c r="AT301" s="858"/>
      <c r="AU301" s="858"/>
      <c r="AV301" s="858"/>
      <c r="AW301" s="858"/>
      <c r="AX301" s="858"/>
      <c r="AY301" s="858"/>
      <c r="AZ301" s="858"/>
      <c r="BA301" s="858"/>
      <c r="BB301" s="858"/>
      <c r="BC301" s="858"/>
      <c r="BD301" s="858"/>
    </row>
    <row r="302" spans="1:56" s="901" customFormat="1" x14ac:dyDescent="0.25">
      <c r="A302" s="983"/>
      <c r="B302" s="828" t="s">
        <v>1405</v>
      </c>
      <c r="C302" s="829" t="s">
        <v>928</v>
      </c>
      <c r="D302" s="829" t="s">
        <v>1401</v>
      </c>
      <c r="E302" s="830" t="s">
        <v>1438</v>
      </c>
      <c r="F302" s="833"/>
      <c r="G302" s="833"/>
      <c r="H302" s="1015"/>
      <c r="I302" s="1015"/>
      <c r="J302" s="1016"/>
      <c r="K302" s="1016"/>
      <c r="L302" s="880"/>
      <c r="M302" s="880"/>
      <c r="N302" s="880"/>
      <c r="O302" s="880"/>
      <c r="P302" s="880"/>
      <c r="Q302" s="880"/>
      <c r="R302" s="880"/>
      <c r="S302" s="1017"/>
      <c r="T302" s="858"/>
      <c r="U302" s="858"/>
      <c r="V302" s="858"/>
      <c r="W302" s="858"/>
      <c r="X302" s="858"/>
      <c r="Y302" s="858"/>
      <c r="Z302" s="858"/>
      <c r="AA302" s="858"/>
      <c r="AB302" s="858"/>
      <c r="AC302" s="858"/>
      <c r="AD302" s="858"/>
      <c r="AE302" s="858"/>
      <c r="AF302" s="858"/>
      <c r="AG302" s="858"/>
      <c r="AH302" s="858"/>
      <c r="AI302" s="858"/>
      <c r="AJ302" s="858"/>
      <c r="AK302" s="858"/>
      <c r="AL302" s="858"/>
      <c r="AM302" s="858"/>
      <c r="AN302" s="858"/>
      <c r="AO302" s="858"/>
      <c r="AP302" s="858"/>
      <c r="AQ302" s="858"/>
      <c r="AR302" s="858"/>
      <c r="AS302" s="858"/>
      <c r="AT302" s="858"/>
      <c r="AU302" s="858"/>
      <c r="AV302" s="858"/>
      <c r="AW302" s="858"/>
      <c r="AX302" s="858"/>
      <c r="AY302" s="858"/>
      <c r="AZ302" s="858"/>
      <c r="BA302" s="858"/>
      <c r="BB302" s="858"/>
      <c r="BC302" s="858"/>
      <c r="BD302" s="858"/>
    </row>
    <row r="303" spans="1:56" s="901" customFormat="1" x14ac:dyDescent="0.25">
      <c r="A303" s="983"/>
      <c r="B303" s="828" t="s">
        <v>1406</v>
      </c>
      <c r="C303" s="829" t="s">
        <v>723</v>
      </c>
      <c r="D303" s="829" t="s">
        <v>1401</v>
      </c>
      <c r="E303" s="830" t="s">
        <v>1440</v>
      </c>
      <c r="F303" s="833"/>
      <c r="G303" s="833"/>
      <c r="H303" s="1015"/>
      <c r="I303" s="1015"/>
      <c r="J303" s="1016"/>
      <c r="K303" s="1016"/>
      <c r="L303" s="880"/>
      <c r="M303" s="880"/>
      <c r="N303" s="880"/>
      <c r="O303" s="880"/>
      <c r="P303" s="880"/>
      <c r="Q303" s="880"/>
      <c r="R303" s="880"/>
      <c r="S303" s="1017"/>
      <c r="T303" s="858"/>
      <c r="U303" s="858"/>
      <c r="V303" s="858"/>
      <c r="W303" s="858"/>
      <c r="X303" s="858"/>
      <c r="Y303" s="858"/>
      <c r="Z303" s="858"/>
      <c r="AA303" s="858"/>
      <c r="AB303" s="858"/>
      <c r="AC303" s="858"/>
      <c r="AD303" s="858"/>
      <c r="AE303" s="858"/>
      <c r="AF303" s="858"/>
      <c r="AG303" s="858"/>
      <c r="AH303" s="858"/>
      <c r="AI303" s="858"/>
      <c r="AJ303" s="858"/>
      <c r="AK303" s="858"/>
      <c r="AL303" s="858"/>
      <c r="AM303" s="858"/>
      <c r="AN303" s="858"/>
      <c r="AO303" s="858"/>
      <c r="AP303" s="858"/>
      <c r="AQ303" s="858"/>
      <c r="AR303" s="858"/>
      <c r="AS303" s="858"/>
      <c r="AT303" s="858"/>
      <c r="AU303" s="858"/>
      <c r="AV303" s="858"/>
      <c r="AW303" s="858"/>
      <c r="AX303" s="858"/>
      <c r="AY303" s="858"/>
      <c r="AZ303" s="858"/>
      <c r="BA303" s="858"/>
      <c r="BB303" s="858"/>
      <c r="BC303" s="858"/>
      <c r="BD303" s="858"/>
    </row>
    <row r="304" spans="1:56" s="901" customFormat="1" x14ac:dyDescent="0.25">
      <c r="A304" s="983"/>
      <c r="B304" s="828" t="s">
        <v>1407</v>
      </c>
      <c r="C304" s="829" t="s">
        <v>695</v>
      </c>
      <c r="D304" s="829" t="s">
        <v>1401</v>
      </c>
      <c r="E304" s="830" t="s">
        <v>1438</v>
      </c>
      <c r="F304" s="833"/>
      <c r="G304" s="833"/>
      <c r="H304" s="1015"/>
      <c r="I304" s="1015"/>
      <c r="J304" s="1016"/>
      <c r="K304" s="1016"/>
      <c r="L304" s="880"/>
      <c r="M304" s="880"/>
      <c r="N304" s="880"/>
      <c r="O304" s="880"/>
      <c r="P304" s="880"/>
      <c r="Q304" s="880"/>
      <c r="R304" s="880"/>
      <c r="S304" s="1017"/>
      <c r="T304" s="858"/>
      <c r="U304" s="858"/>
      <c r="V304" s="858"/>
      <c r="W304" s="858"/>
      <c r="X304" s="858"/>
      <c r="Y304" s="858"/>
      <c r="Z304" s="858"/>
      <c r="AA304" s="858"/>
      <c r="AB304" s="858"/>
      <c r="AC304" s="858"/>
      <c r="AD304" s="858"/>
      <c r="AE304" s="858"/>
      <c r="AF304" s="858"/>
      <c r="AG304" s="858"/>
      <c r="AH304" s="858"/>
      <c r="AI304" s="858"/>
      <c r="AJ304" s="858"/>
      <c r="AK304" s="858"/>
      <c r="AL304" s="858"/>
      <c r="AM304" s="858"/>
      <c r="AN304" s="858"/>
      <c r="AO304" s="858"/>
      <c r="AP304" s="858"/>
      <c r="AQ304" s="858"/>
      <c r="AR304" s="858"/>
      <c r="AS304" s="858"/>
      <c r="AT304" s="858"/>
      <c r="AU304" s="858"/>
      <c r="AV304" s="858"/>
      <c r="AW304" s="858"/>
      <c r="AX304" s="858"/>
      <c r="AY304" s="858"/>
      <c r="AZ304" s="858"/>
      <c r="BA304" s="858"/>
      <c r="BB304" s="858"/>
      <c r="BC304" s="858"/>
      <c r="BD304" s="858"/>
    </row>
    <row r="305" spans="1:56" s="901" customFormat="1" x14ac:dyDescent="0.25">
      <c r="A305" s="983"/>
      <c r="B305" s="828" t="s">
        <v>1408</v>
      </c>
      <c r="C305" s="828"/>
      <c r="D305" s="828"/>
      <c r="E305" s="830"/>
      <c r="F305" s="833"/>
      <c r="G305" s="833"/>
      <c r="H305" s="1015"/>
      <c r="I305" s="1015"/>
      <c r="J305" s="1016"/>
      <c r="K305" s="1016"/>
      <c r="L305" s="880"/>
      <c r="M305" s="880"/>
      <c r="N305" s="880"/>
      <c r="O305" s="880"/>
      <c r="P305" s="880"/>
      <c r="Q305" s="880"/>
      <c r="R305" s="880"/>
      <c r="S305" s="1017"/>
      <c r="T305" s="858"/>
      <c r="U305" s="858"/>
      <c r="V305" s="858"/>
      <c r="W305" s="858"/>
      <c r="X305" s="858"/>
      <c r="Y305" s="858"/>
      <c r="Z305" s="858"/>
      <c r="AA305" s="858"/>
      <c r="AB305" s="858"/>
      <c r="AC305" s="858"/>
      <c r="AD305" s="858"/>
      <c r="AE305" s="858"/>
      <c r="AF305" s="858"/>
      <c r="AG305" s="858"/>
      <c r="AH305" s="858"/>
      <c r="AI305" s="858"/>
      <c r="AJ305" s="858"/>
      <c r="AK305" s="858"/>
      <c r="AL305" s="858"/>
      <c r="AM305" s="858"/>
      <c r="AN305" s="858"/>
      <c r="AO305" s="858"/>
      <c r="AP305" s="858"/>
      <c r="AQ305" s="858"/>
      <c r="AR305" s="858"/>
      <c r="AS305" s="858"/>
      <c r="AT305" s="858"/>
      <c r="AU305" s="858"/>
      <c r="AV305" s="858"/>
      <c r="AW305" s="858"/>
      <c r="AX305" s="858"/>
      <c r="AY305" s="858"/>
      <c r="AZ305" s="858"/>
      <c r="BA305" s="858"/>
      <c r="BB305" s="858"/>
      <c r="BC305" s="858"/>
      <c r="BD305" s="858"/>
    </row>
    <row r="306" spans="1:56" s="901" customFormat="1" x14ac:dyDescent="0.25">
      <c r="A306" s="983"/>
      <c r="B306" s="840" t="s">
        <v>1409</v>
      </c>
      <c r="C306" s="840"/>
      <c r="D306" s="840"/>
      <c r="E306" s="830"/>
      <c r="F306" s="833"/>
      <c r="G306" s="833"/>
      <c r="H306" s="1015"/>
      <c r="I306" s="1015"/>
      <c r="J306" s="1016"/>
      <c r="K306" s="1016"/>
      <c r="L306" s="880"/>
      <c r="M306" s="880"/>
      <c r="N306" s="880"/>
      <c r="O306" s="880"/>
      <c r="P306" s="880"/>
      <c r="Q306" s="880"/>
      <c r="R306" s="880"/>
      <c r="S306" s="1017"/>
      <c r="T306" s="858"/>
      <c r="U306" s="858"/>
      <c r="V306" s="858"/>
      <c r="W306" s="858"/>
      <c r="X306" s="858"/>
      <c r="Y306" s="858"/>
      <c r="Z306" s="858"/>
      <c r="AA306" s="858"/>
      <c r="AB306" s="858"/>
      <c r="AC306" s="858"/>
      <c r="AD306" s="858"/>
      <c r="AE306" s="858"/>
      <c r="AF306" s="858"/>
      <c r="AG306" s="858"/>
      <c r="AH306" s="858"/>
      <c r="AI306" s="858"/>
      <c r="AJ306" s="858"/>
      <c r="AK306" s="858"/>
      <c r="AL306" s="858"/>
      <c r="AM306" s="858"/>
      <c r="AN306" s="858"/>
      <c r="AO306" s="858"/>
      <c r="AP306" s="858"/>
      <c r="AQ306" s="858"/>
      <c r="AR306" s="858"/>
      <c r="AS306" s="858"/>
      <c r="AT306" s="858"/>
      <c r="AU306" s="858"/>
      <c r="AV306" s="858"/>
      <c r="AW306" s="858"/>
      <c r="AX306" s="858"/>
      <c r="AY306" s="858"/>
      <c r="AZ306" s="858"/>
      <c r="BA306" s="858"/>
      <c r="BB306" s="858"/>
      <c r="BC306" s="858"/>
      <c r="BD306" s="858"/>
    </row>
    <row r="307" spans="1:56" s="901" customFormat="1" x14ac:dyDescent="0.25">
      <c r="A307" s="983"/>
      <c r="B307" s="840" t="s">
        <v>1441</v>
      </c>
      <c r="C307" s="841" t="s">
        <v>1411</v>
      </c>
      <c r="D307" s="841" t="s">
        <v>1412</v>
      </c>
      <c r="E307" s="830" t="s">
        <v>1439</v>
      </c>
      <c r="F307" s="833"/>
      <c r="G307" s="833"/>
      <c r="H307" s="1015"/>
      <c r="I307" s="1015"/>
      <c r="J307" s="1016"/>
      <c r="K307" s="1016"/>
      <c r="L307" s="880"/>
      <c r="M307" s="880"/>
      <c r="N307" s="880"/>
      <c r="O307" s="880"/>
      <c r="P307" s="880"/>
      <c r="Q307" s="880"/>
      <c r="R307" s="880"/>
      <c r="S307" s="1017"/>
      <c r="T307" s="858"/>
      <c r="U307" s="858"/>
      <c r="V307" s="858"/>
      <c r="W307" s="858"/>
      <c r="X307" s="858"/>
      <c r="Y307" s="858"/>
      <c r="Z307" s="858"/>
      <c r="AA307" s="858"/>
      <c r="AB307" s="858"/>
      <c r="AC307" s="858"/>
      <c r="AD307" s="858"/>
      <c r="AE307" s="858"/>
      <c r="AF307" s="858"/>
      <c r="AG307" s="858"/>
      <c r="AH307" s="858"/>
      <c r="AI307" s="858"/>
      <c r="AJ307" s="858"/>
      <c r="AK307" s="858"/>
      <c r="AL307" s="858"/>
      <c r="AM307" s="858"/>
      <c r="AN307" s="858"/>
      <c r="AO307" s="858"/>
      <c r="AP307" s="858"/>
      <c r="AQ307" s="858"/>
      <c r="AR307" s="858"/>
      <c r="AS307" s="858"/>
      <c r="AT307" s="858"/>
      <c r="AU307" s="858"/>
      <c r="AV307" s="858"/>
      <c r="AW307" s="858"/>
      <c r="AX307" s="858"/>
      <c r="AY307" s="858"/>
      <c r="AZ307" s="858"/>
      <c r="BA307" s="858"/>
      <c r="BB307" s="858"/>
      <c r="BC307" s="858"/>
      <c r="BD307" s="858"/>
    </row>
    <row r="308" spans="1:56" s="901" customFormat="1" x14ac:dyDescent="0.25">
      <c r="A308" s="983"/>
      <c r="B308" s="840" t="s">
        <v>1442</v>
      </c>
      <c r="C308" s="841" t="s">
        <v>1414</v>
      </c>
      <c r="D308" s="841" t="s">
        <v>1412</v>
      </c>
      <c r="E308" s="830" t="s">
        <v>1438</v>
      </c>
      <c r="F308" s="833"/>
      <c r="G308" s="833"/>
      <c r="H308" s="1015"/>
      <c r="I308" s="1015"/>
      <c r="J308" s="1016"/>
      <c r="K308" s="1016"/>
      <c r="L308" s="880"/>
      <c r="M308" s="880"/>
      <c r="N308" s="880"/>
      <c r="O308" s="880"/>
      <c r="P308" s="880"/>
      <c r="Q308" s="880"/>
      <c r="R308" s="880"/>
      <c r="S308" s="1017"/>
      <c r="T308" s="858"/>
      <c r="U308" s="858"/>
      <c r="V308" s="858"/>
      <c r="W308" s="858"/>
      <c r="X308" s="858"/>
      <c r="Y308" s="858"/>
      <c r="Z308" s="858"/>
      <c r="AA308" s="858"/>
      <c r="AB308" s="858"/>
      <c r="AC308" s="858"/>
      <c r="AD308" s="858"/>
      <c r="AE308" s="858"/>
      <c r="AF308" s="858"/>
      <c r="AG308" s="858"/>
      <c r="AH308" s="858"/>
      <c r="AI308" s="858"/>
      <c r="AJ308" s="858"/>
      <c r="AK308" s="858"/>
      <c r="AL308" s="858"/>
      <c r="AM308" s="858"/>
      <c r="AN308" s="858"/>
      <c r="AO308" s="858"/>
      <c r="AP308" s="858"/>
      <c r="AQ308" s="858"/>
      <c r="AR308" s="858"/>
      <c r="AS308" s="858"/>
      <c r="AT308" s="858"/>
      <c r="AU308" s="858"/>
      <c r="AV308" s="858"/>
      <c r="AW308" s="858"/>
      <c r="AX308" s="858"/>
      <c r="AY308" s="858"/>
      <c r="AZ308" s="858"/>
      <c r="BA308" s="858"/>
      <c r="BB308" s="858"/>
      <c r="BC308" s="858"/>
      <c r="BD308" s="858"/>
    </row>
    <row r="309" spans="1:56" s="922" customFormat="1" x14ac:dyDescent="0.25">
      <c r="A309" s="987"/>
      <c r="B309" s="840" t="s">
        <v>1415</v>
      </c>
      <c r="C309" s="841" t="s">
        <v>1416</v>
      </c>
      <c r="D309" s="841" t="s">
        <v>1412</v>
      </c>
      <c r="E309" s="830" t="s">
        <v>1439</v>
      </c>
      <c r="F309" s="833"/>
      <c r="G309" s="833"/>
      <c r="H309" s="995"/>
      <c r="I309" s="995"/>
      <c r="J309" s="996"/>
      <c r="K309" s="996"/>
      <c r="L309" s="996"/>
      <c r="M309" s="996"/>
      <c r="N309" s="996"/>
      <c r="O309" s="884"/>
      <c r="P309" s="884"/>
      <c r="Q309" s="884"/>
      <c r="R309" s="884"/>
      <c r="S309" s="934"/>
      <c r="T309" s="885"/>
      <c r="U309" s="885"/>
      <c r="V309" s="885"/>
      <c r="W309" s="885"/>
      <c r="X309" s="885"/>
      <c r="Y309" s="885"/>
      <c r="Z309" s="885"/>
      <c r="AA309" s="885"/>
      <c r="AB309" s="885"/>
      <c r="AC309" s="885"/>
      <c r="AD309" s="885"/>
      <c r="AE309" s="885"/>
      <c r="AF309" s="885"/>
      <c r="AG309" s="885"/>
      <c r="AH309" s="885"/>
      <c r="AI309" s="885"/>
      <c r="AJ309" s="885"/>
      <c r="AK309" s="885"/>
      <c r="AL309" s="885"/>
      <c r="AM309" s="885"/>
      <c r="AN309" s="885"/>
      <c r="AO309" s="885"/>
      <c r="AP309" s="885"/>
      <c r="AQ309" s="885"/>
      <c r="AR309" s="885"/>
      <c r="AS309" s="885"/>
      <c r="AT309" s="885"/>
      <c r="AU309" s="885"/>
      <c r="AV309" s="885"/>
      <c r="AW309" s="885"/>
      <c r="AX309" s="885"/>
      <c r="AY309" s="885"/>
      <c r="AZ309" s="885"/>
      <c r="BA309" s="885"/>
      <c r="BB309" s="885"/>
      <c r="BC309" s="885"/>
      <c r="BD309" s="885"/>
    </row>
    <row r="310" spans="1:56" s="922" customFormat="1" x14ac:dyDescent="0.25">
      <c r="A310" s="987"/>
      <c r="B310" s="828" t="s">
        <v>1417</v>
      </c>
      <c r="C310" s="828"/>
      <c r="D310" s="828"/>
      <c r="E310" s="830" t="s">
        <v>1440</v>
      </c>
      <c r="F310" s="833"/>
      <c r="G310" s="833"/>
      <c r="H310" s="995"/>
      <c r="I310" s="995"/>
      <c r="J310" s="996"/>
      <c r="K310" s="996"/>
      <c r="L310" s="996"/>
      <c r="M310" s="996"/>
      <c r="N310" s="996"/>
      <c r="O310" s="884"/>
      <c r="P310" s="884"/>
      <c r="Q310" s="884"/>
      <c r="R310" s="884"/>
      <c r="S310" s="934"/>
      <c r="T310" s="885"/>
      <c r="U310" s="885"/>
      <c r="V310" s="885"/>
      <c r="W310" s="885"/>
      <c r="X310" s="885"/>
      <c r="Y310" s="885"/>
      <c r="Z310" s="885"/>
      <c r="AA310" s="885"/>
      <c r="AB310" s="885"/>
      <c r="AC310" s="885"/>
      <c r="AD310" s="885"/>
      <c r="AE310" s="885"/>
      <c r="AF310" s="885"/>
      <c r="AG310" s="885"/>
      <c r="AH310" s="885"/>
      <c r="AI310" s="885"/>
      <c r="AJ310" s="885"/>
      <c r="AK310" s="885"/>
      <c r="AL310" s="885"/>
      <c r="AM310" s="885"/>
      <c r="AN310" s="885"/>
      <c r="AO310" s="885"/>
      <c r="AP310" s="885"/>
      <c r="AQ310" s="885"/>
      <c r="AR310" s="885"/>
      <c r="AS310" s="885"/>
      <c r="AT310" s="885"/>
      <c r="AU310" s="885"/>
      <c r="AV310" s="885"/>
      <c r="AW310" s="885"/>
      <c r="AX310" s="885"/>
      <c r="AY310" s="885"/>
      <c r="AZ310" s="885"/>
      <c r="BA310" s="885"/>
      <c r="BB310" s="885"/>
      <c r="BC310" s="885"/>
      <c r="BD310" s="885"/>
    </row>
    <row r="311" spans="1:56" s="922" customFormat="1" x14ac:dyDescent="0.25">
      <c r="A311" s="987"/>
      <c r="B311" s="840" t="s">
        <v>1418</v>
      </c>
      <c r="C311" s="841" t="s">
        <v>1419</v>
      </c>
      <c r="D311" s="829" t="s">
        <v>1401</v>
      </c>
      <c r="E311" s="830" t="s">
        <v>1438</v>
      </c>
      <c r="F311" s="833"/>
      <c r="G311" s="833"/>
      <c r="H311" s="995"/>
      <c r="I311" s="995"/>
      <c r="J311" s="996"/>
      <c r="K311" s="996"/>
      <c r="L311" s="996"/>
      <c r="M311" s="996"/>
      <c r="N311" s="996"/>
      <c r="O311" s="884"/>
      <c r="P311" s="884"/>
      <c r="Q311" s="884"/>
      <c r="R311" s="884"/>
      <c r="S311" s="934"/>
      <c r="T311" s="885"/>
      <c r="U311" s="885"/>
      <c r="V311" s="885"/>
      <c r="W311" s="885"/>
      <c r="X311" s="885"/>
      <c r="Y311" s="885"/>
      <c r="Z311" s="885"/>
      <c r="AA311" s="885"/>
      <c r="AB311" s="885"/>
      <c r="AC311" s="885"/>
      <c r="AD311" s="885"/>
      <c r="AE311" s="885"/>
      <c r="AF311" s="885"/>
      <c r="AG311" s="885"/>
      <c r="AH311" s="885"/>
      <c r="AI311" s="885"/>
      <c r="AJ311" s="885"/>
      <c r="AK311" s="885"/>
      <c r="AL311" s="885"/>
      <c r="AM311" s="885"/>
      <c r="AN311" s="885"/>
      <c r="AO311" s="885"/>
      <c r="AP311" s="885"/>
      <c r="AQ311" s="885"/>
      <c r="AR311" s="885"/>
      <c r="AS311" s="885"/>
      <c r="AT311" s="885"/>
      <c r="AU311" s="885"/>
      <c r="AV311" s="885"/>
      <c r="AW311" s="885"/>
      <c r="AX311" s="885"/>
      <c r="AY311" s="885"/>
      <c r="AZ311" s="885"/>
      <c r="BA311" s="885"/>
      <c r="BB311" s="885"/>
      <c r="BC311" s="885"/>
      <c r="BD311" s="885"/>
    </row>
    <row r="312" spans="1:56" s="922" customFormat="1" x14ac:dyDescent="0.25">
      <c r="A312" s="987"/>
      <c r="B312" s="840" t="s">
        <v>1420</v>
      </c>
      <c r="C312" s="841" t="s">
        <v>1421</v>
      </c>
      <c r="D312" s="829" t="s">
        <v>1401</v>
      </c>
      <c r="E312" s="830" t="s">
        <v>1439</v>
      </c>
      <c r="F312" s="833"/>
      <c r="G312" s="833"/>
      <c r="H312" s="995"/>
      <c r="I312" s="995"/>
      <c r="J312" s="996"/>
      <c r="K312" s="996"/>
      <c r="L312" s="996"/>
      <c r="M312" s="996"/>
      <c r="N312" s="996"/>
      <c r="O312" s="884"/>
      <c r="P312" s="884"/>
      <c r="Q312" s="884"/>
      <c r="R312" s="884"/>
      <c r="S312" s="934"/>
      <c r="T312" s="885"/>
      <c r="U312" s="885"/>
      <c r="V312" s="885"/>
      <c r="W312" s="885"/>
      <c r="X312" s="885"/>
      <c r="Y312" s="885"/>
      <c r="Z312" s="885"/>
      <c r="AA312" s="885"/>
      <c r="AB312" s="885"/>
      <c r="AC312" s="885"/>
      <c r="AD312" s="885"/>
      <c r="AE312" s="885"/>
      <c r="AF312" s="885"/>
      <c r="AG312" s="885"/>
      <c r="AH312" s="885"/>
      <c r="AI312" s="885"/>
      <c r="AJ312" s="885"/>
      <c r="AK312" s="885"/>
      <c r="AL312" s="885"/>
      <c r="AM312" s="885"/>
      <c r="AN312" s="885"/>
      <c r="AO312" s="885"/>
      <c r="AP312" s="885"/>
      <c r="AQ312" s="885"/>
      <c r="AR312" s="885"/>
      <c r="AS312" s="885"/>
      <c r="AT312" s="885"/>
      <c r="AU312" s="885"/>
      <c r="AV312" s="885"/>
      <c r="AW312" s="885"/>
      <c r="AX312" s="885"/>
      <c r="AY312" s="885"/>
      <c r="AZ312" s="885"/>
      <c r="BA312" s="885"/>
      <c r="BB312" s="885"/>
      <c r="BC312" s="885"/>
      <c r="BD312" s="885"/>
    </row>
    <row r="313" spans="1:56" s="922" customFormat="1" x14ac:dyDescent="0.25">
      <c r="A313" s="987"/>
      <c r="B313" s="828" t="s">
        <v>1422</v>
      </c>
      <c r="C313" s="828"/>
      <c r="D313" s="828"/>
      <c r="E313" s="830" t="s">
        <v>1440</v>
      </c>
      <c r="F313" s="833"/>
      <c r="G313" s="833"/>
      <c r="H313" s="995"/>
      <c r="I313" s="995"/>
      <c r="J313" s="996"/>
      <c r="K313" s="996"/>
      <c r="L313" s="996"/>
      <c r="M313" s="996"/>
      <c r="N313" s="996"/>
      <c r="O313" s="884"/>
      <c r="P313" s="884"/>
      <c r="Q313" s="884"/>
      <c r="R313" s="884"/>
      <c r="S313" s="934"/>
      <c r="T313" s="885"/>
      <c r="U313" s="885"/>
      <c r="V313" s="885"/>
      <c r="W313" s="885"/>
      <c r="X313" s="885"/>
      <c r="Y313" s="885"/>
      <c r="Z313" s="885"/>
      <c r="AA313" s="885"/>
      <c r="AB313" s="885"/>
      <c r="AC313" s="885"/>
      <c r="AD313" s="885"/>
      <c r="AE313" s="885"/>
      <c r="AF313" s="885"/>
      <c r="AG313" s="885"/>
      <c r="AH313" s="885"/>
      <c r="AI313" s="885"/>
      <c r="AJ313" s="885"/>
      <c r="AK313" s="885"/>
      <c r="AL313" s="885"/>
      <c r="AM313" s="885"/>
      <c r="AN313" s="885"/>
      <c r="AO313" s="885"/>
      <c r="AP313" s="885"/>
      <c r="AQ313" s="885"/>
      <c r="AR313" s="885"/>
      <c r="AS313" s="885"/>
      <c r="AT313" s="885"/>
      <c r="AU313" s="885"/>
      <c r="AV313" s="885"/>
      <c r="AW313" s="885"/>
      <c r="AX313" s="885"/>
      <c r="AY313" s="885"/>
      <c r="AZ313" s="885"/>
      <c r="BA313" s="885"/>
      <c r="BB313" s="885"/>
      <c r="BC313" s="885"/>
      <c r="BD313" s="885"/>
    </row>
    <row r="314" spans="1:56" s="922" customFormat="1" x14ac:dyDescent="0.25">
      <c r="A314" s="987"/>
      <c r="B314" s="840" t="s">
        <v>1423</v>
      </c>
      <c r="C314" s="841" t="s">
        <v>1424</v>
      </c>
      <c r="D314" s="841" t="s">
        <v>1412</v>
      </c>
      <c r="E314" s="830" t="s">
        <v>1438</v>
      </c>
      <c r="F314" s="833"/>
      <c r="G314" s="833"/>
      <c r="H314" s="995"/>
      <c r="I314" s="995"/>
      <c r="J314" s="996"/>
      <c r="K314" s="996"/>
      <c r="L314" s="996"/>
      <c r="M314" s="996"/>
      <c r="N314" s="996"/>
      <c r="O314" s="884"/>
      <c r="P314" s="884"/>
      <c r="Q314" s="884"/>
      <c r="R314" s="884"/>
      <c r="S314" s="934"/>
      <c r="T314" s="885"/>
      <c r="U314" s="885"/>
      <c r="V314" s="885"/>
      <c r="W314" s="885"/>
      <c r="X314" s="885"/>
      <c r="Y314" s="885"/>
      <c r="Z314" s="885"/>
      <c r="AA314" s="885"/>
      <c r="AB314" s="885"/>
      <c r="AC314" s="885"/>
      <c r="AD314" s="885"/>
      <c r="AE314" s="885"/>
      <c r="AF314" s="885"/>
      <c r="AG314" s="885"/>
      <c r="AH314" s="885"/>
      <c r="AI314" s="885"/>
      <c r="AJ314" s="885"/>
      <c r="AK314" s="885"/>
      <c r="AL314" s="885"/>
      <c r="AM314" s="885"/>
      <c r="AN314" s="885"/>
      <c r="AO314" s="885"/>
      <c r="AP314" s="885"/>
      <c r="AQ314" s="885"/>
      <c r="AR314" s="885"/>
      <c r="AS314" s="885"/>
      <c r="AT314" s="885"/>
      <c r="AU314" s="885"/>
      <c r="AV314" s="885"/>
      <c r="AW314" s="885"/>
      <c r="AX314" s="885"/>
      <c r="AY314" s="885"/>
      <c r="AZ314" s="885"/>
      <c r="BA314" s="885"/>
      <c r="BB314" s="885"/>
      <c r="BC314" s="885"/>
      <c r="BD314" s="885"/>
    </row>
    <row r="315" spans="1:56" s="922" customFormat="1" x14ac:dyDescent="0.25">
      <c r="A315" s="987"/>
      <c r="B315" s="840" t="s">
        <v>1425</v>
      </c>
      <c r="C315" s="841" t="s">
        <v>1426</v>
      </c>
      <c r="D315" s="829" t="s">
        <v>1401</v>
      </c>
      <c r="E315" s="830" t="s">
        <v>1439</v>
      </c>
      <c r="F315" s="833"/>
      <c r="G315" s="833"/>
      <c r="H315" s="995"/>
      <c r="I315" s="995"/>
      <c r="J315" s="996"/>
      <c r="K315" s="996"/>
      <c r="L315" s="996"/>
      <c r="M315" s="996"/>
      <c r="N315" s="996"/>
      <c r="O315" s="884"/>
      <c r="P315" s="884"/>
      <c r="Q315" s="884"/>
      <c r="R315" s="884"/>
      <c r="S315" s="934"/>
      <c r="T315" s="885"/>
      <c r="U315" s="885"/>
      <c r="V315" s="885"/>
      <c r="W315" s="885"/>
      <c r="X315" s="885"/>
      <c r="Y315" s="885"/>
      <c r="Z315" s="885"/>
      <c r="AA315" s="885"/>
      <c r="AB315" s="885"/>
      <c r="AC315" s="885"/>
      <c r="AD315" s="885"/>
      <c r="AE315" s="885"/>
      <c r="AF315" s="885"/>
      <c r="AG315" s="885"/>
      <c r="AH315" s="885"/>
      <c r="AI315" s="885"/>
      <c r="AJ315" s="885"/>
      <c r="AK315" s="885"/>
      <c r="AL315" s="885"/>
      <c r="AM315" s="885"/>
      <c r="AN315" s="885"/>
      <c r="AO315" s="885"/>
      <c r="AP315" s="885"/>
      <c r="AQ315" s="885"/>
      <c r="AR315" s="885"/>
      <c r="AS315" s="885"/>
      <c r="AT315" s="885"/>
      <c r="AU315" s="885"/>
      <c r="AV315" s="885"/>
      <c r="AW315" s="885"/>
      <c r="AX315" s="885"/>
      <c r="AY315" s="885"/>
      <c r="AZ315" s="885"/>
      <c r="BA315" s="885"/>
      <c r="BB315" s="885"/>
      <c r="BC315" s="885"/>
      <c r="BD315" s="885"/>
    </row>
    <row r="316" spans="1:56" s="922" customFormat="1" x14ac:dyDescent="0.25">
      <c r="A316" s="987"/>
      <c r="B316" s="840" t="s">
        <v>1427</v>
      </c>
      <c r="C316" s="841" t="s">
        <v>1428</v>
      </c>
      <c r="D316" s="829" t="s">
        <v>1401</v>
      </c>
      <c r="E316" s="830" t="s">
        <v>1438</v>
      </c>
      <c r="F316" s="833"/>
      <c r="G316" s="833"/>
      <c r="H316" s="995"/>
      <c r="I316" s="995"/>
      <c r="J316" s="996"/>
      <c r="K316" s="996"/>
      <c r="L316" s="996"/>
      <c r="M316" s="996"/>
      <c r="N316" s="996"/>
      <c r="O316" s="884"/>
      <c r="P316" s="884"/>
      <c r="Q316" s="884"/>
      <c r="R316" s="884"/>
      <c r="S316" s="934"/>
      <c r="T316" s="885"/>
      <c r="U316" s="885"/>
      <c r="V316" s="885"/>
      <c r="W316" s="885"/>
      <c r="X316" s="885"/>
      <c r="Y316" s="885"/>
      <c r="Z316" s="885"/>
      <c r="AA316" s="885"/>
      <c r="AB316" s="885"/>
      <c r="AC316" s="885"/>
      <c r="AD316" s="885"/>
      <c r="AE316" s="885"/>
      <c r="AF316" s="885"/>
      <c r="AG316" s="885"/>
      <c r="AH316" s="885"/>
      <c r="AI316" s="885"/>
      <c r="AJ316" s="885"/>
      <c r="AK316" s="885"/>
      <c r="AL316" s="885"/>
      <c r="AM316" s="885"/>
      <c r="AN316" s="885"/>
      <c r="AO316" s="885"/>
      <c r="AP316" s="885"/>
      <c r="AQ316" s="885"/>
      <c r="AR316" s="885"/>
      <c r="AS316" s="885"/>
      <c r="AT316" s="885"/>
      <c r="AU316" s="885"/>
      <c r="AV316" s="885"/>
      <c r="AW316" s="885"/>
      <c r="AX316" s="885"/>
      <c r="AY316" s="885"/>
      <c r="AZ316" s="885"/>
      <c r="BA316" s="885"/>
      <c r="BB316" s="885"/>
      <c r="BC316" s="885"/>
      <c r="BD316" s="885"/>
    </row>
    <row r="317" spans="1:56" s="922" customFormat="1" x14ac:dyDescent="0.25">
      <c r="A317" s="987"/>
      <c r="B317" s="840" t="s">
        <v>1429</v>
      </c>
      <c r="C317" s="841" t="s">
        <v>1430</v>
      </c>
      <c r="D317" s="829" t="s">
        <v>1401</v>
      </c>
      <c r="E317" s="830" t="s">
        <v>1439</v>
      </c>
      <c r="F317" s="833"/>
      <c r="G317" s="833"/>
      <c r="H317" s="995"/>
      <c r="I317" s="995"/>
      <c r="J317" s="996"/>
      <c r="K317" s="996"/>
      <c r="L317" s="996"/>
      <c r="M317" s="996"/>
      <c r="N317" s="996"/>
      <c r="O317" s="884"/>
      <c r="P317" s="884"/>
      <c r="Q317" s="884"/>
      <c r="R317" s="884"/>
      <c r="S317" s="934"/>
      <c r="T317" s="885"/>
      <c r="U317" s="885"/>
      <c r="V317" s="885"/>
      <c r="W317" s="885"/>
      <c r="X317" s="885"/>
      <c r="Y317" s="885"/>
      <c r="Z317" s="885"/>
      <c r="AA317" s="885"/>
      <c r="AB317" s="885"/>
      <c r="AC317" s="885"/>
      <c r="AD317" s="885"/>
      <c r="AE317" s="885"/>
      <c r="AF317" s="885"/>
      <c r="AG317" s="885"/>
      <c r="AH317" s="885"/>
      <c r="AI317" s="885"/>
      <c r="AJ317" s="885"/>
      <c r="AK317" s="885"/>
      <c r="AL317" s="885"/>
      <c r="AM317" s="885"/>
      <c r="AN317" s="885"/>
      <c r="AO317" s="885"/>
      <c r="AP317" s="885"/>
      <c r="AQ317" s="885"/>
      <c r="AR317" s="885"/>
      <c r="AS317" s="885"/>
      <c r="AT317" s="885"/>
      <c r="AU317" s="885"/>
      <c r="AV317" s="885"/>
      <c r="AW317" s="885"/>
      <c r="AX317" s="885"/>
      <c r="AY317" s="885"/>
      <c r="AZ317" s="885"/>
      <c r="BA317" s="885"/>
      <c r="BB317" s="885"/>
      <c r="BC317" s="885"/>
      <c r="BD317" s="885"/>
    </row>
    <row r="318" spans="1:56" s="922" customFormat="1" x14ac:dyDescent="0.25">
      <c r="A318" s="987"/>
      <c r="B318" s="828" t="s">
        <v>1431</v>
      </c>
      <c r="C318" s="829" t="s">
        <v>1432</v>
      </c>
      <c r="D318" s="829"/>
      <c r="E318" s="936"/>
      <c r="F318" s="833"/>
      <c r="G318" s="833"/>
      <c r="H318" s="995"/>
      <c r="I318" s="995"/>
      <c r="J318" s="996"/>
      <c r="K318" s="996"/>
      <c r="L318" s="996"/>
      <c r="M318" s="996"/>
      <c r="N318" s="996"/>
      <c r="O318" s="884"/>
      <c r="P318" s="884"/>
      <c r="Q318" s="884"/>
      <c r="R318" s="884"/>
      <c r="S318" s="934"/>
      <c r="T318" s="885"/>
      <c r="U318" s="885"/>
      <c r="V318" s="885"/>
      <c r="W318" s="885"/>
      <c r="X318" s="885"/>
      <c r="Y318" s="885"/>
      <c r="Z318" s="885"/>
      <c r="AA318" s="885"/>
      <c r="AB318" s="885"/>
      <c r="AC318" s="885"/>
      <c r="AD318" s="885"/>
      <c r="AE318" s="885"/>
      <c r="AF318" s="885"/>
      <c r="AG318" s="885"/>
      <c r="AH318" s="885"/>
      <c r="AI318" s="885"/>
      <c r="AJ318" s="885"/>
      <c r="AK318" s="885"/>
      <c r="AL318" s="885"/>
      <c r="AM318" s="885"/>
      <c r="AN318" s="885"/>
      <c r="AO318" s="885"/>
      <c r="AP318" s="885"/>
      <c r="AQ318" s="885"/>
      <c r="AR318" s="885"/>
      <c r="AS318" s="885"/>
      <c r="AT318" s="885"/>
      <c r="AU318" s="885"/>
      <c r="AV318" s="885"/>
      <c r="AW318" s="885"/>
      <c r="AX318" s="885"/>
      <c r="AY318" s="885"/>
      <c r="AZ318" s="885"/>
      <c r="BA318" s="885"/>
      <c r="BB318" s="885"/>
      <c r="BC318" s="885"/>
      <c r="BD318" s="885"/>
    </row>
    <row r="319" spans="1:56" s="901" customFormat="1" x14ac:dyDescent="0.25">
      <c r="A319" s="983"/>
      <c r="B319" s="844" t="s">
        <v>1473</v>
      </c>
      <c r="C319" s="844"/>
      <c r="D319" s="844"/>
      <c r="E319" s="845" t="s">
        <v>1474</v>
      </c>
      <c r="F319" s="992"/>
      <c r="G319" s="992"/>
      <c r="H319" s="992"/>
      <c r="I319" s="992"/>
      <c r="J319" s="1018"/>
      <c r="K319" s="1018"/>
      <c r="L319" s="1019"/>
      <c r="M319" s="1019"/>
      <c r="N319" s="1019"/>
      <c r="O319" s="1019"/>
      <c r="P319" s="1019"/>
      <c r="Q319" s="1019"/>
      <c r="R319" s="1019">
        <f>(R293*10^9)/(R213*10^6)</f>
        <v>1805.0994770449295</v>
      </c>
      <c r="S319" s="1020">
        <f>(S293*10^9)/(S213*10^6)</f>
        <v>1595.330889160681</v>
      </c>
      <c r="T319" s="850">
        <f>S319*(1+T343)</f>
        <v>1675.0974336187151</v>
      </c>
      <c r="U319" s="850">
        <f t="shared" ref="U319:AD319" si="110">T319*(1+U343)</f>
        <v>1675.0974336187151</v>
      </c>
      <c r="V319" s="850">
        <f t="shared" si="110"/>
        <v>1859.358151316774</v>
      </c>
      <c r="W319" s="850">
        <f t="shared" si="110"/>
        <v>1859.358151316774</v>
      </c>
      <c r="X319" s="850">
        <f t="shared" si="110"/>
        <v>1859.358151316774</v>
      </c>
      <c r="Y319" s="850">
        <f t="shared" si="110"/>
        <v>1859.358151316774</v>
      </c>
      <c r="Z319" s="850">
        <f t="shared" si="110"/>
        <v>1859.358151316774</v>
      </c>
      <c r="AA319" s="850">
        <f t="shared" si="110"/>
        <v>1859.358151316774</v>
      </c>
      <c r="AB319" s="850">
        <f t="shared" si="110"/>
        <v>1859.358151316774</v>
      </c>
      <c r="AC319" s="850">
        <f t="shared" si="110"/>
        <v>1859.358151316774</v>
      </c>
      <c r="AD319" s="850">
        <f t="shared" si="110"/>
        <v>1859.358151316774</v>
      </c>
      <c r="AE319" s="850"/>
      <c r="AF319" s="850"/>
      <c r="AG319" s="850"/>
      <c r="AH319" s="850"/>
      <c r="AI319" s="850">
        <f t="shared" ref="AI319:BD319" si="111">+AH319*(1+AI343)</f>
        <v>0</v>
      </c>
      <c r="AJ319" s="850">
        <f t="shared" si="111"/>
        <v>0</v>
      </c>
      <c r="AK319" s="850">
        <f t="shared" si="111"/>
        <v>0</v>
      </c>
      <c r="AL319" s="850">
        <f t="shared" si="111"/>
        <v>0</v>
      </c>
      <c r="AM319" s="850">
        <f t="shared" si="111"/>
        <v>0</v>
      </c>
      <c r="AN319" s="850">
        <f t="shared" si="111"/>
        <v>0</v>
      </c>
      <c r="AO319" s="850">
        <f t="shared" si="111"/>
        <v>0</v>
      </c>
      <c r="AP319" s="850">
        <f t="shared" si="111"/>
        <v>0</v>
      </c>
      <c r="AQ319" s="850">
        <f t="shared" si="111"/>
        <v>0</v>
      </c>
      <c r="AR319" s="850">
        <f t="shared" si="111"/>
        <v>0</v>
      </c>
      <c r="AS319" s="850">
        <f t="shared" si="111"/>
        <v>0</v>
      </c>
      <c r="AT319" s="850">
        <f t="shared" si="111"/>
        <v>0</v>
      </c>
      <c r="AU319" s="850">
        <f t="shared" si="111"/>
        <v>0</v>
      </c>
      <c r="AV319" s="850">
        <f t="shared" si="111"/>
        <v>0</v>
      </c>
      <c r="AW319" s="850">
        <f t="shared" si="111"/>
        <v>0</v>
      </c>
      <c r="AX319" s="850">
        <f t="shared" si="111"/>
        <v>0</v>
      </c>
      <c r="AY319" s="850">
        <f t="shared" si="111"/>
        <v>0</v>
      </c>
      <c r="AZ319" s="850">
        <f t="shared" si="111"/>
        <v>0</v>
      </c>
      <c r="BA319" s="850">
        <f t="shared" si="111"/>
        <v>0</v>
      </c>
      <c r="BB319" s="850">
        <f t="shared" si="111"/>
        <v>0</v>
      </c>
      <c r="BC319" s="850">
        <f t="shared" si="111"/>
        <v>0</v>
      </c>
      <c r="BD319" s="850">
        <f t="shared" si="111"/>
        <v>0</v>
      </c>
    </row>
    <row r="320" spans="1:56" s="1007" customFormat="1" x14ac:dyDescent="0.25">
      <c r="A320" s="999"/>
      <c r="B320" s="851"/>
      <c r="C320" s="851"/>
      <c r="D320" s="851"/>
      <c r="E320" s="852"/>
      <c r="F320" s="1001"/>
      <c r="G320" s="1001"/>
      <c r="H320" s="1001"/>
      <c r="I320" s="1001"/>
      <c r="J320" s="1002"/>
      <c r="K320" s="1002"/>
      <c r="L320" s="1002"/>
      <c r="M320" s="1002"/>
      <c r="N320" s="1002"/>
      <c r="O320" s="1002"/>
      <c r="P320" s="1002"/>
      <c r="Q320" s="1002"/>
      <c r="R320" s="1002"/>
      <c r="S320" s="1021"/>
      <c r="T320" s="1002"/>
      <c r="U320" s="1006"/>
      <c r="V320" s="1006"/>
      <c r="W320" s="1006"/>
      <c r="X320" s="1006"/>
      <c r="Y320" s="1006"/>
      <c r="Z320" s="1006"/>
      <c r="AA320" s="1006"/>
      <c r="AB320" s="1006"/>
      <c r="AC320" s="1006"/>
      <c r="AD320" s="1006"/>
      <c r="AE320" s="1006"/>
      <c r="AF320" s="1006"/>
      <c r="AG320" s="1006"/>
      <c r="AH320" s="1006"/>
      <c r="AI320" s="1006"/>
      <c r="AJ320" s="1006"/>
      <c r="AK320" s="1006"/>
      <c r="AL320" s="1006"/>
      <c r="AM320" s="1006"/>
      <c r="AN320" s="1006"/>
      <c r="AO320" s="1006"/>
      <c r="AP320" s="1006"/>
      <c r="AQ320" s="1006"/>
      <c r="AR320" s="1006"/>
      <c r="AS320" s="1006"/>
      <c r="AT320" s="1006"/>
      <c r="AU320" s="1006"/>
      <c r="AV320" s="1006"/>
      <c r="AW320" s="1006"/>
      <c r="AX320" s="1006"/>
      <c r="AY320" s="1006"/>
      <c r="AZ320" s="1006"/>
      <c r="BA320" s="1006"/>
      <c r="BB320" s="1006"/>
      <c r="BC320" s="1006"/>
      <c r="BD320" s="1006"/>
    </row>
    <row r="321" spans="1:56" s="1014" customFormat="1" x14ac:dyDescent="0.25">
      <c r="A321" s="1022">
        <v>3</v>
      </c>
      <c r="B321" s="824" t="s">
        <v>1475</v>
      </c>
      <c r="C321" s="824"/>
      <c r="D321" s="824"/>
      <c r="E321" s="1010"/>
      <c r="F321" s="1010"/>
      <c r="G321" s="1010"/>
      <c r="H321" s="1010"/>
      <c r="I321" s="1010"/>
      <c r="J321" s="1011"/>
      <c r="K321" s="1011"/>
      <c r="L321" s="1011"/>
      <c r="M321" s="1011"/>
      <c r="N321" s="1011"/>
      <c r="O321" s="1011"/>
      <c r="P321" s="1011"/>
      <c r="Q321" s="1011"/>
      <c r="R321" s="1011"/>
      <c r="S321" s="1012"/>
      <c r="T321" s="1011"/>
      <c r="U321" s="1013"/>
      <c r="V321" s="1013"/>
      <c r="W321" s="1013"/>
      <c r="X321" s="1013"/>
      <c r="Y321" s="1013"/>
      <c r="Z321" s="1013"/>
      <c r="AA321" s="1013"/>
      <c r="AB321" s="1013"/>
      <c r="AC321" s="1013"/>
      <c r="AD321" s="1013"/>
      <c r="AE321" s="1013"/>
      <c r="AF321" s="1013"/>
      <c r="AG321" s="1013"/>
      <c r="AH321" s="1013"/>
      <c r="AI321" s="1013"/>
      <c r="AJ321" s="1013"/>
      <c r="AK321" s="1013"/>
      <c r="AL321" s="1013"/>
      <c r="AM321" s="1013"/>
      <c r="AN321" s="1013"/>
      <c r="AO321" s="1013"/>
      <c r="AP321" s="1013"/>
      <c r="AQ321" s="1013"/>
      <c r="AR321" s="1013"/>
      <c r="AS321" s="1013"/>
      <c r="AT321" s="1013"/>
      <c r="AU321" s="1013"/>
      <c r="AV321" s="1013"/>
      <c r="AW321" s="1013"/>
      <c r="AX321" s="1013"/>
      <c r="AY321" s="1013"/>
      <c r="AZ321" s="1013"/>
      <c r="BA321" s="1013"/>
      <c r="BB321" s="1013"/>
      <c r="BC321" s="1013"/>
      <c r="BD321" s="1013"/>
    </row>
    <row r="322" spans="1:56" s="851" customFormat="1" ht="16.5" customHeight="1" x14ac:dyDescent="0.25">
      <c r="A322" s="806"/>
      <c r="B322" s="828" t="s">
        <v>1400</v>
      </c>
      <c r="C322" s="829" t="s">
        <v>714</v>
      </c>
      <c r="D322" s="829" t="s">
        <v>1401</v>
      </c>
      <c r="E322" s="830" t="s">
        <v>1438</v>
      </c>
      <c r="F322" s="833"/>
      <c r="G322" s="833"/>
      <c r="K322" s="900"/>
      <c r="L322" s="900"/>
      <c r="M322" s="900"/>
      <c r="N322" s="900"/>
      <c r="O322" s="900"/>
      <c r="P322" s="900"/>
      <c r="Q322" s="975"/>
      <c r="R322" s="975"/>
      <c r="S322" s="976"/>
      <c r="T322" s="977"/>
      <c r="U322" s="977"/>
      <c r="V322" s="977"/>
      <c r="W322" s="977"/>
      <c r="X322" s="977"/>
      <c r="Y322" s="977"/>
      <c r="Z322" s="977"/>
      <c r="AA322" s="977"/>
      <c r="AB322" s="977"/>
      <c r="AC322" s="977"/>
      <c r="AD322" s="977"/>
      <c r="AE322" s="977"/>
      <c r="AF322" s="977"/>
      <c r="AG322" s="977"/>
      <c r="AH322" s="977"/>
      <c r="AI322" s="977"/>
      <c r="AJ322" s="977"/>
      <c r="AK322" s="977"/>
      <c r="AL322" s="977"/>
      <c r="AM322" s="977"/>
      <c r="AN322" s="977"/>
      <c r="AO322" s="977"/>
      <c r="AP322" s="977"/>
      <c r="AQ322" s="977"/>
      <c r="AR322" s="977"/>
      <c r="AS322" s="977"/>
      <c r="AT322" s="977"/>
      <c r="AU322" s="977"/>
      <c r="AV322" s="977"/>
      <c r="AW322" s="977"/>
      <c r="AX322" s="977"/>
      <c r="AY322" s="977"/>
      <c r="AZ322" s="977"/>
      <c r="BA322" s="977"/>
      <c r="BB322" s="977"/>
      <c r="BC322" s="977"/>
      <c r="BD322" s="977"/>
    </row>
    <row r="323" spans="1:56" s="851" customFormat="1" ht="16.5" customHeight="1" x14ac:dyDescent="0.25">
      <c r="A323" s="806"/>
      <c r="B323" s="828" t="s">
        <v>1402</v>
      </c>
      <c r="C323" s="829" t="s">
        <v>739</v>
      </c>
      <c r="D323" s="829" t="s">
        <v>1401</v>
      </c>
      <c r="E323" s="830" t="s">
        <v>1439</v>
      </c>
      <c r="F323" s="833"/>
      <c r="G323" s="833"/>
      <c r="K323" s="900"/>
      <c r="L323" s="900"/>
      <c r="M323" s="900"/>
      <c r="N323" s="900"/>
      <c r="O323" s="900"/>
      <c r="P323" s="900"/>
      <c r="Q323" s="975"/>
      <c r="R323" s="975"/>
      <c r="S323" s="976"/>
      <c r="T323" s="977"/>
      <c r="U323" s="977"/>
      <c r="V323" s="977"/>
      <c r="W323" s="977"/>
      <c r="X323" s="977"/>
      <c r="Y323" s="977"/>
      <c r="Z323" s="977"/>
      <c r="AA323" s="977"/>
      <c r="AB323" s="977"/>
      <c r="AC323" s="977"/>
      <c r="AD323" s="977"/>
      <c r="AE323" s="977"/>
      <c r="AF323" s="977"/>
      <c r="AG323" s="977"/>
      <c r="AH323" s="977"/>
      <c r="AI323" s="977"/>
      <c r="AJ323" s="977"/>
      <c r="AK323" s="977"/>
      <c r="AL323" s="977"/>
      <c r="AM323" s="977"/>
      <c r="AN323" s="977"/>
      <c r="AO323" s="977"/>
      <c r="AP323" s="977"/>
      <c r="AQ323" s="977"/>
      <c r="AR323" s="977"/>
      <c r="AS323" s="977"/>
      <c r="AT323" s="977"/>
      <c r="AU323" s="977"/>
      <c r="AV323" s="977"/>
      <c r="AW323" s="977"/>
      <c r="AX323" s="977"/>
      <c r="AY323" s="977"/>
      <c r="AZ323" s="977"/>
      <c r="BA323" s="977"/>
      <c r="BB323" s="977"/>
      <c r="BC323" s="977"/>
      <c r="BD323" s="977"/>
    </row>
    <row r="324" spans="1:56" s="851" customFormat="1" ht="16.5" customHeight="1" x14ac:dyDescent="0.25">
      <c r="A324" s="806"/>
      <c r="B324" s="828" t="s">
        <v>1403</v>
      </c>
      <c r="C324" s="829" t="s">
        <v>701</v>
      </c>
      <c r="D324" s="829" t="s">
        <v>1401</v>
      </c>
      <c r="E324" s="830" t="s">
        <v>1439</v>
      </c>
      <c r="F324" s="833"/>
      <c r="G324" s="833"/>
      <c r="K324" s="900"/>
      <c r="L324" s="900"/>
      <c r="M324" s="900"/>
      <c r="N324" s="900"/>
      <c r="O324" s="900"/>
      <c r="P324" s="900"/>
      <c r="Q324" s="975"/>
      <c r="R324" s="975"/>
      <c r="S324" s="976"/>
      <c r="T324" s="977"/>
      <c r="U324" s="977"/>
      <c r="V324" s="977"/>
      <c r="W324" s="977"/>
      <c r="X324" s="977"/>
      <c r="Y324" s="977"/>
      <c r="Z324" s="977"/>
      <c r="AA324" s="977"/>
      <c r="AB324" s="977"/>
      <c r="AC324" s="977"/>
      <c r="AD324" s="977"/>
      <c r="AE324" s="977"/>
      <c r="AF324" s="977"/>
      <c r="AG324" s="977"/>
      <c r="AH324" s="977"/>
      <c r="AI324" s="977"/>
      <c r="AJ324" s="977"/>
      <c r="AK324" s="977"/>
      <c r="AL324" s="977"/>
      <c r="AM324" s="977"/>
      <c r="AN324" s="977"/>
      <c r="AO324" s="977"/>
      <c r="AP324" s="977"/>
      <c r="AQ324" s="977"/>
      <c r="AR324" s="977"/>
      <c r="AS324" s="977"/>
      <c r="AT324" s="977"/>
      <c r="AU324" s="977"/>
      <c r="AV324" s="977"/>
      <c r="AW324" s="977"/>
      <c r="AX324" s="977"/>
      <c r="AY324" s="977"/>
      <c r="AZ324" s="977"/>
      <c r="BA324" s="977"/>
      <c r="BB324" s="977"/>
      <c r="BC324" s="977"/>
      <c r="BD324" s="977"/>
    </row>
    <row r="325" spans="1:56" s="851" customFormat="1" ht="16.5" customHeight="1" x14ac:dyDescent="0.25">
      <c r="A325" s="806"/>
      <c r="B325" s="828" t="s">
        <v>1404</v>
      </c>
      <c r="C325" s="829" t="s">
        <v>839</v>
      </c>
      <c r="D325" s="829" t="s">
        <v>1401</v>
      </c>
      <c r="E325" s="830" t="s">
        <v>1439</v>
      </c>
      <c r="F325" s="833"/>
      <c r="G325" s="833"/>
      <c r="K325" s="900"/>
      <c r="L325" s="900"/>
      <c r="M325" s="900"/>
      <c r="N325" s="900"/>
      <c r="O325" s="900"/>
      <c r="P325" s="900"/>
      <c r="Q325" s="975"/>
      <c r="R325" s="975"/>
      <c r="S325" s="976"/>
      <c r="T325" s="977"/>
      <c r="U325" s="977"/>
      <c r="V325" s="977"/>
      <c r="W325" s="977"/>
      <c r="X325" s="977"/>
      <c r="Y325" s="977"/>
      <c r="Z325" s="977"/>
      <c r="AA325" s="977"/>
      <c r="AB325" s="977"/>
      <c r="AC325" s="977"/>
      <c r="AD325" s="977"/>
      <c r="AE325" s="977"/>
      <c r="AF325" s="977"/>
      <c r="AG325" s="977"/>
      <c r="AH325" s="977"/>
      <c r="AI325" s="977"/>
      <c r="AJ325" s="977"/>
      <c r="AK325" s="977"/>
      <c r="AL325" s="977"/>
      <c r="AM325" s="977"/>
      <c r="AN325" s="977"/>
      <c r="AO325" s="977"/>
      <c r="AP325" s="977"/>
      <c r="AQ325" s="977"/>
      <c r="AR325" s="977"/>
      <c r="AS325" s="977"/>
      <c r="AT325" s="977"/>
      <c r="AU325" s="977"/>
      <c r="AV325" s="977"/>
      <c r="AW325" s="977"/>
      <c r="AX325" s="977"/>
      <c r="AY325" s="977"/>
      <c r="AZ325" s="977"/>
      <c r="BA325" s="977"/>
      <c r="BB325" s="977"/>
      <c r="BC325" s="977"/>
      <c r="BD325" s="977"/>
    </row>
    <row r="326" spans="1:56" s="851" customFormat="1" ht="16.5" customHeight="1" x14ac:dyDescent="0.25">
      <c r="A326" s="806"/>
      <c r="B326" s="828" t="s">
        <v>1405</v>
      </c>
      <c r="C326" s="829" t="s">
        <v>928</v>
      </c>
      <c r="D326" s="829" t="s">
        <v>1401</v>
      </c>
      <c r="E326" s="830" t="s">
        <v>1438</v>
      </c>
      <c r="F326" s="833"/>
      <c r="G326" s="833"/>
      <c r="K326" s="900"/>
      <c r="L326" s="900"/>
      <c r="M326" s="900"/>
      <c r="N326" s="900"/>
      <c r="O326" s="900"/>
      <c r="P326" s="900"/>
      <c r="Q326" s="975"/>
      <c r="R326" s="975"/>
      <c r="S326" s="976"/>
      <c r="T326" s="977"/>
      <c r="U326" s="977"/>
      <c r="V326" s="977"/>
      <c r="W326" s="977"/>
      <c r="X326" s="977"/>
      <c r="Y326" s="977"/>
      <c r="Z326" s="977"/>
      <c r="AA326" s="977"/>
      <c r="AB326" s="977"/>
      <c r="AC326" s="977"/>
      <c r="AD326" s="977"/>
      <c r="AE326" s="977"/>
      <c r="AF326" s="977"/>
      <c r="AG326" s="977"/>
      <c r="AH326" s="977"/>
      <c r="AI326" s="977"/>
      <c r="AJ326" s="977"/>
      <c r="AK326" s="977"/>
      <c r="AL326" s="977"/>
      <c r="AM326" s="977"/>
      <c r="AN326" s="977"/>
      <c r="AO326" s="977"/>
      <c r="AP326" s="977"/>
      <c r="AQ326" s="977"/>
      <c r="AR326" s="977"/>
      <c r="AS326" s="977"/>
      <c r="AT326" s="977"/>
      <c r="AU326" s="977"/>
      <c r="AV326" s="977"/>
      <c r="AW326" s="977"/>
      <c r="AX326" s="977"/>
      <c r="AY326" s="977"/>
      <c r="AZ326" s="977"/>
      <c r="BA326" s="977"/>
      <c r="BB326" s="977"/>
      <c r="BC326" s="977"/>
      <c r="BD326" s="977"/>
    </row>
    <row r="327" spans="1:56" s="851" customFormat="1" ht="16.5" customHeight="1" x14ac:dyDescent="0.25">
      <c r="A327" s="806"/>
      <c r="B327" s="828" t="s">
        <v>1406</v>
      </c>
      <c r="C327" s="829" t="s">
        <v>723</v>
      </c>
      <c r="D327" s="829" t="s">
        <v>1401</v>
      </c>
      <c r="E327" s="830" t="s">
        <v>1440</v>
      </c>
      <c r="F327" s="833"/>
      <c r="G327" s="833"/>
      <c r="K327" s="900"/>
      <c r="L327" s="900"/>
      <c r="M327" s="900"/>
      <c r="N327" s="900"/>
      <c r="O327" s="900"/>
      <c r="P327" s="900"/>
      <c r="Q327" s="975"/>
      <c r="R327" s="975"/>
      <c r="S327" s="976"/>
      <c r="T327" s="977"/>
      <c r="U327" s="977"/>
      <c r="V327" s="977"/>
      <c r="W327" s="977"/>
      <c r="X327" s="977"/>
      <c r="Y327" s="977"/>
      <c r="Z327" s="977"/>
      <c r="AA327" s="977"/>
      <c r="AB327" s="977"/>
      <c r="AC327" s="977"/>
      <c r="AD327" s="977"/>
      <c r="AE327" s="977"/>
      <c r="AF327" s="977"/>
      <c r="AG327" s="977"/>
      <c r="AH327" s="977"/>
      <c r="AI327" s="977"/>
      <c r="AJ327" s="977"/>
      <c r="AK327" s="977"/>
      <c r="AL327" s="977"/>
      <c r="AM327" s="977"/>
      <c r="AN327" s="977"/>
      <c r="AO327" s="977"/>
      <c r="AP327" s="977"/>
      <c r="AQ327" s="977"/>
      <c r="AR327" s="977"/>
      <c r="AS327" s="977"/>
      <c r="AT327" s="977"/>
      <c r="AU327" s="977"/>
      <c r="AV327" s="977"/>
      <c r="AW327" s="977"/>
      <c r="AX327" s="977"/>
      <c r="AY327" s="977"/>
      <c r="AZ327" s="977"/>
      <c r="BA327" s="977"/>
      <c r="BB327" s="977"/>
      <c r="BC327" s="977"/>
      <c r="BD327" s="977"/>
    </row>
    <row r="328" spans="1:56" s="851" customFormat="1" ht="16.5" customHeight="1" x14ac:dyDescent="0.25">
      <c r="A328" s="806"/>
      <c r="B328" s="828" t="s">
        <v>1407</v>
      </c>
      <c r="C328" s="829" t="s">
        <v>695</v>
      </c>
      <c r="D328" s="829" t="s">
        <v>1401</v>
      </c>
      <c r="E328" s="830" t="s">
        <v>1438</v>
      </c>
      <c r="F328" s="833"/>
      <c r="G328" s="833"/>
      <c r="K328" s="900"/>
      <c r="L328" s="900"/>
      <c r="M328" s="900"/>
      <c r="N328" s="900"/>
      <c r="O328" s="900"/>
      <c r="P328" s="900"/>
      <c r="Q328" s="975"/>
      <c r="R328" s="975"/>
      <c r="S328" s="976"/>
      <c r="T328" s="977"/>
      <c r="U328" s="977"/>
      <c r="V328" s="977"/>
      <c r="W328" s="977"/>
      <c r="X328" s="977"/>
      <c r="Y328" s="977"/>
      <c r="Z328" s="977"/>
      <c r="AA328" s="977"/>
      <c r="AB328" s="977"/>
      <c r="AC328" s="977"/>
      <c r="AD328" s="977"/>
      <c r="AE328" s="977"/>
      <c r="AF328" s="977"/>
      <c r="AG328" s="977"/>
      <c r="AH328" s="977"/>
      <c r="AI328" s="977"/>
      <c r="AJ328" s="977"/>
      <c r="AK328" s="977"/>
      <c r="AL328" s="977"/>
      <c r="AM328" s="977"/>
      <c r="AN328" s="977"/>
      <c r="AO328" s="977"/>
      <c r="AP328" s="977"/>
      <c r="AQ328" s="977"/>
      <c r="AR328" s="977"/>
      <c r="AS328" s="977"/>
      <c r="AT328" s="977"/>
      <c r="AU328" s="977"/>
      <c r="AV328" s="977"/>
      <c r="AW328" s="977"/>
      <c r="AX328" s="977"/>
      <c r="AY328" s="977"/>
      <c r="AZ328" s="977"/>
      <c r="BA328" s="977"/>
      <c r="BB328" s="977"/>
      <c r="BC328" s="977"/>
      <c r="BD328" s="977"/>
    </row>
    <row r="329" spans="1:56" s="851" customFormat="1" ht="16.5" customHeight="1" x14ac:dyDescent="0.25">
      <c r="A329" s="806"/>
      <c r="B329" s="828" t="s">
        <v>1408</v>
      </c>
      <c r="C329" s="828"/>
      <c r="D329" s="828"/>
      <c r="E329" s="830"/>
      <c r="F329" s="833"/>
      <c r="G329" s="833"/>
      <c r="K329" s="900"/>
      <c r="L329" s="900"/>
      <c r="M329" s="900"/>
      <c r="N329" s="900"/>
      <c r="O329" s="900"/>
      <c r="P329" s="900"/>
      <c r="Q329" s="975"/>
      <c r="R329" s="975"/>
      <c r="S329" s="976"/>
      <c r="T329" s="977"/>
      <c r="U329" s="977"/>
      <c r="V329" s="977"/>
      <c r="W329" s="977"/>
      <c r="X329" s="977"/>
      <c r="Y329" s="977"/>
      <c r="Z329" s="977"/>
      <c r="AA329" s="977"/>
      <c r="AB329" s="977"/>
      <c r="AC329" s="977"/>
      <c r="AD329" s="977"/>
      <c r="AE329" s="977"/>
      <c r="AF329" s="977"/>
      <c r="AG329" s="977"/>
      <c r="AH329" s="977"/>
      <c r="AI329" s="977"/>
      <c r="AJ329" s="977"/>
      <c r="AK329" s="977"/>
      <c r="AL329" s="977"/>
      <c r="AM329" s="977"/>
      <c r="AN329" s="977"/>
      <c r="AO329" s="977"/>
      <c r="AP329" s="977"/>
      <c r="AQ329" s="977"/>
      <c r="AR329" s="977"/>
      <c r="AS329" s="977"/>
      <c r="AT329" s="977"/>
      <c r="AU329" s="977"/>
      <c r="AV329" s="977"/>
      <c r="AW329" s="977"/>
      <c r="AX329" s="977"/>
      <c r="AY329" s="977"/>
      <c r="AZ329" s="977"/>
      <c r="BA329" s="977"/>
      <c r="BB329" s="977"/>
      <c r="BC329" s="977"/>
      <c r="BD329" s="977"/>
    </row>
    <row r="330" spans="1:56" s="851" customFormat="1" ht="16.5" customHeight="1" x14ac:dyDescent="0.25">
      <c r="A330" s="806"/>
      <c r="B330" s="840" t="s">
        <v>1409</v>
      </c>
      <c r="C330" s="840"/>
      <c r="D330" s="840"/>
      <c r="E330" s="830"/>
      <c r="F330" s="833"/>
      <c r="G330" s="833"/>
      <c r="K330" s="900"/>
      <c r="L330" s="900"/>
      <c r="M330" s="900"/>
      <c r="N330" s="900"/>
      <c r="O330" s="900"/>
      <c r="P330" s="900"/>
      <c r="Q330" s="975"/>
      <c r="R330" s="975"/>
      <c r="S330" s="976"/>
      <c r="T330" s="977"/>
      <c r="U330" s="977"/>
      <c r="V330" s="977"/>
      <c r="W330" s="977"/>
      <c r="X330" s="977"/>
      <c r="Y330" s="977"/>
      <c r="Z330" s="977"/>
      <c r="AA330" s="977"/>
      <c r="AB330" s="977"/>
      <c r="AC330" s="977"/>
      <c r="AD330" s="977"/>
      <c r="AE330" s="977"/>
      <c r="AF330" s="977"/>
      <c r="AG330" s="977"/>
      <c r="AH330" s="977"/>
      <c r="AI330" s="977"/>
      <c r="AJ330" s="977"/>
      <c r="AK330" s="977"/>
      <c r="AL330" s="977"/>
      <c r="AM330" s="977"/>
      <c r="AN330" s="977"/>
      <c r="AO330" s="977"/>
      <c r="AP330" s="977"/>
      <c r="AQ330" s="977"/>
      <c r="AR330" s="977"/>
      <c r="AS330" s="977"/>
      <c r="AT330" s="977"/>
      <c r="AU330" s="977"/>
      <c r="AV330" s="977"/>
      <c r="AW330" s="977"/>
      <c r="AX330" s="977"/>
      <c r="AY330" s="977"/>
      <c r="AZ330" s="977"/>
      <c r="BA330" s="977"/>
      <c r="BB330" s="977"/>
      <c r="BC330" s="977"/>
      <c r="BD330" s="977"/>
    </row>
    <row r="331" spans="1:56" s="851" customFormat="1" ht="16.5" customHeight="1" x14ac:dyDescent="0.25">
      <c r="A331" s="806"/>
      <c r="B331" s="840" t="s">
        <v>1441</v>
      </c>
      <c r="C331" s="841" t="s">
        <v>1411</v>
      </c>
      <c r="D331" s="841" t="s">
        <v>1412</v>
      </c>
      <c r="E331" s="830" t="s">
        <v>1439</v>
      </c>
      <c r="F331" s="833"/>
      <c r="G331" s="833"/>
      <c r="K331" s="900"/>
      <c r="L331" s="900"/>
      <c r="M331" s="900"/>
      <c r="N331" s="900"/>
      <c r="O331" s="900"/>
      <c r="P331" s="900"/>
      <c r="Q331" s="975"/>
      <c r="R331" s="975"/>
      <c r="S331" s="976"/>
      <c r="T331" s="977"/>
      <c r="U331" s="977"/>
      <c r="V331" s="977"/>
      <c r="W331" s="977"/>
      <c r="X331" s="977"/>
      <c r="Y331" s="977"/>
      <c r="Z331" s="977"/>
      <c r="AA331" s="977"/>
      <c r="AB331" s="977"/>
      <c r="AC331" s="977"/>
      <c r="AD331" s="977"/>
      <c r="AE331" s="977"/>
      <c r="AF331" s="977"/>
      <c r="AG331" s="977"/>
      <c r="AH331" s="977"/>
      <c r="AI331" s="977"/>
      <c r="AJ331" s="977"/>
      <c r="AK331" s="977"/>
      <c r="AL331" s="977"/>
      <c r="AM331" s="977"/>
      <c r="AN331" s="977"/>
      <c r="AO331" s="977"/>
      <c r="AP331" s="977"/>
      <c r="AQ331" s="977"/>
      <c r="AR331" s="977"/>
      <c r="AS331" s="977"/>
      <c r="AT331" s="977"/>
      <c r="AU331" s="977"/>
      <c r="AV331" s="977"/>
      <c r="AW331" s="977"/>
      <c r="AX331" s="977"/>
      <c r="AY331" s="977"/>
      <c r="AZ331" s="977"/>
      <c r="BA331" s="977"/>
      <c r="BB331" s="977"/>
      <c r="BC331" s="977"/>
      <c r="BD331" s="977"/>
    </row>
    <row r="332" spans="1:56" s="851" customFormat="1" ht="16.5" customHeight="1" x14ac:dyDescent="0.25">
      <c r="A332" s="806"/>
      <c r="B332" s="840" t="s">
        <v>1442</v>
      </c>
      <c r="C332" s="841" t="s">
        <v>1414</v>
      </c>
      <c r="D332" s="841" t="s">
        <v>1412</v>
      </c>
      <c r="E332" s="830" t="s">
        <v>1438</v>
      </c>
      <c r="F332" s="833"/>
      <c r="G332" s="833"/>
      <c r="K332" s="900"/>
      <c r="L332" s="900"/>
      <c r="M332" s="900"/>
      <c r="N332" s="900"/>
      <c r="O332" s="900"/>
      <c r="P332" s="900"/>
      <c r="Q332" s="975"/>
      <c r="R332" s="975"/>
      <c r="S332" s="976"/>
      <c r="T332" s="977"/>
      <c r="U332" s="977"/>
      <c r="V332" s="977"/>
      <c r="W332" s="977"/>
      <c r="X332" s="977"/>
      <c r="Y332" s="977"/>
      <c r="Z332" s="977"/>
      <c r="AA332" s="977"/>
      <c r="AB332" s="977"/>
      <c r="AC332" s="977"/>
      <c r="AD332" s="977"/>
      <c r="AE332" s="977"/>
      <c r="AF332" s="977"/>
      <c r="AG332" s="977"/>
      <c r="AH332" s="977"/>
      <c r="AI332" s="977"/>
      <c r="AJ332" s="977"/>
      <c r="AK332" s="977"/>
      <c r="AL332" s="977"/>
      <c r="AM332" s="977"/>
      <c r="AN332" s="977"/>
      <c r="AO332" s="977"/>
      <c r="AP332" s="977"/>
      <c r="AQ332" s="977"/>
      <c r="AR332" s="977"/>
      <c r="AS332" s="977"/>
      <c r="AT332" s="977"/>
      <c r="AU332" s="977"/>
      <c r="AV332" s="977"/>
      <c r="AW332" s="977"/>
      <c r="AX332" s="977"/>
      <c r="AY332" s="977"/>
      <c r="AZ332" s="977"/>
      <c r="BA332" s="977"/>
      <c r="BB332" s="977"/>
      <c r="BC332" s="977"/>
      <c r="BD332" s="977"/>
    </row>
    <row r="333" spans="1:56" s="800" customFormat="1" ht="14.25" customHeight="1" x14ac:dyDescent="0.25">
      <c r="A333" s="799"/>
      <c r="B333" s="840" t="s">
        <v>1415</v>
      </c>
      <c r="C333" s="841" t="s">
        <v>1416</v>
      </c>
      <c r="D333" s="841" t="s">
        <v>1412</v>
      </c>
      <c r="E333" s="830" t="s">
        <v>1439</v>
      </c>
      <c r="F333" s="833"/>
      <c r="G333" s="833"/>
      <c r="K333" s="839"/>
      <c r="L333" s="839"/>
      <c r="M333" s="839"/>
      <c r="N333" s="839"/>
      <c r="O333" s="839"/>
      <c r="P333" s="839"/>
      <c r="Q333" s="978"/>
      <c r="R333" s="978"/>
      <c r="S333" s="979"/>
      <c r="T333" s="980"/>
      <c r="U333" s="980"/>
      <c r="V333" s="980"/>
      <c r="W333" s="980"/>
      <c r="X333" s="980"/>
      <c r="Y333" s="980"/>
      <c r="Z333" s="980"/>
      <c r="AA333" s="980"/>
      <c r="AB333" s="980"/>
      <c r="AC333" s="980"/>
      <c r="AD333" s="980"/>
      <c r="AE333" s="980"/>
      <c r="AF333" s="980"/>
      <c r="AG333" s="980"/>
      <c r="AH333" s="980"/>
      <c r="AI333" s="980"/>
      <c r="AJ333" s="980"/>
      <c r="AK333" s="980"/>
      <c r="AL333" s="980"/>
      <c r="AM333" s="980"/>
      <c r="AN333" s="980"/>
      <c r="AO333" s="980"/>
      <c r="AP333" s="980"/>
      <c r="AQ333" s="980"/>
      <c r="AR333" s="980"/>
      <c r="AS333" s="980"/>
      <c r="AT333" s="980"/>
      <c r="AU333" s="980"/>
      <c r="AV333" s="980"/>
      <c r="AW333" s="980"/>
      <c r="AX333" s="980"/>
      <c r="AY333" s="980"/>
      <c r="AZ333" s="980"/>
      <c r="BA333" s="980"/>
      <c r="BB333" s="980"/>
      <c r="BC333" s="980"/>
      <c r="BD333" s="980"/>
    </row>
    <row r="334" spans="1:56" s="800" customFormat="1" ht="14.25" customHeight="1" x14ac:dyDescent="0.25">
      <c r="A334" s="799"/>
      <c r="B334" s="828" t="s">
        <v>1417</v>
      </c>
      <c r="C334" s="828"/>
      <c r="D334" s="828"/>
      <c r="E334" s="830" t="s">
        <v>1440</v>
      </c>
      <c r="F334" s="833"/>
      <c r="G334" s="833"/>
      <c r="K334" s="839"/>
      <c r="L334" s="839"/>
      <c r="M334" s="839"/>
      <c r="N334" s="839"/>
      <c r="O334" s="839"/>
      <c r="P334" s="839"/>
      <c r="Q334" s="978"/>
      <c r="R334" s="978"/>
      <c r="S334" s="979"/>
      <c r="T334" s="980"/>
      <c r="U334" s="980"/>
      <c r="V334" s="980"/>
      <c r="W334" s="980"/>
      <c r="X334" s="980"/>
      <c r="Y334" s="980"/>
      <c r="Z334" s="980"/>
      <c r="AA334" s="980"/>
      <c r="AB334" s="980"/>
      <c r="AC334" s="980"/>
      <c r="AD334" s="980"/>
      <c r="AE334" s="980"/>
      <c r="AF334" s="980"/>
      <c r="AG334" s="980"/>
      <c r="AH334" s="980"/>
      <c r="AI334" s="980"/>
      <c r="AJ334" s="980"/>
      <c r="AK334" s="980"/>
      <c r="AL334" s="980"/>
      <c r="AM334" s="980"/>
      <c r="AN334" s="980"/>
      <c r="AO334" s="980"/>
      <c r="AP334" s="980"/>
      <c r="AQ334" s="980"/>
      <c r="AR334" s="980"/>
      <c r="AS334" s="980"/>
      <c r="AT334" s="980"/>
      <c r="AU334" s="980"/>
      <c r="AV334" s="980"/>
      <c r="AW334" s="980"/>
      <c r="AX334" s="980"/>
      <c r="AY334" s="980"/>
      <c r="AZ334" s="980"/>
      <c r="BA334" s="980"/>
      <c r="BB334" s="980"/>
      <c r="BC334" s="980"/>
      <c r="BD334" s="980"/>
    </row>
    <row r="335" spans="1:56" s="800" customFormat="1" ht="14.25" customHeight="1" x14ac:dyDescent="0.25">
      <c r="A335" s="799"/>
      <c r="B335" s="840" t="s">
        <v>1418</v>
      </c>
      <c r="C335" s="841" t="s">
        <v>1419</v>
      </c>
      <c r="D335" s="829" t="s">
        <v>1401</v>
      </c>
      <c r="E335" s="830" t="s">
        <v>1438</v>
      </c>
      <c r="F335" s="833"/>
      <c r="G335" s="833"/>
      <c r="K335" s="839"/>
      <c r="L335" s="839"/>
      <c r="M335" s="839"/>
      <c r="N335" s="839"/>
      <c r="O335" s="839"/>
      <c r="P335" s="839"/>
      <c r="Q335" s="978"/>
      <c r="R335" s="978"/>
      <c r="S335" s="979"/>
      <c r="T335" s="980"/>
      <c r="U335" s="980"/>
      <c r="V335" s="980"/>
      <c r="W335" s="980"/>
      <c r="X335" s="980"/>
      <c r="Y335" s="980"/>
      <c r="Z335" s="980"/>
      <c r="AA335" s="980"/>
      <c r="AB335" s="980"/>
      <c r="AC335" s="980"/>
      <c r="AD335" s="980"/>
      <c r="AE335" s="980"/>
      <c r="AF335" s="980"/>
      <c r="AG335" s="980"/>
      <c r="AH335" s="980"/>
      <c r="AI335" s="980"/>
      <c r="AJ335" s="980"/>
      <c r="AK335" s="980"/>
      <c r="AL335" s="980"/>
      <c r="AM335" s="980"/>
      <c r="AN335" s="980"/>
      <c r="AO335" s="980"/>
      <c r="AP335" s="980"/>
      <c r="AQ335" s="980"/>
      <c r="AR335" s="980"/>
      <c r="AS335" s="980"/>
      <c r="AT335" s="980"/>
      <c r="AU335" s="980"/>
      <c r="AV335" s="980"/>
      <c r="AW335" s="980"/>
      <c r="AX335" s="980"/>
      <c r="AY335" s="980"/>
      <c r="AZ335" s="980"/>
      <c r="BA335" s="980"/>
      <c r="BB335" s="980"/>
      <c r="BC335" s="980"/>
      <c r="BD335" s="980"/>
    </row>
    <row r="336" spans="1:56" s="800" customFormat="1" ht="14.25" customHeight="1" x14ac:dyDescent="0.25">
      <c r="A336" s="799"/>
      <c r="B336" s="840" t="s">
        <v>1420</v>
      </c>
      <c r="C336" s="841" t="s">
        <v>1421</v>
      </c>
      <c r="D336" s="829" t="s">
        <v>1401</v>
      </c>
      <c r="E336" s="830" t="s">
        <v>1439</v>
      </c>
      <c r="F336" s="833"/>
      <c r="G336" s="833"/>
      <c r="K336" s="839"/>
      <c r="L336" s="839"/>
      <c r="M336" s="839"/>
      <c r="N336" s="839"/>
      <c r="O336" s="839"/>
      <c r="P336" s="839"/>
      <c r="Q336" s="978"/>
      <c r="R336" s="978"/>
      <c r="S336" s="979"/>
      <c r="T336" s="980"/>
      <c r="U336" s="980"/>
      <c r="V336" s="980"/>
      <c r="W336" s="980"/>
      <c r="X336" s="980"/>
      <c r="Y336" s="980"/>
      <c r="Z336" s="980"/>
      <c r="AA336" s="980"/>
      <c r="AB336" s="980"/>
      <c r="AC336" s="980"/>
      <c r="AD336" s="980"/>
      <c r="AE336" s="980"/>
      <c r="AF336" s="980"/>
      <c r="AG336" s="980"/>
      <c r="AH336" s="980"/>
      <c r="AI336" s="980"/>
      <c r="AJ336" s="980"/>
      <c r="AK336" s="980"/>
      <c r="AL336" s="980"/>
      <c r="AM336" s="980"/>
      <c r="AN336" s="980"/>
      <c r="AO336" s="980"/>
      <c r="AP336" s="980"/>
      <c r="AQ336" s="980"/>
      <c r="AR336" s="980"/>
      <c r="AS336" s="980"/>
      <c r="AT336" s="980"/>
      <c r="AU336" s="980"/>
      <c r="AV336" s="980"/>
      <c r="AW336" s="980"/>
      <c r="AX336" s="980"/>
      <c r="AY336" s="980"/>
      <c r="AZ336" s="980"/>
      <c r="BA336" s="980"/>
      <c r="BB336" s="980"/>
      <c r="BC336" s="980"/>
      <c r="BD336" s="980"/>
    </row>
    <row r="337" spans="1:56" s="800" customFormat="1" ht="14.25" customHeight="1" x14ac:dyDescent="0.25">
      <c r="A337" s="799"/>
      <c r="B337" s="828" t="s">
        <v>1422</v>
      </c>
      <c r="C337" s="828"/>
      <c r="D337" s="828"/>
      <c r="E337" s="830" t="s">
        <v>1440</v>
      </c>
      <c r="F337" s="833"/>
      <c r="G337" s="833"/>
      <c r="K337" s="839"/>
      <c r="L337" s="839"/>
      <c r="M337" s="839"/>
      <c r="N337" s="839"/>
      <c r="O337" s="839"/>
      <c r="P337" s="839"/>
      <c r="Q337" s="978"/>
      <c r="R337" s="978"/>
      <c r="S337" s="979"/>
      <c r="T337" s="980"/>
      <c r="U337" s="980"/>
      <c r="V337" s="980"/>
      <c r="W337" s="980"/>
      <c r="X337" s="980"/>
      <c r="Y337" s="980"/>
      <c r="Z337" s="980"/>
      <c r="AA337" s="980"/>
      <c r="AB337" s="980"/>
      <c r="AC337" s="980"/>
      <c r="AD337" s="980"/>
      <c r="AE337" s="980"/>
      <c r="AF337" s="980"/>
      <c r="AG337" s="980"/>
      <c r="AH337" s="980"/>
      <c r="AI337" s="980"/>
      <c r="AJ337" s="980"/>
      <c r="AK337" s="980"/>
      <c r="AL337" s="980"/>
      <c r="AM337" s="980"/>
      <c r="AN337" s="980"/>
      <c r="AO337" s="980"/>
      <c r="AP337" s="980"/>
      <c r="AQ337" s="980"/>
      <c r="AR337" s="980"/>
      <c r="AS337" s="980"/>
      <c r="AT337" s="980"/>
      <c r="AU337" s="980"/>
      <c r="AV337" s="980"/>
      <c r="AW337" s="980"/>
      <c r="AX337" s="980"/>
      <c r="AY337" s="980"/>
      <c r="AZ337" s="980"/>
      <c r="BA337" s="980"/>
      <c r="BB337" s="980"/>
      <c r="BC337" s="980"/>
      <c r="BD337" s="980"/>
    </row>
    <row r="338" spans="1:56" s="800" customFormat="1" ht="14.25" customHeight="1" x14ac:dyDescent="0.25">
      <c r="A338" s="799"/>
      <c r="B338" s="840" t="s">
        <v>1423</v>
      </c>
      <c r="C338" s="841" t="s">
        <v>1424</v>
      </c>
      <c r="D338" s="841" t="s">
        <v>1412</v>
      </c>
      <c r="E338" s="830" t="s">
        <v>1438</v>
      </c>
      <c r="F338" s="833"/>
      <c r="G338" s="833"/>
      <c r="K338" s="839"/>
      <c r="L338" s="839"/>
      <c r="M338" s="839"/>
      <c r="N338" s="839"/>
      <c r="O338" s="839"/>
      <c r="P338" s="839"/>
      <c r="Q338" s="978"/>
      <c r="R338" s="978"/>
      <c r="S338" s="979"/>
      <c r="T338" s="980"/>
      <c r="U338" s="980"/>
      <c r="V338" s="980"/>
      <c r="W338" s="980"/>
      <c r="X338" s="980"/>
      <c r="Y338" s="980"/>
      <c r="Z338" s="980"/>
      <c r="AA338" s="980"/>
      <c r="AB338" s="980"/>
      <c r="AC338" s="980"/>
      <c r="AD338" s="980"/>
      <c r="AE338" s="980"/>
      <c r="AF338" s="980"/>
      <c r="AG338" s="980"/>
      <c r="AH338" s="980"/>
      <c r="AI338" s="980"/>
      <c r="AJ338" s="980"/>
      <c r="AK338" s="980"/>
      <c r="AL338" s="980"/>
      <c r="AM338" s="980"/>
      <c r="AN338" s="980"/>
      <c r="AO338" s="980"/>
      <c r="AP338" s="980"/>
      <c r="AQ338" s="980"/>
      <c r="AR338" s="980"/>
      <c r="AS338" s="980"/>
      <c r="AT338" s="980"/>
      <c r="AU338" s="980"/>
      <c r="AV338" s="980"/>
      <c r="AW338" s="980"/>
      <c r="AX338" s="980"/>
      <c r="AY338" s="980"/>
      <c r="AZ338" s="980"/>
      <c r="BA338" s="980"/>
      <c r="BB338" s="980"/>
      <c r="BC338" s="980"/>
      <c r="BD338" s="980"/>
    </row>
    <row r="339" spans="1:56" s="800" customFormat="1" ht="14.25" customHeight="1" x14ac:dyDescent="0.25">
      <c r="A339" s="799"/>
      <c r="B339" s="840" t="s">
        <v>1425</v>
      </c>
      <c r="C339" s="841" t="s">
        <v>1426</v>
      </c>
      <c r="D339" s="829" t="s">
        <v>1401</v>
      </c>
      <c r="E339" s="830" t="s">
        <v>1439</v>
      </c>
      <c r="F339" s="833"/>
      <c r="G339" s="833"/>
      <c r="K339" s="839"/>
      <c r="L339" s="839"/>
      <c r="M339" s="839"/>
      <c r="N339" s="839"/>
      <c r="O339" s="839"/>
      <c r="P339" s="839"/>
      <c r="Q339" s="978"/>
      <c r="R339" s="978"/>
      <c r="S339" s="979"/>
      <c r="T339" s="980"/>
      <c r="U339" s="980"/>
      <c r="V339" s="980"/>
      <c r="W339" s="980"/>
      <c r="X339" s="980"/>
      <c r="Y339" s="980"/>
      <c r="Z339" s="980"/>
      <c r="AA339" s="980"/>
      <c r="AB339" s="980"/>
      <c r="AC339" s="980"/>
      <c r="AD339" s="980"/>
      <c r="AE339" s="980"/>
      <c r="AF339" s="980"/>
      <c r="AG339" s="980"/>
      <c r="AH339" s="980"/>
      <c r="AI339" s="980"/>
      <c r="AJ339" s="980"/>
      <c r="AK339" s="980"/>
      <c r="AL339" s="980"/>
      <c r="AM339" s="980"/>
      <c r="AN339" s="980"/>
      <c r="AO339" s="980"/>
      <c r="AP339" s="980"/>
      <c r="AQ339" s="980"/>
      <c r="AR339" s="980"/>
      <c r="AS339" s="980"/>
      <c r="AT339" s="980"/>
      <c r="AU339" s="980"/>
      <c r="AV339" s="980"/>
      <c r="AW339" s="980"/>
      <c r="AX339" s="980"/>
      <c r="AY339" s="980"/>
      <c r="AZ339" s="980"/>
      <c r="BA339" s="980"/>
      <c r="BB339" s="980"/>
      <c r="BC339" s="980"/>
      <c r="BD339" s="980"/>
    </row>
    <row r="340" spans="1:56" s="800" customFormat="1" ht="14.25" customHeight="1" x14ac:dyDescent="0.25">
      <c r="A340" s="799"/>
      <c r="B340" s="840" t="s">
        <v>1427</v>
      </c>
      <c r="C340" s="841" t="s">
        <v>1428</v>
      </c>
      <c r="D340" s="829" t="s">
        <v>1401</v>
      </c>
      <c r="E340" s="830" t="s">
        <v>1438</v>
      </c>
      <c r="F340" s="833"/>
      <c r="G340" s="833"/>
      <c r="K340" s="839"/>
      <c r="L340" s="839"/>
      <c r="M340" s="839"/>
      <c r="N340" s="839"/>
      <c r="O340" s="839"/>
      <c r="P340" s="839"/>
      <c r="Q340" s="978"/>
      <c r="R340" s="978"/>
      <c r="S340" s="979"/>
      <c r="T340" s="980"/>
      <c r="U340" s="980"/>
      <c r="V340" s="980"/>
      <c r="W340" s="980"/>
      <c r="X340" s="980"/>
      <c r="Y340" s="980"/>
      <c r="Z340" s="980"/>
      <c r="AA340" s="980"/>
      <c r="AB340" s="980"/>
      <c r="AC340" s="980"/>
      <c r="AD340" s="980"/>
      <c r="AE340" s="980"/>
      <c r="AF340" s="980"/>
      <c r="AG340" s="980"/>
      <c r="AH340" s="980"/>
      <c r="AI340" s="980"/>
      <c r="AJ340" s="980"/>
      <c r="AK340" s="980"/>
      <c r="AL340" s="980"/>
      <c r="AM340" s="980"/>
      <c r="AN340" s="980"/>
      <c r="AO340" s="980"/>
      <c r="AP340" s="980"/>
      <c r="AQ340" s="980"/>
      <c r="AR340" s="980"/>
      <c r="AS340" s="980"/>
      <c r="AT340" s="980"/>
      <c r="AU340" s="980"/>
      <c r="AV340" s="980"/>
      <c r="AW340" s="980"/>
      <c r="AX340" s="980"/>
      <c r="AY340" s="980"/>
      <c r="AZ340" s="980"/>
      <c r="BA340" s="980"/>
      <c r="BB340" s="980"/>
      <c r="BC340" s="980"/>
      <c r="BD340" s="980"/>
    </row>
    <row r="341" spans="1:56" s="800" customFormat="1" ht="14.25" customHeight="1" x14ac:dyDescent="0.25">
      <c r="A341" s="799"/>
      <c r="B341" s="840" t="s">
        <v>1429</v>
      </c>
      <c r="C341" s="841" t="s">
        <v>1430</v>
      </c>
      <c r="D341" s="829" t="s">
        <v>1401</v>
      </c>
      <c r="E341" s="830" t="s">
        <v>1439</v>
      </c>
      <c r="F341" s="833"/>
      <c r="G341" s="833"/>
      <c r="K341" s="839"/>
      <c r="L341" s="839"/>
      <c r="M341" s="839"/>
      <c r="N341" s="839"/>
      <c r="O341" s="839"/>
      <c r="P341" s="839"/>
      <c r="Q341" s="978"/>
      <c r="R341" s="978"/>
      <c r="S341" s="979"/>
      <c r="T341" s="980"/>
      <c r="U341" s="980"/>
      <c r="V341" s="980"/>
      <c r="W341" s="980"/>
      <c r="X341" s="980"/>
      <c r="Y341" s="980"/>
      <c r="Z341" s="980"/>
      <c r="AA341" s="980"/>
      <c r="AB341" s="980"/>
      <c r="AC341" s="980"/>
      <c r="AD341" s="980"/>
      <c r="AE341" s="980"/>
      <c r="AF341" s="980"/>
      <c r="AG341" s="980"/>
      <c r="AH341" s="980"/>
      <c r="AI341" s="980"/>
      <c r="AJ341" s="980"/>
      <c r="AK341" s="980"/>
      <c r="AL341" s="980"/>
      <c r="AM341" s="980"/>
      <c r="AN341" s="980"/>
      <c r="AO341" s="980"/>
      <c r="AP341" s="980"/>
      <c r="AQ341" s="980"/>
      <c r="AR341" s="980"/>
      <c r="AS341" s="980"/>
      <c r="AT341" s="980"/>
      <c r="AU341" s="980"/>
      <c r="AV341" s="980"/>
      <c r="AW341" s="980"/>
      <c r="AX341" s="980"/>
      <c r="AY341" s="980"/>
      <c r="AZ341" s="980"/>
      <c r="BA341" s="980"/>
      <c r="BB341" s="980"/>
      <c r="BC341" s="980"/>
      <c r="BD341" s="980"/>
    </row>
    <row r="342" spans="1:56" s="800" customFormat="1" ht="14.25" customHeight="1" x14ac:dyDescent="0.25">
      <c r="A342" s="799"/>
      <c r="B342" s="828" t="s">
        <v>1431</v>
      </c>
      <c r="C342" s="829" t="s">
        <v>1432</v>
      </c>
      <c r="D342" s="829"/>
      <c r="E342" s="936"/>
      <c r="F342" s="833"/>
      <c r="G342" s="833"/>
      <c r="K342" s="839"/>
      <c r="L342" s="839"/>
      <c r="M342" s="839"/>
      <c r="N342" s="839"/>
      <c r="O342" s="839"/>
      <c r="P342" s="839"/>
      <c r="Q342" s="978"/>
      <c r="R342" s="978"/>
      <c r="S342" s="979"/>
      <c r="T342" s="980"/>
      <c r="U342" s="980"/>
      <c r="V342" s="980"/>
      <c r="W342" s="980"/>
      <c r="X342" s="980"/>
      <c r="Y342" s="980"/>
      <c r="Z342" s="980"/>
      <c r="AA342" s="980"/>
      <c r="AB342" s="980"/>
      <c r="AC342" s="980"/>
      <c r="AD342" s="980"/>
      <c r="AE342" s="980"/>
      <c r="AF342" s="980"/>
      <c r="AG342" s="980"/>
      <c r="AH342" s="980"/>
      <c r="AI342" s="980"/>
      <c r="AJ342" s="980"/>
      <c r="AK342" s="980"/>
      <c r="AL342" s="980"/>
      <c r="AM342" s="980"/>
      <c r="AN342" s="980"/>
      <c r="AO342" s="980"/>
      <c r="AP342" s="980"/>
      <c r="AQ342" s="980"/>
      <c r="AR342" s="980"/>
      <c r="AS342" s="980"/>
      <c r="AT342" s="980"/>
      <c r="AU342" s="980"/>
      <c r="AV342" s="980"/>
      <c r="AW342" s="980"/>
      <c r="AX342" s="980"/>
      <c r="AY342" s="980"/>
      <c r="AZ342" s="980"/>
      <c r="BA342" s="980"/>
      <c r="BB342" s="980"/>
      <c r="BC342" s="980"/>
      <c r="BD342" s="980"/>
    </row>
    <row r="343" spans="1:56" s="901" customFormat="1" x14ac:dyDescent="0.25">
      <c r="A343" s="983"/>
      <c r="B343" s="844" t="s">
        <v>467</v>
      </c>
      <c r="C343" s="844"/>
      <c r="D343" s="844"/>
      <c r="E343" s="845"/>
      <c r="F343" s="992"/>
      <c r="G343" s="992"/>
      <c r="H343" s="992"/>
      <c r="I343" s="992"/>
      <c r="J343" s="1018"/>
      <c r="K343" s="1018"/>
      <c r="L343" s="1018"/>
      <c r="M343" s="1018"/>
      <c r="N343" s="1018"/>
      <c r="O343" s="1018"/>
      <c r="P343" s="1018"/>
      <c r="Q343" s="1018">
        <v>7.0000000000000007E-2</v>
      </c>
      <c r="R343" s="1018">
        <v>0</v>
      </c>
      <c r="S343" s="1023">
        <f>S319/R319 - 1</f>
        <v>-0.11620887965003124</v>
      </c>
      <c r="T343" s="1024">
        <v>0.05</v>
      </c>
      <c r="U343" s="1024">
        <v>0</v>
      </c>
      <c r="V343" s="906">
        <v>0.11</v>
      </c>
      <c r="W343" s="906">
        <v>0</v>
      </c>
      <c r="X343" s="906">
        <f>W343</f>
        <v>0</v>
      </c>
      <c r="Y343" s="906">
        <f t="shared" ref="Y343:AD343" si="112">X343</f>
        <v>0</v>
      </c>
      <c r="Z343" s="906">
        <f t="shared" si="112"/>
        <v>0</v>
      </c>
      <c r="AA343" s="906">
        <f t="shared" si="112"/>
        <v>0</v>
      </c>
      <c r="AB343" s="906">
        <f t="shared" si="112"/>
        <v>0</v>
      </c>
      <c r="AC343" s="906">
        <f t="shared" si="112"/>
        <v>0</v>
      </c>
      <c r="AD343" s="906">
        <f t="shared" si="112"/>
        <v>0</v>
      </c>
      <c r="AE343" s="906"/>
      <c r="AF343" s="906"/>
      <c r="AG343" s="906"/>
      <c r="AH343" s="906"/>
      <c r="AI343" s="906">
        <v>0</v>
      </c>
      <c r="AJ343" s="906">
        <v>0</v>
      </c>
      <c r="AK343" s="906">
        <v>0</v>
      </c>
      <c r="AL343" s="906">
        <v>0</v>
      </c>
      <c r="AM343" s="906">
        <v>0</v>
      </c>
      <c r="AN343" s="906">
        <v>0</v>
      </c>
      <c r="AO343" s="906">
        <v>0</v>
      </c>
      <c r="AP343" s="906">
        <v>0</v>
      </c>
      <c r="AQ343" s="906">
        <v>0</v>
      </c>
      <c r="AR343" s="906">
        <v>0</v>
      </c>
      <c r="AS343" s="906">
        <v>0</v>
      </c>
      <c r="AT343" s="906">
        <v>0</v>
      </c>
      <c r="AU343" s="906">
        <v>0</v>
      </c>
      <c r="AV343" s="906">
        <v>0</v>
      </c>
      <c r="AW343" s="906">
        <v>0</v>
      </c>
      <c r="AX343" s="906">
        <v>0</v>
      </c>
      <c r="AY343" s="906">
        <v>0</v>
      </c>
      <c r="AZ343" s="906">
        <v>0</v>
      </c>
      <c r="BA343" s="906">
        <v>0</v>
      </c>
      <c r="BB343" s="906">
        <v>0</v>
      </c>
      <c r="BC343" s="906">
        <v>0</v>
      </c>
      <c r="BD343" s="906">
        <v>0</v>
      </c>
    </row>
    <row r="344" spans="1:56" s="1007" customFormat="1" x14ac:dyDescent="0.25">
      <c r="A344" s="999"/>
      <c r="B344" s="851"/>
      <c r="C344" s="851"/>
      <c r="D344" s="851"/>
      <c r="E344" s="852"/>
      <c r="F344" s="1001"/>
      <c r="G344" s="1001"/>
      <c r="H344" s="1001"/>
      <c r="I344" s="1001"/>
      <c r="J344" s="1002"/>
      <c r="K344" s="1002"/>
      <c r="L344" s="1002"/>
      <c r="M344" s="1002"/>
      <c r="N344" s="1002"/>
      <c r="O344" s="2351" t="s">
        <v>1484</v>
      </c>
      <c r="P344" s="2351"/>
      <c r="Q344" s="2351"/>
      <c r="R344" s="2351"/>
      <c r="S344" s="2352"/>
      <c r="T344" s="1002"/>
      <c r="U344" s="1006"/>
      <c r="V344" s="1006"/>
      <c r="W344" s="1006"/>
      <c r="X344" s="1006"/>
      <c r="Y344" s="1006"/>
      <c r="Z344" s="1006"/>
      <c r="AA344" s="1006"/>
      <c r="AB344" s="1006"/>
      <c r="AC344" s="1006"/>
      <c r="AD344" s="1006"/>
      <c r="AE344" s="1006"/>
      <c r="AF344" s="1006"/>
      <c r="AG344" s="1006"/>
      <c r="AH344" s="1006"/>
      <c r="AI344" s="1006"/>
      <c r="AJ344" s="1006"/>
      <c r="AK344" s="1006"/>
      <c r="AL344" s="1006"/>
      <c r="AM344" s="1006"/>
      <c r="AN344" s="1006"/>
      <c r="AO344" s="1006"/>
      <c r="AP344" s="1006"/>
      <c r="AQ344" s="1006"/>
      <c r="AR344" s="1006"/>
      <c r="AS344" s="1006"/>
      <c r="AT344" s="1006"/>
      <c r="AU344" s="1006"/>
      <c r="AV344" s="1006"/>
      <c r="AW344" s="1006"/>
      <c r="AX344" s="1006"/>
      <c r="AY344" s="1006"/>
      <c r="AZ344" s="1006"/>
      <c r="BA344" s="1006"/>
      <c r="BB344" s="1006"/>
      <c r="BC344" s="1006"/>
      <c r="BD344" s="1006"/>
    </row>
    <row r="345" spans="1:56" x14ac:dyDescent="0.25">
      <c r="B345" s="818" t="s">
        <v>1476</v>
      </c>
      <c r="C345" s="818"/>
      <c r="D345" s="818"/>
      <c r="E345" s="819"/>
      <c r="F345" s="819"/>
      <c r="G345" s="819"/>
      <c r="H345" s="819"/>
      <c r="I345" s="819"/>
      <c r="J345" s="819"/>
      <c r="K345" s="819"/>
      <c r="L345" s="819"/>
      <c r="M345" s="819"/>
      <c r="N345" s="819"/>
      <c r="O345" s="819"/>
      <c r="P345" s="819"/>
      <c r="Q345" s="819"/>
      <c r="R345" s="819"/>
      <c r="S345" s="820"/>
      <c r="T345" s="819"/>
      <c r="U345" s="819"/>
      <c r="V345" s="819"/>
      <c r="W345" s="819"/>
      <c r="X345" s="819"/>
      <c r="Y345" s="819"/>
      <c r="Z345" s="819"/>
      <c r="AA345" s="819"/>
      <c r="AB345" s="819"/>
      <c r="AC345" s="819"/>
      <c r="AD345" s="819"/>
      <c r="AE345" s="819"/>
      <c r="AF345" s="819"/>
      <c r="AG345" s="819"/>
      <c r="AH345" s="819"/>
      <c r="AI345" s="819"/>
      <c r="AJ345" s="819"/>
      <c r="AK345" s="819"/>
      <c r="AL345" s="819"/>
      <c r="AM345" s="819"/>
      <c r="AN345" s="819"/>
      <c r="AO345" s="819"/>
      <c r="AP345" s="819"/>
      <c r="AQ345" s="819"/>
      <c r="AR345" s="819"/>
      <c r="AS345" s="819"/>
      <c r="AT345" s="819"/>
      <c r="AU345" s="819"/>
      <c r="AV345" s="819"/>
      <c r="AW345" s="819"/>
      <c r="AX345" s="819"/>
      <c r="AY345" s="819"/>
      <c r="AZ345" s="819"/>
      <c r="BA345" s="819"/>
      <c r="BB345" s="819"/>
      <c r="BC345" s="819"/>
      <c r="BD345" s="819"/>
    </row>
    <row r="346" spans="1:56" x14ac:dyDescent="0.25">
      <c r="B346" s="1025"/>
      <c r="C346" s="1025"/>
      <c r="D346" s="1025"/>
      <c r="P346" s="821"/>
      <c r="Q346" s="821"/>
      <c r="R346" s="821"/>
      <c r="S346" s="822"/>
      <c r="T346" s="821"/>
      <c r="U346" s="821"/>
    </row>
    <row r="347" spans="1:56" s="825" customFormat="1" x14ac:dyDescent="0.25">
      <c r="A347" s="823">
        <v>1</v>
      </c>
      <c r="B347" s="824" t="s">
        <v>1477</v>
      </c>
      <c r="C347" s="824"/>
      <c r="D347" s="824"/>
      <c r="S347" s="982"/>
    </row>
    <row r="348" spans="1:56" s="901" customFormat="1" x14ac:dyDescent="0.25">
      <c r="A348" s="983"/>
      <c r="B348" s="828" t="s">
        <v>1400</v>
      </c>
      <c r="C348" s="829" t="s">
        <v>714</v>
      </c>
      <c r="D348" s="829" t="s">
        <v>1401</v>
      </c>
      <c r="E348" s="830" t="s">
        <v>1438</v>
      </c>
      <c r="F348" s="833"/>
      <c r="G348" s="833"/>
      <c r="O348" s="854"/>
      <c r="P348" s="854"/>
      <c r="Q348" s="854"/>
      <c r="R348" s="854"/>
      <c r="S348" s="1026"/>
      <c r="T348" s="1027"/>
      <c r="U348" s="1027"/>
      <c r="V348" s="1027"/>
      <c r="W348" s="1027"/>
      <c r="X348" s="1027"/>
      <c r="Y348" s="1027"/>
      <c r="Z348" s="1027"/>
      <c r="AA348" s="1027"/>
      <c r="AB348" s="1027"/>
      <c r="AC348" s="1027"/>
      <c r="AD348" s="1027"/>
      <c r="AE348" s="1027"/>
      <c r="AF348" s="1027"/>
      <c r="AG348" s="1027"/>
      <c r="AH348" s="1027"/>
      <c r="AI348" s="1027"/>
      <c r="AJ348" s="1027"/>
      <c r="AK348" s="1027"/>
      <c r="AL348" s="1027"/>
      <c r="AM348" s="1027"/>
      <c r="AN348" s="1027"/>
      <c r="AO348" s="1027"/>
      <c r="AP348" s="1027"/>
      <c r="AQ348" s="1027"/>
      <c r="AR348" s="1027"/>
      <c r="AS348" s="1027"/>
      <c r="AT348" s="1027"/>
      <c r="AU348" s="1027"/>
      <c r="AV348" s="1027"/>
      <c r="AW348" s="1027"/>
      <c r="AX348" s="1027"/>
      <c r="AY348" s="1027"/>
      <c r="AZ348" s="1027"/>
      <c r="BA348" s="1027"/>
      <c r="BB348" s="1027"/>
      <c r="BC348" s="1027"/>
      <c r="BD348" s="1027"/>
    </row>
    <row r="349" spans="1:56" s="901" customFormat="1" x14ac:dyDescent="0.25">
      <c r="A349" s="983"/>
      <c r="B349" s="828" t="s">
        <v>1402</v>
      </c>
      <c r="C349" s="829" t="s">
        <v>739</v>
      </c>
      <c r="D349" s="829" t="s">
        <v>1401</v>
      </c>
      <c r="E349" s="830" t="s">
        <v>1439</v>
      </c>
      <c r="F349" s="833"/>
      <c r="G349" s="833"/>
      <c r="O349" s="854"/>
      <c r="P349" s="854"/>
      <c r="Q349" s="854"/>
      <c r="R349" s="854"/>
      <c r="S349" s="1026"/>
      <c r="T349" s="1027"/>
      <c r="U349" s="1027"/>
      <c r="V349" s="1027"/>
      <c r="W349" s="1027"/>
      <c r="X349" s="1027"/>
      <c r="Y349" s="1027"/>
      <c r="Z349" s="1027"/>
      <c r="AA349" s="1027"/>
      <c r="AB349" s="1027"/>
      <c r="AC349" s="1027"/>
      <c r="AD349" s="1027"/>
      <c r="AE349" s="1027"/>
      <c r="AF349" s="1027"/>
      <c r="AG349" s="1027"/>
      <c r="AH349" s="1027"/>
      <c r="AI349" s="1027"/>
      <c r="AJ349" s="1027"/>
      <c r="AK349" s="1027"/>
      <c r="AL349" s="1027"/>
      <c r="AM349" s="1027"/>
      <c r="AN349" s="1027"/>
      <c r="AO349" s="1027"/>
      <c r="AP349" s="1027"/>
      <c r="AQ349" s="1027"/>
      <c r="AR349" s="1027"/>
      <c r="AS349" s="1027"/>
      <c r="AT349" s="1027"/>
      <c r="AU349" s="1027"/>
      <c r="AV349" s="1027"/>
      <c r="AW349" s="1027"/>
      <c r="AX349" s="1027"/>
      <c r="AY349" s="1027"/>
      <c r="AZ349" s="1027"/>
      <c r="BA349" s="1027"/>
      <c r="BB349" s="1027"/>
      <c r="BC349" s="1027"/>
      <c r="BD349" s="1027"/>
    </row>
    <row r="350" spans="1:56" s="901" customFormat="1" x14ac:dyDescent="0.25">
      <c r="A350" s="983"/>
      <c r="B350" s="828" t="s">
        <v>1403</v>
      </c>
      <c r="C350" s="829" t="s">
        <v>701</v>
      </c>
      <c r="D350" s="829" t="s">
        <v>1401</v>
      </c>
      <c r="E350" s="830" t="s">
        <v>1439</v>
      </c>
      <c r="F350" s="833"/>
      <c r="G350" s="833"/>
      <c r="O350" s="854"/>
      <c r="P350" s="854"/>
      <c r="Q350" s="854"/>
      <c r="R350" s="854"/>
      <c r="S350" s="1026"/>
      <c r="T350" s="1027"/>
      <c r="U350" s="1027"/>
      <c r="V350" s="1027"/>
      <c r="W350" s="1027"/>
      <c r="X350" s="1027"/>
      <c r="Y350" s="1027"/>
      <c r="Z350" s="1027"/>
      <c r="AA350" s="1027"/>
      <c r="AB350" s="1027"/>
      <c r="AC350" s="1027"/>
      <c r="AD350" s="1027"/>
      <c r="AE350" s="1027"/>
      <c r="AF350" s="1027"/>
      <c r="AG350" s="1027"/>
      <c r="AH350" s="1027"/>
      <c r="AI350" s="1027"/>
      <c r="AJ350" s="1027"/>
      <c r="AK350" s="1027"/>
      <c r="AL350" s="1027"/>
      <c r="AM350" s="1027"/>
      <c r="AN350" s="1027"/>
      <c r="AO350" s="1027"/>
      <c r="AP350" s="1027"/>
      <c r="AQ350" s="1027"/>
      <c r="AR350" s="1027"/>
      <c r="AS350" s="1027"/>
      <c r="AT350" s="1027"/>
      <c r="AU350" s="1027"/>
      <c r="AV350" s="1027"/>
      <c r="AW350" s="1027"/>
      <c r="AX350" s="1027"/>
      <c r="AY350" s="1027"/>
      <c r="AZ350" s="1027"/>
      <c r="BA350" s="1027"/>
      <c r="BB350" s="1027"/>
      <c r="BC350" s="1027"/>
      <c r="BD350" s="1027"/>
    </row>
    <row r="351" spans="1:56" s="901" customFormat="1" x14ac:dyDescent="0.25">
      <c r="A351" s="983"/>
      <c r="B351" s="828" t="s">
        <v>1404</v>
      </c>
      <c r="C351" s="829" t="s">
        <v>839</v>
      </c>
      <c r="D351" s="829" t="s">
        <v>1401</v>
      </c>
      <c r="E351" s="830" t="s">
        <v>1439</v>
      </c>
      <c r="F351" s="833"/>
      <c r="G351" s="833"/>
      <c r="O351" s="854"/>
      <c r="P351" s="854"/>
      <c r="Q351" s="854"/>
      <c r="R351" s="854"/>
      <c r="S351" s="1026"/>
      <c r="T351" s="1027"/>
      <c r="U351" s="1027"/>
      <c r="V351" s="1027"/>
      <c r="W351" s="1027"/>
      <c r="X351" s="1027"/>
      <c r="Y351" s="1027"/>
      <c r="Z351" s="1027"/>
      <c r="AA351" s="1027"/>
      <c r="AB351" s="1027"/>
      <c r="AC351" s="1027"/>
      <c r="AD351" s="1027"/>
      <c r="AE351" s="1027"/>
      <c r="AF351" s="1027"/>
      <c r="AG351" s="1027"/>
      <c r="AH351" s="1027"/>
      <c r="AI351" s="1027"/>
      <c r="AJ351" s="1027"/>
      <c r="AK351" s="1027"/>
      <c r="AL351" s="1027"/>
      <c r="AM351" s="1027"/>
      <c r="AN351" s="1027"/>
      <c r="AO351" s="1027"/>
      <c r="AP351" s="1027"/>
      <c r="AQ351" s="1027"/>
      <c r="AR351" s="1027"/>
      <c r="AS351" s="1027"/>
      <c r="AT351" s="1027"/>
      <c r="AU351" s="1027"/>
      <c r="AV351" s="1027"/>
      <c r="AW351" s="1027"/>
      <c r="AX351" s="1027"/>
      <c r="AY351" s="1027"/>
      <c r="AZ351" s="1027"/>
      <c r="BA351" s="1027"/>
      <c r="BB351" s="1027"/>
      <c r="BC351" s="1027"/>
      <c r="BD351" s="1027"/>
    </row>
    <row r="352" spans="1:56" s="901" customFormat="1" x14ac:dyDescent="0.25">
      <c r="A352" s="983"/>
      <c r="B352" s="828" t="s">
        <v>1405</v>
      </c>
      <c r="C352" s="829" t="s">
        <v>928</v>
      </c>
      <c r="D352" s="829" t="s">
        <v>1401</v>
      </c>
      <c r="E352" s="830" t="s">
        <v>1438</v>
      </c>
      <c r="F352" s="833"/>
      <c r="G352" s="833"/>
      <c r="O352" s="854"/>
      <c r="P352" s="854"/>
      <c r="Q352" s="854"/>
      <c r="R352" s="854"/>
      <c r="S352" s="1026"/>
      <c r="T352" s="1027"/>
      <c r="U352" s="1027"/>
      <c r="V352" s="1027"/>
      <c r="W352" s="1027"/>
      <c r="X352" s="1027"/>
      <c r="Y352" s="1027"/>
      <c r="Z352" s="1027"/>
      <c r="AA352" s="1027"/>
      <c r="AB352" s="1027"/>
      <c r="AC352" s="1027"/>
      <c r="AD352" s="1027"/>
      <c r="AE352" s="1027"/>
      <c r="AF352" s="1027"/>
      <c r="AG352" s="1027"/>
      <c r="AH352" s="1027"/>
      <c r="AI352" s="1027"/>
      <c r="AJ352" s="1027"/>
      <c r="AK352" s="1027"/>
      <c r="AL352" s="1027"/>
      <c r="AM352" s="1027"/>
      <c r="AN352" s="1027"/>
      <c r="AO352" s="1027"/>
      <c r="AP352" s="1027"/>
      <c r="AQ352" s="1027"/>
      <c r="AR352" s="1027"/>
      <c r="AS352" s="1027"/>
      <c r="AT352" s="1027"/>
      <c r="AU352" s="1027"/>
      <c r="AV352" s="1027"/>
      <c r="AW352" s="1027"/>
      <c r="AX352" s="1027"/>
      <c r="AY352" s="1027"/>
      <c r="AZ352" s="1027"/>
      <c r="BA352" s="1027"/>
      <c r="BB352" s="1027"/>
      <c r="BC352" s="1027"/>
      <c r="BD352" s="1027"/>
    </row>
    <row r="353" spans="1:56" s="901" customFormat="1" x14ac:dyDescent="0.25">
      <c r="A353" s="983"/>
      <c r="B353" s="828" t="s">
        <v>1406</v>
      </c>
      <c r="C353" s="829" t="s">
        <v>723</v>
      </c>
      <c r="D353" s="829" t="s">
        <v>1401</v>
      </c>
      <c r="E353" s="830" t="s">
        <v>1440</v>
      </c>
      <c r="F353" s="833"/>
      <c r="G353" s="833"/>
      <c r="O353" s="854"/>
      <c r="P353" s="854"/>
      <c r="Q353" s="854"/>
      <c r="R353" s="854"/>
      <c r="S353" s="1026"/>
      <c r="T353" s="1027"/>
      <c r="U353" s="1027"/>
      <c r="V353" s="1027"/>
      <c r="W353" s="1027"/>
      <c r="X353" s="1027"/>
      <c r="Y353" s="1027"/>
      <c r="Z353" s="1027"/>
      <c r="AA353" s="1027"/>
      <c r="AB353" s="1027"/>
      <c r="AC353" s="1027"/>
      <c r="AD353" s="1027"/>
      <c r="AE353" s="1027"/>
      <c r="AF353" s="1027"/>
      <c r="AG353" s="1027"/>
      <c r="AH353" s="1027"/>
      <c r="AI353" s="1027"/>
      <c r="AJ353" s="1027"/>
      <c r="AK353" s="1027"/>
      <c r="AL353" s="1027"/>
      <c r="AM353" s="1027"/>
      <c r="AN353" s="1027"/>
      <c r="AO353" s="1027"/>
      <c r="AP353" s="1027"/>
      <c r="AQ353" s="1027"/>
      <c r="AR353" s="1027"/>
      <c r="AS353" s="1027"/>
      <c r="AT353" s="1027"/>
      <c r="AU353" s="1027"/>
      <c r="AV353" s="1027"/>
      <c r="AW353" s="1027"/>
      <c r="AX353" s="1027"/>
      <c r="AY353" s="1027"/>
      <c r="AZ353" s="1027"/>
      <c r="BA353" s="1027"/>
      <c r="BB353" s="1027"/>
      <c r="BC353" s="1027"/>
      <c r="BD353" s="1027"/>
    </row>
    <row r="354" spans="1:56" s="901" customFormat="1" x14ac:dyDescent="0.25">
      <c r="A354" s="983"/>
      <c r="B354" s="828" t="s">
        <v>1407</v>
      </c>
      <c r="C354" s="829" t="s">
        <v>695</v>
      </c>
      <c r="D354" s="829" t="s">
        <v>1401</v>
      </c>
      <c r="E354" s="830" t="s">
        <v>1438</v>
      </c>
      <c r="F354" s="833"/>
      <c r="G354" s="833"/>
      <c r="O354" s="854"/>
      <c r="P354" s="854"/>
      <c r="Q354" s="854"/>
      <c r="R354" s="854"/>
      <c r="S354" s="1026"/>
      <c r="T354" s="1027"/>
      <c r="U354" s="1027"/>
      <c r="V354" s="1027"/>
      <c r="W354" s="1027"/>
      <c r="X354" s="1027"/>
      <c r="Y354" s="1027"/>
      <c r="Z354" s="1027"/>
      <c r="AA354" s="1027"/>
      <c r="AB354" s="1027"/>
      <c r="AC354" s="1027"/>
      <c r="AD354" s="1027"/>
      <c r="AE354" s="1027"/>
      <c r="AF354" s="1027"/>
      <c r="AG354" s="1027"/>
      <c r="AH354" s="1027"/>
      <c r="AI354" s="1027"/>
      <c r="AJ354" s="1027"/>
      <c r="AK354" s="1027"/>
      <c r="AL354" s="1027"/>
      <c r="AM354" s="1027"/>
      <c r="AN354" s="1027"/>
      <c r="AO354" s="1027"/>
      <c r="AP354" s="1027"/>
      <c r="AQ354" s="1027"/>
      <c r="AR354" s="1027"/>
      <c r="AS354" s="1027"/>
      <c r="AT354" s="1027"/>
      <c r="AU354" s="1027"/>
      <c r="AV354" s="1027"/>
      <c r="AW354" s="1027"/>
      <c r="AX354" s="1027"/>
      <c r="AY354" s="1027"/>
      <c r="AZ354" s="1027"/>
      <c r="BA354" s="1027"/>
      <c r="BB354" s="1027"/>
      <c r="BC354" s="1027"/>
      <c r="BD354" s="1027"/>
    </row>
    <row r="355" spans="1:56" s="901" customFormat="1" x14ac:dyDescent="0.25">
      <c r="A355" s="983"/>
      <c r="B355" s="828" t="s">
        <v>1408</v>
      </c>
      <c r="C355" s="828"/>
      <c r="D355" s="828"/>
      <c r="E355" s="830"/>
      <c r="F355" s="833"/>
      <c r="G355" s="833"/>
      <c r="O355" s="854"/>
      <c r="P355" s="854"/>
      <c r="Q355" s="854"/>
      <c r="R355" s="854"/>
      <c r="S355" s="1026"/>
      <c r="T355" s="1027"/>
      <c r="U355" s="1027"/>
      <c r="V355" s="1027"/>
      <c r="W355" s="1027"/>
      <c r="X355" s="1027"/>
      <c r="Y355" s="1027"/>
      <c r="Z355" s="1027"/>
      <c r="AA355" s="1027"/>
      <c r="AB355" s="1027"/>
      <c r="AC355" s="1027"/>
      <c r="AD355" s="1027"/>
      <c r="AE355" s="1027"/>
      <c r="AF355" s="1027"/>
      <c r="AG355" s="1027"/>
      <c r="AH355" s="1027"/>
      <c r="AI355" s="1027"/>
      <c r="AJ355" s="1027"/>
      <c r="AK355" s="1027"/>
      <c r="AL355" s="1027"/>
      <c r="AM355" s="1027"/>
      <c r="AN355" s="1027"/>
      <c r="AO355" s="1027"/>
      <c r="AP355" s="1027"/>
      <c r="AQ355" s="1027"/>
      <c r="AR355" s="1027"/>
      <c r="AS355" s="1027"/>
      <c r="AT355" s="1027"/>
      <c r="AU355" s="1027"/>
      <c r="AV355" s="1027"/>
      <c r="AW355" s="1027"/>
      <c r="AX355" s="1027"/>
      <c r="AY355" s="1027"/>
      <c r="AZ355" s="1027"/>
      <c r="BA355" s="1027"/>
      <c r="BB355" s="1027"/>
      <c r="BC355" s="1027"/>
      <c r="BD355" s="1027"/>
    </row>
    <row r="356" spans="1:56" s="901" customFormat="1" x14ac:dyDescent="0.25">
      <c r="A356" s="983"/>
      <c r="B356" s="840" t="s">
        <v>1409</v>
      </c>
      <c r="C356" s="840"/>
      <c r="D356" s="840"/>
      <c r="E356" s="830"/>
      <c r="F356" s="833"/>
      <c r="G356" s="833"/>
      <c r="O356" s="854"/>
      <c r="P356" s="854"/>
      <c r="Q356" s="854"/>
      <c r="R356" s="854"/>
      <c r="S356" s="1026"/>
      <c r="T356" s="1027"/>
      <c r="U356" s="1027"/>
      <c r="V356" s="1027"/>
      <c r="W356" s="1027"/>
      <c r="X356" s="1027"/>
      <c r="Y356" s="1027"/>
      <c r="Z356" s="1027"/>
      <c r="AA356" s="1027"/>
      <c r="AB356" s="1027"/>
      <c r="AC356" s="1027"/>
      <c r="AD356" s="1027"/>
      <c r="AE356" s="1027"/>
      <c r="AF356" s="1027"/>
      <c r="AG356" s="1027"/>
      <c r="AH356" s="1027"/>
      <c r="AI356" s="1027"/>
      <c r="AJ356" s="1027"/>
      <c r="AK356" s="1027"/>
      <c r="AL356" s="1027"/>
      <c r="AM356" s="1027"/>
      <c r="AN356" s="1027"/>
      <c r="AO356" s="1027"/>
      <c r="AP356" s="1027"/>
      <c r="AQ356" s="1027"/>
      <c r="AR356" s="1027"/>
      <c r="AS356" s="1027"/>
      <c r="AT356" s="1027"/>
      <c r="AU356" s="1027"/>
      <c r="AV356" s="1027"/>
      <c r="AW356" s="1027"/>
      <c r="AX356" s="1027"/>
      <c r="AY356" s="1027"/>
      <c r="AZ356" s="1027"/>
      <c r="BA356" s="1027"/>
      <c r="BB356" s="1027"/>
      <c r="BC356" s="1027"/>
      <c r="BD356" s="1027"/>
    </row>
    <row r="357" spans="1:56" s="901" customFormat="1" x14ac:dyDescent="0.25">
      <c r="A357" s="983"/>
      <c r="B357" s="840" t="s">
        <v>1441</v>
      </c>
      <c r="C357" s="841" t="s">
        <v>1411</v>
      </c>
      <c r="D357" s="841" t="s">
        <v>1412</v>
      </c>
      <c r="E357" s="830" t="s">
        <v>1439</v>
      </c>
      <c r="F357" s="833"/>
      <c r="G357" s="833"/>
      <c r="O357" s="854"/>
      <c r="P357" s="854"/>
      <c r="Q357" s="854"/>
      <c r="R357" s="854"/>
      <c r="S357" s="1026"/>
      <c r="T357" s="1027"/>
      <c r="U357" s="1027"/>
      <c r="V357" s="1027"/>
      <c r="W357" s="1027"/>
      <c r="X357" s="1027"/>
      <c r="Y357" s="1027"/>
      <c r="Z357" s="1027"/>
      <c r="AA357" s="1027"/>
      <c r="AB357" s="1027"/>
      <c r="AC357" s="1027"/>
      <c r="AD357" s="1027"/>
      <c r="AE357" s="1027"/>
      <c r="AF357" s="1027"/>
      <c r="AG357" s="1027"/>
      <c r="AH357" s="1027"/>
      <c r="AI357" s="1027"/>
      <c r="AJ357" s="1027"/>
      <c r="AK357" s="1027"/>
      <c r="AL357" s="1027"/>
      <c r="AM357" s="1027"/>
      <c r="AN357" s="1027"/>
      <c r="AO357" s="1027"/>
      <c r="AP357" s="1027"/>
      <c r="AQ357" s="1027"/>
      <c r="AR357" s="1027"/>
      <c r="AS357" s="1027"/>
      <c r="AT357" s="1027"/>
      <c r="AU357" s="1027"/>
      <c r="AV357" s="1027"/>
      <c r="AW357" s="1027"/>
      <c r="AX357" s="1027"/>
      <c r="AY357" s="1027"/>
      <c r="AZ357" s="1027"/>
      <c r="BA357" s="1027"/>
      <c r="BB357" s="1027"/>
      <c r="BC357" s="1027"/>
      <c r="BD357" s="1027"/>
    </row>
    <row r="358" spans="1:56" s="901" customFormat="1" x14ac:dyDescent="0.25">
      <c r="A358" s="983"/>
      <c r="B358" s="840" t="s">
        <v>1442</v>
      </c>
      <c r="C358" s="841" t="s">
        <v>1414</v>
      </c>
      <c r="D358" s="841" t="s">
        <v>1412</v>
      </c>
      <c r="E358" s="830" t="s">
        <v>1438</v>
      </c>
      <c r="F358" s="833"/>
      <c r="G358" s="833"/>
      <c r="O358" s="854"/>
      <c r="P358" s="854"/>
      <c r="Q358" s="854"/>
      <c r="R358" s="854"/>
      <c r="S358" s="1026"/>
      <c r="T358" s="1027"/>
      <c r="U358" s="1027"/>
      <c r="V358" s="1027"/>
      <c r="W358" s="1027"/>
      <c r="X358" s="1027"/>
      <c r="Y358" s="1027"/>
      <c r="Z358" s="1027"/>
      <c r="AA358" s="1027"/>
      <c r="AB358" s="1027"/>
      <c r="AC358" s="1027"/>
      <c r="AD358" s="1027"/>
      <c r="AE358" s="1027"/>
      <c r="AF358" s="1027"/>
      <c r="AG358" s="1027"/>
      <c r="AH358" s="1027"/>
      <c r="AI358" s="1027"/>
      <c r="AJ358" s="1027"/>
      <c r="AK358" s="1027"/>
      <c r="AL358" s="1027"/>
      <c r="AM358" s="1027"/>
      <c r="AN358" s="1027"/>
      <c r="AO358" s="1027"/>
      <c r="AP358" s="1027"/>
      <c r="AQ358" s="1027"/>
      <c r="AR358" s="1027"/>
      <c r="AS358" s="1027"/>
      <c r="AT358" s="1027"/>
      <c r="AU358" s="1027"/>
      <c r="AV358" s="1027"/>
      <c r="AW358" s="1027"/>
      <c r="AX358" s="1027"/>
      <c r="AY358" s="1027"/>
      <c r="AZ358" s="1027"/>
      <c r="BA358" s="1027"/>
      <c r="BB358" s="1027"/>
      <c r="BC358" s="1027"/>
      <c r="BD358" s="1027"/>
    </row>
    <row r="359" spans="1:56" s="922" customFormat="1" x14ac:dyDescent="0.25">
      <c r="A359" s="987"/>
      <c r="B359" s="840" t="s">
        <v>1415</v>
      </c>
      <c r="C359" s="841" t="s">
        <v>1416</v>
      </c>
      <c r="D359" s="841" t="s">
        <v>1412</v>
      </c>
      <c r="E359" s="830" t="s">
        <v>1439</v>
      </c>
      <c r="F359" s="833"/>
      <c r="G359" s="833"/>
      <c r="N359" s="1028"/>
      <c r="O359" s="1029"/>
      <c r="P359" s="1029"/>
      <c r="Q359" s="1029"/>
      <c r="R359" s="1029"/>
      <c r="S359" s="1030"/>
      <c r="T359" s="1031"/>
      <c r="U359" s="1031"/>
      <c r="V359" s="1031"/>
      <c r="W359" s="1031"/>
      <c r="X359" s="1031"/>
      <c r="Y359" s="1031"/>
      <c r="Z359" s="1031"/>
      <c r="AA359" s="1031"/>
      <c r="AB359" s="1031"/>
      <c r="AC359" s="1031"/>
      <c r="AD359" s="1031"/>
      <c r="AE359" s="1031"/>
      <c r="AF359" s="1031"/>
      <c r="AG359" s="1031"/>
      <c r="AH359" s="1031"/>
      <c r="AI359" s="1031"/>
      <c r="AJ359" s="1031"/>
      <c r="AK359" s="1031"/>
      <c r="AL359" s="1031"/>
      <c r="AM359" s="1031"/>
      <c r="AN359" s="1031"/>
      <c r="AO359" s="1031"/>
      <c r="AP359" s="1031"/>
      <c r="AQ359" s="1031"/>
      <c r="AR359" s="1031"/>
      <c r="AS359" s="1031"/>
      <c r="AT359" s="1031"/>
      <c r="AU359" s="1031"/>
      <c r="AV359" s="1031"/>
      <c r="AW359" s="1031"/>
      <c r="AX359" s="1031"/>
      <c r="AY359" s="1031"/>
      <c r="AZ359" s="1031"/>
      <c r="BA359" s="1031"/>
      <c r="BB359" s="1031"/>
      <c r="BC359" s="1031"/>
      <c r="BD359" s="1031"/>
    </row>
    <row r="360" spans="1:56" s="922" customFormat="1" x14ac:dyDescent="0.25">
      <c r="A360" s="987"/>
      <c r="B360" s="828" t="s">
        <v>1417</v>
      </c>
      <c r="C360" s="828"/>
      <c r="D360" s="828"/>
      <c r="E360" s="830" t="s">
        <v>1440</v>
      </c>
      <c r="F360" s="833"/>
      <c r="G360" s="833"/>
      <c r="N360" s="1028"/>
      <c r="O360" s="1029"/>
      <c r="P360" s="1029"/>
      <c r="Q360" s="1029"/>
      <c r="R360" s="1029"/>
      <c r="S360" s="1030"/>
      <c r="T360" s="1031"/>
      <c r="U360" s="1031"/>
      <c r="V360" s="1031"/>
      <c r="W360" s="1031"/>
      <c r="X360" s="1031"/>
      <c r="Y360" s="1031"/>
      <c r="Z360" s="1031"/>
      <c r="AA360" s="1031"/>
      <c r="AB360" s="1031"/>
      <c r="AC360" s="1031"/>
      <c r="AD360" s="1031"/>
      <c r="AE360" s="1031"/>
      <c r="AF360" s="1031"/>
      <c r="AG360" s="1031"/>
      <c r="AH360" s="1031"/>
      <c r="AI360" s="1031"/>
      <c r="AJ360" s="1031"/>
      <c r="AK360" s="1031"/>
      <c r="AL360" s="1031"/>
      <c r="AM360" s="1031"/>
      <c r="AN360" s="1031"/>
      <c r="AO360" s="1031"/>
      <c r="AP360" s="1031"/>
      <c r="AQ360" s="1031"/>
      <c r="AR360" s="1031"/>
      <c r="AS360" s="1031"/>
      <c r="AT360" s="1031"/>
      <c r="AU360" s="1031"/>
      <c r="AV360" s="1031"/>
      <c r="AW360" s="1031"/>
      <c r="AX360" s="1031"/>
      <c r="AY360" s="1031"/>
      <c r="AZ360" s="1031"/>
      <c r="BA360" s="1031"/>
      <c r="BB360" s="1031"/>
      <c r="BC360" s="1031"/>
      <c r="BD360" s="1031"/>
    </row>
    <row r="361" spans="1:56" s="922" customFormat="1" x14ac:dyDescent="0.25">
      <c r="A361" s="987"/>
      <c r="B361" s="840" t="s">
        <v>1418</v>
      </c>
      <c r="C361" s="841" t="s">
        <v>1419</v>
      </c>
      <c r="D361" s="829" t="s">
        <v>1401</v>
      </c>
      <c r="E361" s="830" t="s">
        <v>1438</v>
      </c>
      <c r="F361" s="833"/>
      <c r="G361" s="833"/>
      <c r="N361" s="1028"/>
      <c r="O361" s="1029"/>
      <c r="P361" s="1029"/>
      <c r="Q361" s="1029"/>
      <c r="R361" s="1029"/>
      <c r="S361" s="1030"/>
      <c r="T361" s="1031"/>
      <c r="U361" s="1031"/>
      <c r="V361" s="1031"/>
      <c r="W361" s="1031"/>
      <c r="X361" s="1031"/>
      <c r="Y361" s="1031"/>
      <c r="Z361" s="1031"/>
      <c r="AA361" s="1031"/>
      <c r="AB361" s="1031"/>
      <c r="AC361" s="1031"/>
      <c r="AD361" s="1031"/>
      <c r="AE361" s="1031"/>
      <c r="AF361" s="1031"/>
      <c r="AG361" s="1031"/>
      <c r="AH361" s="1031"/>
      <c r="AI361" s="1031"/>
      <c r="AJ361" s="1031"/>
      <c r="AK361" s="1031"/>
      <c r="AL361" s="1031"/>
      <c r="AM361" s="1031"/>
      <c r="AN361" s="1031"/>
      <c r="AO361" s="1031"/>
      <c r="AP361" s="1031"/>
      <c r="AQ361" s="1031"/>
      <c r="AR361" s="1031"/>
      <c r="AS361" s="1031"/>
      <c r="AT361" s="1031"/>
      <c r="AU361" s="1031"/>
      <c r="AV361" s="1031"/>
      <c r="AW361" s="1031"/>
      <c r="AX361" s="1031"/>
      <c r="AY361" s="1031"/>
      <c r="AZ361" s="1031"/>
      <c r="BA361" s="1031"/>
      <c r="BB361" s="1031"/>
      <c r="BC361" s="1031"/>
      <c r="BD361" s="1031"/>
    </row>
    <row r="362" spans="1:56" s="922" customFormat="1" x14ac:dyDescent="0.25">
      <c r="A362" s="987"/>
      <c r="B362" s="840" t="s">
        <v>1420</v>
      </c>
      <c r="C362" s="841" t="s">
        <v>1421</v>
      </c>
      <c r="D362" s="829" t="s">
        <v>1401</v>
      </c>
      <c r="E362" s="830" t="s">
        <v>1439</v>
      </c>
      <c r="F362" s="833"/>
      <c r="G362" s="833"/>
      <c r="N362" s="1028"/>
      <c r="O362" s="1029"/>
      <c r="P362" s="1029"/>
      <c r="Q362" s="1029"/>
      <c r="R362" s="1029"/>
      <c r="S362" s="1030"/>
      <c r="T362" s="1031"/>
      <c r="U362" s="1031"/>
      <c r="V362" s="1031"/>
      <c r="W362" s="1031"/>
      <c r="X362" s="1031"/>
      <c r="Y362" s="1031"/>
      <c r="Z362" s="1031"/>
      <c r="AA362" s="1031"/>
      <c r="AB362" s="1031"/>
      <c r="AC362" s="1031"/>
      <c r="AD362" s="1031"/>
      <c r="AE362" s="1031"/>
      <c r="AF362" s="1031"/>
      <c r="AG362" s="1031"/>
      <c r="AH362" s="1031"/>
      <c r="AI362" s="1031"/>
      <c r="AJ362" s="1031"/>
      <c r="AK362" s="1031"/>
      <c r="AL362" s="1031"/>
      <c r="AM362" s="1031"/>
      <c r="AN362" s="1031"/>
      <c r="AO362" s="1031"/>
      <c r="AP362" s="1031"/>
      <c r="AQ362" s="1031"/>
      <c r="AR362" s="1031"/>
      <c r="AS362" s="1031"/>
      <c r="AT362" s="1031"/>
      <c r="AU362" s="1031"/>
      <c r="AV362" s="1031"/>
      <c r="AW362" s="1031"/>
      <c r="AX362" s="1031"/>
      <c r="AY362" s="1031"/>
      <c r="AZ362" s="1031"/>
      <c r="BA362" s="1031"/>
      <c r="BB362" s="1031"/>
      <c r="BC362" s="1031"/>
      <c r="BD362" s="1031"/>
    </row>
    <row r="363" spans="1:56" s="922" customFormat="1" x14ac:dyDescent="0.25">
      <c r="A363" s="987"/>
      <c r="B363" s="828" t="s">
        <v>1422</v>
      </c>
      <c r="C363" s="828"/>
      <c r="D363" s="828"/>
      <c r="E363" s="830" t="s">
        <v>1440</v>
      </c>
      <c r="F363" s="833"/>
      <c r="G363" s="833"/>
      <c r="N363" s="1028"/>
      <c r="O363" s="1029"/>
      <c r="P363" s="1029"/>
      <c r="Q363" s="1029"/>
      <c r="R363" s="1029"/>
      <c r="S363" s="1030"/>
      <c r="T363" s="1031"/>
      <c r="U363" s="1031"/>
      <c r="V363" s="1031"/>
      <c r="W363" s="1031"/>
      <c r="X363" s="1031"/>
      <c r="Y363" s="1031"/>
      <c r="Z363" s="1031"/>
      <c r="AA363" s="1031"/>
      <c r="AB363" s="1031"/>
      <c r="AC363" s="1031"/>
      <c r="AD363" s="1031"/>
      <c r="AE363" s="1031"/>
      <c r="AF363" s="1031"/>
      <c r="AG363" s="1031"/>
      <c r="AH363" s="1031"/>
      <c r="AI363" s="1031"/>
      <c r="AJ363" s="1031"/>
      <c r="AK363" s="1031"/>
      <c r="AL363" s="1031"/>
      <c r="AM363" s="1031"/>
      <c r="AN363" s="1031"/>
      <c r="AO363" s="1031"/>
      <c r="AP363" s="1031"/>
      <c r="AQ363" s="1031"/>
      <c r="AR363" s="1031"/>
      <c r="AS363" s="1031"/>
      <c r="AT363" s="1031"/>
      <c r="AU363" s="1031"/>
      <c r="AV363" s="1031"/>
      <c r="AW363" s="1031"/>
      <c r="AX363" s="1031"/>
      <c r="AY363" s="1031"/>
      <c r="AZ363" s="1031"/>
      <c r="BA363" s="1031"/>
      <c r="BB363" s="1031"/>
      <c r="BC363" s="1031"/>
      <c r="BD363" s="1031"/>
    </row>
    <row r="364" spans="1:56" s="922" customFormat="1" x14ac:dyDescent="0.25">
      <c r="A364" s="987"/>
      <c r="B364" s="840" t="s">
        <v>1423</v>
      </c>
      <c r="C364" s="841" t="s">
        <v>1424</v>
      </c>
      <c r="D364" s="841" t="s">
        <v>1412</v>
      </c>
      <c r="E364" s="830" t="s">
        <v>1438</v>
      </c>
      <c r="F364" s="833"/>
      <c r="G364" s="833"/>
      <c r="N364" s="1028"/>
      <c r="O364" s="1029"/>
      <c r="P364" s="1029"/>
      <c r="Q364" s="1029"/>
      <c r="R364" s="1029"/>
      <c r="S364" s="1030"/>
      <c r="T364" s="1031"/>
      <c r="U364" s="1031"/>
      <c r="V364" s="1031"/>
      <c r="W364" s="1031"/>
      <c r="X364" s="1031"/>
      <c r="Y364" s="1031"/>
      <c r="Z364" s="1031"/>
      <c r="AA364" s="1031"/>
      <c r="AB364" s="1031"/>
      <c r="AC364" s="1031"/>
      <c r="AD364" s="1031"/>
      <c r="AE364" s="1031"/>
      <c r="AF364" s="1031"/>
      <c r="AG364" s="1031"/>
      <c r="AH364" s="1031"/>
      <c r="AI364" s="1031"/>
      <c r="AJ364" s="1031"/>
      <c r="AK364" s="1031"/>
      <c r="AL364" s="1031"/>
      <c r="AM364" s="1031"/>
      <c r="AN364" s="1031"/>
      <c r="AO364" s="1031"/>
      <c r="AP364" s="1031"/>
      <c r="AQ364" s="1031"/>
      <c r="AR364" s="1031"/>
      <c r="AS364" s="1031"/>
      <c r="AT364" s="1031"/>
      <c r="AU364" s="1031"/>
      <c r="AV364" s="1031"/>
      <c r="AW364" s="1031"/>
      <c r="AX364" s="1031"/>
      <c r="AY364" s="1031"/>
      <c r="AZ364" s="1031"/>
      <c r="BA364" s="1031"/>
      <c r="BB364" s="1031"/>
      <c r="BC364" s="1031"/>
      <c r="BD364" s="1031"/>
    </row>
    <row r="365" spans="1:56" s="922" customFormat="1" x14ac:dyDescent="0.25">
      <c r="A365" s="987"/>
      <c r="B365" s="840" t="s">
        <v>1425</v>
      </c>
      <c r="C365" s="841" t="s">
        <v>1426</v>
      </c>
      <c r="D365" s="829" t="s">
        <v>1401</v>
      </c>
      <c r="E365" s="830" t="s">
        <v>1439</v>
      </c>
      <c r="F365" s="833"/>
      <c r="G365" s="833"/>
      <c r="N365" s="1028"/>
      <c r="O365" s="1029"/>
      <c r="P365" s="1029"/>
      <c r="Q365" s="1029"/>
      <c r="R365" s="1029"/>
      <c r="S365" s="1030"/>
      <c r="T365" s="1031"/>
      <c r="U365" s="1031"/>
      <c r="V365" s="1031"/>
      <c r="W365" s="1031"/>
      <c r="X365" s="1031"/>
      <c r="Y365" s="1031"/>
      <c r="Z365" s="1031"/>
      <c r="AA365" s="1031"/>
      <c r="AB365" s="1031"/>
      <c r="AC365" s="1031"/>
      <c r="AD365" s="1031"/>
      <c r="AE365" s="1031"/>
      <c r="AF365" s="1031"/>
      <c r="AG365" s="1031"/>
      <c r="AH365" s="1031"/>
      <c r="AI365" s="1031"/>
      <c r="AJ365" s="1031"/>
      <c r="AK365" s="1031"/>
      <c r="AL365" s="1031"/>
      <c r="AM365" s="1031"/>
      <c r="AN365" s="1031"/>
      <c r="AO365" s="1031"/>
      <c r="AP365" s="1031"/>
      <c r="AQ365" s="1031"/>
      <c r="AR365" s="1031"/>
      <c r="AS365" s="1031"/>
      <c r="AT365" s="1031"/>
      <c r="AU365" s="1031"/>
      <c r="AV365" s="1031"/>
      <c r="AW365" s="1031"/>
      <c r="AX365" s="1031"/>
      <c r="AY365" s="1031"/>
      <c r="AZ365" s="1031"/>
      <c r="BA365" s="1031"/>
      <c r="BB365" s="1031"/>
      <c r="BC365" s="1031"/>
      <c r="BD365" s="1031"/>
    </row>
    <row r="366" spans="1:56" s="922" customFormat="1" x14ac:dyDescent="0.25">
      <c r="A366" s="987"/>
      <c r="B366" s="840" t="s">
        <v>1427</v>
      </c>
      <c r="C366" s="841" t="s">
        <v>1428</v>
      </c>
      <c r="D366" s="829" t="s">
        <v>1401</v>
      </c>
      <c r="E366" s="830" t="s">
        <v>1438</v>
      </c>
      <c r="F366" s="833"/>
      <c r="G366" s="833"/>
      <c r="N366" s="1028"/>
      <c r="O366" s="1029"/>
      <c r="P366" s="1029"/>
      <c r="Q366" s="1029"/>
      <c r="R366" s="1029"/>
      <c r="S366" s="1030"/>
      <c r="T366" s="1031"/>
      <c r="U366" s="1031"/>
      <c r="V366" s="1031"/>
      <c r="W366" s="1031"/>
      <c r="X366" s="1031"/>
      <c r="Y366" s="1031"/>
      <c r="Z366" s="1031"/>
      <c r="AA366" s="1031"/>
      <c r="AB366" s="1031"/>
      <c r="AC366" s="1031"/>
      <c r="AD366" s="1031"/>
      <c r="AE366" s="1031"/>
      <c r="AF366" s="1031"/>
      <c r="AG366" s="1031"/>
      <c r="AH366" s="1031"/>
      <c r="AI366" s="1031"/>
      <c r="AJ366" s="1031"/>
      <c r="AK366" s="1031"/>
      <c r="AL366" s="1031"/>
      <c r="AM366" s="1031"/>
      <c r="AN366" s="1031"/>
      <c r="AO366" s="1031"/>
      <c r="AP366" s="1031"/>
      <c r="AQ366" s="1031"/>
      <c r="AR366" s="1031"/>
      <c r="AS366" s="1031"/>
      <c r="AT366" s="1031"/>
      <c r="AU366" s="1031"/>
      <c r="AV366" s="1031"/>
      <c r="AW366" s="1031"/>
      <c r="AX366" s="1031"/>
      <c r="AY366" s="1031"/>
      <c r="AZ366" s="1031"/>
      <c r="BA366" s="1031"/>
      <c r="BB366" s="1031"/>
      <c r="BC366" s="1031"/>
      <c r="BD366" s="1031"/>
    </row>
    <row r="367" spans="1:56" s="922" customFormat="1" x14ac:dyDescent="0.25">
      <c r="A367" s="987"/>
      <c r="B367" s="840" t="s">
        <v>1429</v>
      </c>
      <c r="C367" s="841" t="s">
        <v>1430</v>
      </c>
      <c r="D367" s="829" t="s">
        <v>1401</v>
      </c>
      <c r="E367" s="830" t="s">
        <v>1439</v>
      </c>
      <c r="F367" s="833"/>
      <c r="G367" s="833"/>
      <c r="N367" s="1028"/>
      <c r="O367" s="1029"/>
      <c r="P367" s="1029"/>
      <c r="Q367" s="1029"/>
      <c r="R367" s="1029"/>
      <c r="S367" s="1030"/>
      <c r="T367" s="1031"/>
      <c r="U367" s="1031"/>
      <c r="V367" s="1031"/>
      <c r="W367" s="1031"/>
      <c r="X367" s="1031"/>
      <c r="Y367" s="1031"/>
      <c r="Z367" s="1031"/>
      <c r="AA367" s="1031"/>
      <c r="AB367" s="1031"/>
      <c r="AC367" s="1031"/>
      <c r="AD367" s="1031"/>
      <c r="AE367" s="1031"/>
      <c r="AF367" s="1031"/>
      <c r="AG367" s="1031"/>
      <c r="AH367" s="1031"/>
      <c r="AI367" s="1031"/>
      <c r="AJ367" s="1031"/>
      <c r="AK367" s="1031"/>
      <c r="AL367" s="1031"/>
      <c r="AM367" s="1031"/>
      <c r="AN367" s="1031"/>
      <c r="AO367" s="1031"/>
      <c r="AP367" s="1031"/>
      <c r="AQ367" s="1031"/>
      <c r="AR367" s="1031"/>
      <c r="AS367" s="1031"/>
      <c r="AT367" s="1031"/>
      <c r="AU367" s="1031"/>
      <c r="AV367" s="1031"/>
      <c r="AW367" s="1031"/>
      <c r="AX367" s="1031"/>
      <c r="AY367" s="1031"/>
      <c r="AZ367" s="1031"/>
      <c r="BA367" s="1031"/>
      <c r="BB367" s="1031"/>
      <c r="BC367" s="1031"/>
      <c r="BD367" s="1031"/>
    </row>
    <row r="368" spans="1:56" s="922" customFormat="1" x14ac:dyDescent="0.25">
      <c r="A368" s="987"/>
      <c r="B368" s="828" t="s">
        <v>1431</v>
      </c>
      <c r="C368" s="829" t="s">
        <v>1432</v>
      </c>
      <c r="D368" s="829"/>
      <c r="E368" s="936"/>
      <c r="F368" s="833"/>
      <c r="G368" s="833"/>
      <c r="N368" s="1028"/>
      <c r="O368" s="1029"/>
      <c r="P368" s="1029"/>
      <c r="Q368" s="1029"/>
      <c r="R368" s="1092"/>
      <c r="S368" s="1093"/>
      <c r="T368" s="1094"/>
      <c r="U368" s="1094"/>
      <c r="V368" s="1094"/>
      <c r="W368" s="1094"/>
      <c r="X368" s="1094"/>
      <c r="Y368" s="1094"/>
      <c r="Z368" s="1094"/>
      <c r="AA368" s="1094"/>
      <c r="AB368" s="1094"/>
      <c r="AC368" s="1094"/>
      <c r="AD368" s="1094"/>
      <c r="AE368" s="1094"/>
      <c r="AF368" s="1031"/>
      <c r="AG368" s="1031"/>
      <c r="AH368" s="1031"/>
      <c r="AI368" s="1031"/>
      <c r="AJ368" s="1031"/>
      <c r="AK368" s="1031"/>
      <c r="AL368" s="1031"/>
      <c r="AM368" s="1031"/>
      <c r="AN368" s="1031"/>
      <c r="AO368" s="1031"/>
      <c r="AP368" s="1031"/>
      <c r="AQ368" s="1031"/>
      <c r="AR368" s="1031"/>
      <c r="AS368" s="1031"/>
      <c r="AT368" s="1031"/>
      <c r="AU368" s="1031"/>
      <c r="AV368" s="1031"/>
      <c r="AW368" s="1031"/>
      <c r="AX368" s="1031"/>
      <c r="AY368" s="1031"/>
      <c r="AZ368" s="1031"/>
      <c r="BA368" s="1031"/>
      <c r="BB368" s="1031"/>
      <c r="BC368" s="1031"/>
      <c r="BD368" s="1031"/>
    </row>
    <row r="369" spans="1:56" s="901" customFormat="1" x14ac:dyDescent="0.25">
      <c r="A369" s="983"/>
      <c r="B369" s="844" t="s">
        <v>1478</v>
      </c>
      <c r="C369" s="844"/>
      <c r="D369" s="844"/>
      <c r="E369" s="845" t="s">
        <v>1474</v>
      </c>
      <c r="F369" s="992"/>
      <c r="G369" s="992"/>
      <c r="H369" s="992"/>
      <c r="I369" s="992"/>
      <c r="J369" s="992"/>
      <c r="K369" s="992"/>
      <c r="L369" s="992">
        <f>+L30-L293</f>
        <v>0</v>
      </c>
      <c r="M369" s="992"/>
      <c r="N369" s="992"/>
      <c r="O369" s="992"/>
      <c r="P369" s="992"/>
      <c r="Q369" s="992"/>
      <c r="R369" s="1095">
        <f>R30-R293</f>
        <v>478.978572633</v>
      </c>
      <c r="S369" s="1096">
        <f>S30-S293</f>
        <v>593.17779753399998</v>
      </c>
      <c r="T369" s="1091">
        <f t="shared" ref="T369:AD369" si="113">T30-T293</f>
        <v>643.10690481644247</v>
      </c>
      <c r="U369" s="1091">
        <f t="shared" si="113"/>
        <v>656.29225588398754</v>
      </c>
      <c r="V369" s="1091">
        <f t="shared" si="113"/>
        <v>885.12311611933251</v>
      </c>
      <c r="W369" s="1091">
        <f t="shared" si="113"/>
        <v>969.38375887739016</v>
      </c>
      <c r="X369" s="1091">
        <f t="shared" si="113"/>
        <v>1062.0050211567363</v>
      </c>
      <c r="Y369" s="1091">
        <f t="shared" si="113"/>
        <v>1127.2570453618555</v>
      </c>
      <c r="Z369" s="1091">
        <f t="shared" si="113"/>
        <v>1210.9681736874795</v>
      </c>
      <c r="AA369" s="1091">
        <f t="shared" si="113"/>
        <v>1259.0641763916828</v>
      </c>
      <c r="AB369" s="1091">
        <f t="shared" si="113"/>
        <v>1311.3720341138346</v>
      </c>
      <c r="AC369" s="1091">
        <f t="shared" si="113"/>
        <v>1368.3166812821814</v>
      </c>
      <c r="AD369" s="1091">
        <f t="shared" si="113"/>
        <v>1430.3671560381977</v>
      </c>
      <c r="AE369" s="1034"/>
      <c r="AF369" s="1032"/>
      <c r="AG369" s="1032"/>
      <c r="AH369" s="1032"/>
      <c r="AI369" s="1032">
        <f t="shared" ref="AI369:BD369" si="114">+AI30-AI293</f>
        <v>0</v>
      </c>
      <c r="AJ369" s="1032">
        <f t="shared" si="114"/>
        <v>0</v>
      </c>
      <c r="AK369" s="992">
        <f t="shared" si="114"/>
        <v>0</v>
      </c>
      <c r="AL369" s="992">
        <f t="shared" si="114"/>
        <v>0</v>
      </c>
      <c r="AM369" s="992">
        <f t="shared" si="114"/>
        <v>0</v>
      </c>
      <c r="AN369" s="992">
        <f t="shared" si="114"/>
        <v>0</v>
      </c>
      <c r="AO369" s="992">
        <f t="shared" si="114"/>
        <v>0</v>
      </c>
      <c r="AP369" s="992">
        <f t="shared" si="114"/>
        <v>0</v>
      </c>
      <c r="AQ369" s="992">
        <f t="shared" si="114"/>
        <v>0</v>
      </c>
      <c r="AR369" s="992">
        <f t="shared" si="114"/>
        <v>0</v>
      </c>
      <c r="AS369" s="992">
        <f t="shared" si="114"/>
        <v>0</v>
      </c>
      <c r="AT369" s="992">
        <f t="shared" si="114"/>
        <v>0</v>
      </c>
      <c r="AU369" s="992">
        <f t="shared" si="114"/>
        <v>0</v>
      </c>
      <c r="AV369" s="992">
        <f t="shared" si="114"/>
        <v>0</v>
      </c>
      <c r="AW369" s="992">
        <f t="shared" si="114"/>
        <v>0</v>
      </c>
      <c r="AX369" s="992">
        <f t="shared" si="114"/>
        <v>0</v>
      </c>
      <c r="AY369" s="992">
        <f t="shared" si="114"/>
        <v>0</v>
      </c>
      <c r="AZ369" s="992">
        <f t="shared" si="114"/>
        <v>0</v>
      </c>
      <c r="BA369" s="992">
        <f t="shared" si="114"/>
        <v>0</v>
      </c>
      <c r="BB369" s="992">
        <f t="shared" si="114"/>
        <v>0</v>
      </c>
      <c r="BC369" s="992">
        <f t="shared" si="114"/>
        <v>0</v>
      </c>
      <c r="BD369" s="992">
        <f t="shared" si="114"/>
        <v>0</v>
      </c>
    </row>
    <row r="370" spans="1:56" s="901" customFormat="1" x14ac:dyDescent="0.25">
      <c r="A370" s="983"/>
      <c r="B370" s="851"/>
      <c r="C370" s="851"/>
      <c r="D370" s="851"/>
      <c r="E370" s="852"/>
      <c r="F370" s="1015"/>
      <c r="G370" s="1015"/>
      <c r="H370" s="1015"/>
      <c r="I370" s="1015"/>
      <c r="J370" s="1015"/>
      <c r="K370" s="1015"/>
      <c r="L370" s="1015"/>
      <c r="M370" s="1015"/>
      <c r="N370" s="1015"/>
      <c r="O370" s="1015"/>
      <c r="P370" s="1015"/>
      <c r="Q370" s="1015"/>
      <c r="R370" s="1015"/>
      <c r="S370" s="1033"/>
      <c r="T370" s="1034"/>
      <c r="U370" s="1034"/>
      <c r="V370" s="1034"/>
      <c r="W370" s="1034"/>
      <c r="X370" s="1034"/>
      <c r="Y370" s="1034"/>
      <c r="Z370" s="1034"/>
      <c r="AA370" s="1034"/>
      <c r="AB370" s="1034"/>
      <c r="AC370" s="1034"/>
      <c r="AD370" s="1034"/>
      <c r="AE370" s="1034"/>
      <c r="AF370" s="1034"/>
      <c r="AG370" s="1034"/>
      <c r="AH370" s="1034"/>
      <c r="AI370" s="1034"/>
      <c r="AJ370" s="1034"/>
      <c r="AK370" s="1015"/>
      <c r="AL370" s="1015"/>
      <c r="AM370" s="1015"/>
      <c r="AN370" s="1015"/>
      <c r="AO370" s="1015"/>
      <c r="AP370" s="1015"/>
      <c r="AQ370" s="1015"/>
      <c r="AR370" s="1015"/>
      <c r="AS370" s="1015"/>
      <c r="AT370" s="1015"/>
      <c r="AU370" s="1015"/>
      <c r="AV370" s="1015"/>
      <c r="AW370" s="1015"/>
      <c r="AX370" s="1015"/>
      <c r="AY370" s="1015"/>
      <c r="AZ370" s="1015"/>
      <c r="BA370" s="1015"/>
      <c r="BB370" s="1015"/>
      <c r="BC370" s="1015"/>
      <c r="BD370" s="1015"/>
    </row>
    <row r="371" spans="1:56" s="800" customFormat="1" x14ac:dyDescent="0.25">
      <c r="A371" s="799"/>
      <c r="B371" s="800" t="s">
        <v>467</v>
      </c>
      <c r="N371" s="1035"/>
      <c r="O371" s="1035"/>
      <c r="P371" s="1035"/>
      <c r="Q371" s="1035"/>
      <c r="R371" s="1035"/>
      <c r="S371" s="1036">
        <f>S369/R369-1</f>
        <v>0.23842240848736473</v>
      </c>
      <c r="T371" s="1035">
        <f t="shared" ref="T371:AD371" si="115">T369/S369-1</f>
        <v>8.4172245640364851E-2</v>
      </c>
      <c r="U371" s="1035">
        <f t="shared" si="115"/>
        <v>2.0502580471140286E-2</v>
      </c>
      <c r="V371" s="1035">
        <f t="shared" si="115"/>
        <v>0.34867219319405662</v>
      </c>
      <c r="W371" s="1035">
        <f t="shared" si="115"/>
        <v>9.5196522634595437E-2</v>
      </c>
      <c r="X371" s="1035">
        <f t="shared" si="115"/>
        <v>9.5546538129138492E-2</v>
      </c>
      <c r="Y371" s="1035">
        <f t="shared" si="115"/>
        <v>6.1442293496923872E-2</v>
      </c>
      <c r="Z371" s="1035">
        <f t="shared" si="115"/>
        <v>7.4260904972877961E-2</v>
      </c>
      <c r="AA371" s="1035">
        <f t="shared" si="115"/>
        <v>3.9716983277725326E-2</v>
      </c>
      <c r="AB371" s="1035">
        <f t="shared" si="115"/>
        <v>4.1545029000872313E-2</v>
      </c>
      <c r="AC371" s="1035">
        <f t="shared" si="115"/>
        <v>4.3423716296365544E-2</v>
      </c>
      <c r="AD371" s="1035">
        <f t="shared" si="115"/>
        <v>4.5348036463219721E-2</v>
      </c>
      <c r="AE371" s="1037"/>
      <c r="AF371" s="1037"/>
      <c r="AG371" s="1037"/>
      <c r="AH371" s="1037"/>
      <c r="AI371" s="1037"/>
      <c r="AJ371" s="1037"/>
    </row>
    <row r="372" spans="1:56" x14ac:dyDescent="0.25">
      <c r="P372" s="1038"/>
      <c r="S372" s="1040"/>
      <c r="T372" s="1041"/>
      <c r="U372" s="1041"/>
      <c r="V372" s="1041"/>
      <c r="W372" s="1041"/>
      <c r="X372" s="1041"/>
      <c r="Y372" s="1041"/>
      <c r="Z372" s="1041"/>
      <c r="AA372" s="1041"/>
      <c r="AB372" s="1041"/>
      <c r="AC372" s="1041"/>
      <c r="AD372" s="1041"/>
      <c r="AE372" s="1041"/>
      <c r="AF372" s="1041"/>
      <c r="AG372" s="1041"/>
      <c r="AH372" s="1041"/>
      <c r="AI372" s="1041"/>
      <c r="AJ372" s="1041"/>
      <c r="AK372" s="1039"/>
      <c r="AL372" s="1039"/>
      <c r="AM372" s="1039"/>
      <c r="AN372" s="1039"/>
      <c r="AO372" s="1039"/>
      <c r="AP372" s="1039"/>
      <c r="AQ372" s="1039"/>
      <c r="AR372" s="1039"/>
      <c r="AS372" s="1039"/>
      <c r="AT372" s="1039"/>
      <c r="AU372" s="1039"/>
      <c r="AV372" s="1039"/>
      <c r="AW372" s="1039"/>
      <c r="AX372" s="1039"/>
      <c r="AY372" s="1039"/>
      <c r="AZ372" s="1039"/>
      <c r="BA372" s="1039"/>
      <c r="BB372" s="1039"/>
      <c r="BC372" s="1039"/>
      <c r="BD372" s="1039"/>
    </row>
    <row r="373" spans="1:56" s="825" customFormat="1" x14ac:dyDescent="0.25">
      <c r="A373" s="823">
        <v>2</v>
      </c>
      <c r="B373" s="824" t="s">
        <v>1479</v>
      </c>
      <c r="C373" s="824"/>
      <c r="D373" s="824"/>
      <c r="S373" s="982"/>
    </row>
    <row r="374" spans="1:56" s="901" customFormat="1" x14ac:dyDescent="0.25">
      <c r="A374" s="983"/>
      <c r="B374" s="828" t="s">
        <v>1400</v>
      </c>
      <c r="C374" s="829" t="s">
        <v>714</v>
      </c>
      <c r="D374" s="829" t="s">
        <v>1401</v>
      </c>
      <c r="E374" s="830" t="s">
        <v>1438</v>
      </c>
      <c r="F374" s="833"/>
      <c r="G374" s="833"/>
      <c r="P374" s="1016"/>
      <c r="Q374" s="1016"/>
      <c r="R374" s="1016"/>
      <c r="S374" s="1042"/>
      <c r="T374" s="1043"/>
      <c r="U374" s="1043"/>
      <c r="V374" s="1043"/>
      <c r="W374" s="1043"/>
      <c r="X374" s="1043"/>
      <c r="Y374" s="1043"/>
      <c r="Z374" s="1043"/>
      <c r="AA374" s="1043"/>
      <c r="AB374" s="1043"/>
      <c r="AC374" s="1043"/>
      <c r="AD374" s="1043"/>
      <c r="AE374" s="1043"/>
      <c r="AF374" s="1043"/>
      <c r="AG374" s="1043"/>
      <c r="AH374" s="1043"/>
      <c r="AI374" s="1043"/>
      <c r="AJ374" s="1043"/>
      <c r="AK374" s="1043"/>
      <c r="AL374" s="1043"/>
      <c r="AM374" s="1043"/>
      <c r="AN374" s="1043"/>
      <c r="AO374" s="1043"/>
      <c r="AP374" s="1043"/>
      <c r="AQ374" s="1043"/>
      <c r="AR374" s="1043"/>
      <c r="AS374" s="1043"/>
      <c r="AT374" s="1043"/>
      <c r="AU374" s="1043"/>
      <c r="AV374" s="1043"/>
      <c r="AW374" s="1043"/>
      <c r="AX374" s="1043"/>
      <c r="AY374" s="1043"/>
      <c r="AZ374" s="1043"/>
      <c r="BA374" s="1043"/>
      <c r="BB374" s="1043"/>
      <c r="BC374" s="1043"/>
      <c r="BD374" s="1043"/>
    </row>
    <row r="375" spans="1:56" s="901" customFormat="1" x14ac:dyDescent="0.25">
      <c r="A375" s="983"/>
      <c r="B375" s="828" t="s">
        <v>1402</v>
      </c>
      <c r="C375" s="829" t="s">
        <v>739</v>
      </c>
      <c r="D375" s="829" t="s">
        <v>1401</v>
      </c>
      <c r="E375" s="830" t="s">
        <v>1439</v>
      </c>
      <c r="F375" s="833"/>
      <c r="G375" s="833"/>
      <c r="P375" s="1016"/>
      <c r="Q375" s="1016"/>
      <c r="R375" s="1016"/>
      <c r="S375" s="1042"/>
      <c r="T375" s="1043"/>
      <c r="U375" s="1043"/>
      <c r="V375" s="1043"/>
      <c r="W375" s="1043"/>
      <c r="X375" s="1043"/>
      <c r="Y375" s="1043"/>
      <c r="Z375" s="1043"/>
      <c r="AA375" s="1043"/>
      <c r="AB375" s="1043"/>
      <c r="AC375" s="1043"/>
      <c r="AD375" s="1043"/>
      <c r="AE375" s="1043"/>
      <c r="AF375" s="1043"/>
      <c r="AG375" s="1043"/>
      <c r="AH375" s="1043"/>
      <c r="AI375" s="1043"/>
      <c r="AJ375" s="1043"/>
      <c r="AK375" s="1043"/>
      <c r="AL375" s="1043"/>
      <c r="AM375" s="1043"/>
      <c r="AN375" s="1043"/>
      <c r="AO375" s="1043"/>
      <c r="AP375" s="1043"/>
      <c r="AQ375" s="1043"/>
      <c r="AR375" s="1043"/>
      <c r="AS375" s="1043"/>
      <c r="AT375" s="1043"/>
      <c r="AU375" s="1043"/>
      <c r="AV375" s="1043"/>
      <c r="AW375" s="1043"/>
      <c r="AX375" s="1043"/>
      <c r="AY375" s="1043"/>
      <c r="AZ375" s="1043"/>
      <c r="BA375" s="1043"/>
      <c r="BB375" s="1043"/>
      <c r="BC375" s="1043"/>
      <c r="BD375" s="1043"/>
    </row>
    <row r="376" spans="1:56" s="901" customFormat="1" x14ac:dyDescent="0.25">
      <c r="A376" s="983"/>
      <c r="B376" s="828" t="s">
        <v>1403</v>
      </c>
      <c r="C376" s="829" t="s">
        <v>701</v>
      </c>
      <c r="D376" s="829" t="s">
        <v>1401</v>
      </c>
      <c r="E376" s="830" t="s">
        <v>1439</v>
      </c>
      <c r="F376" s="833"/>
      <c r="G376" s="833"/>
      <c r="P376" s="1016"/>
      <c r="Q376" s="1016"/>
      <c r="R376" s="1016"/>
      <c r="S376" s="1042"/>
      <c r="T376" s="1043"/>
      <c r="U376" s="1043"/>
      <c r="V376" s="1043"/>
      <c r="W376" s="1043"/>
      <c r="X376" s="1043"/>
      <c r="Y376" s="1043"/>
      <c r="Z376" s="1043"/>
      <c r="AA376" s="1043"/>
      <c r="AB376" s="1043"/>
      <c r="AC376" s="1043"/>
      <c r="AD376" s="1043"/>
      <c r="AE376" s="1043"/>
      <c r="AF376" s="1043"/>
      <c r="AG376" s="1043"/>
      <c r="AH376" s="1043"/>
      <c r="AI376" s="1043"/>
      <c r="AJ376" s="1043"/>
      <c r="AK376" s="1043"/>
      <c r="AL376" s="1043"/>
      <c r="AM376" s="1043"/>
      <c r="AN376" s="1043"/>
      <c r="AO376" s="1043"/>
      <c r="AP376" s="1043"/>
      <c r="AQ376" s="1043"/>
      <c r="AR376" s="1043"/>
      <c r="AS376" s="1043"/>
      <c r="AT376" s="1043"/>
      <c r="AU376" s="1043"/>
      <c r="AV376" s="1043"/>
      <c r="AW376" s="1043"/>
      <c r="AX376" s="1043"/>
      <c r="AY376" s="1043"/>
      <c r="AZ376" s="1043"/>
      <c r="BA376" s="1043"/>
      <c r="BB376" s="1043"/>
      <c r="BC376" s="1043"/>
      <c r="BD376" s="1043"/>
    </row>
    <row r="377" spans="1:56" s="901" customFormat="1" x14ac:dyDescent="0.25">
      <c r="A377" s="983"/>
      <c r="B377" s="828" t="s">
        <v>1404</v>
      </c>
      <c r="C377" s="829" t="s">
        <v>839</v>
      </c>
      <c r="D377" s="829" t="s">
        <v>1401</v>
      </c>
      <c r="E377" s="830" t="s">
        <v>1439</v>
      </c>
      <c r="F377" s="833"/>
      <c r="G377" s="833"/>
      <c r="P377" s="1016"/>
      <c r="Q377" s="1016"/>
      <c r="R377" s="1016"/>
      <c r="S377" s="1042"/>
      <c r="T377" s="1043"/>
      <c r="U377" s="1043"/>
      <c r="V377" s="1043"/>
      <c r="W377" s="1043"/>
      <c r="X377" s="1043"/>
      <c r="Y377" s="1043"/>
      <c r="Z377" s="1043"/>
      <c r="AA377" s="1043"/>
      <c r="AB377" s="1043"/>
      <c r="AC377" s="1043"/>
      <c r="AD377" s="1043"/>
      <c r="AE377" s="1043"/>
      <c r="AF377" s="1043"/>
      <c r="AG377" s="1043"/>
      <c r="AH377" s="1043"/>
      <c r="AI377" s="1043"/>
      <c r="AJ377" s="1043"/>
      <c r="AK377" s="1043"/>
      <c r="AL377" s="1043"/>
      <c r="AM377" s="1043"/>
      <c r="AN377" s="1043"/>
      <c r="AO377" s="1043"/>
      <c r="AP377" s="1043"/>
      <c r="AQ377" s="1043"/>
      <c r="AR377" s="1043"/>
      <c r="AS377" s="1043"/>
      <c r="AT377" s="1043"/>
      <c r="AU377" s="1043"/>
      <c r="AV377" s="1043"/>
      <c r="AW377" s="1043"/>
      <c r="AX377" s="1043"/>
      <c r="AY377" s="1043"/>
      <c r="AZ377" s="1043"/>
      <c r="BA377" s="1043"/>
      <c r="BB377" s="1043"/>
      <c r="BC377" s="1043"/>
      <c r="BD377" s="1043"/>
    </row>
    <row r="378" spans="1:56" s="901" customFormat="1" x14ac:dyDescent="0.25">
      <c r="A378" s="983"/>
      <c r="B378" s="828" t="s">
        <v>1405</v>
      </c>
      <c r="C378" s="829" t="s">
        <v>928</v>
      </c>
      <c r="D378" s="829" t="s">
        <v>1401</v>
      </c>
      <c r="E378" s="830" t="s">
        <v>1438</v>
      </c>
      <c r="F378" s="833"/>
      <c r="G378" s="833"/>
      <c r="P378" s="1016"/>
      <c r="Q378" s="1016"/>
      <c r="R378" s="1016"/>
      <c r="S378" s="1042"/>
      <c r="T378" s="1043"/>
      <c r="U378" s="1043"/>
      <c r="V378" s="1043"/>
      <c r="W378" s="1043"/>
      <c r="X378" s="1043"/>
      <c r="Y378" s="1043"/>
      <c r="Z378" s="1043"/>
      <c r="AA378" s="1043"/>
      <c r="AB378" s="1043"/>
      <c r="AC378" s="1043"/>
      <c r="AD378" s="1043"/>
      <c r="AE378" s="1043"/>
      <c r="AF378" s="1043"/>
      <c r="AG378" s="1043"/>
      <c r="AH378" s="1043"/>
      <c r="AI378" s="1043"/>
      <c r="AJ378" s="1043"/>
      <c r="AK378" s="1043"/>
      <c r="AL378" s="1043"/>
      <c r="AM378" s="1043"/>
      <c r="AN378" s="1043"/>
      <c r="AO378" s="1043"/>
      <c r="AP378" s="1043"/>
      <c r="AQ378" s="1043"/>
      <c r="AR378" s="1043"/>
      <c r="AS378" s="1043"/>
      <c r="AT378" s="1043"/>
      <c r="AU378" s="1043"/>
      <c r="AV378" s="1043"/>
      <c r="AW378" s="1043"/>
      <c r="AX378" s="1043"/>
      <c r="AY378" s="1043"/>
      <c r="AZ378" s="1043"/>
      <c r="BA378" s="1043"/>
      <c r="BB378" s="1043"/>
      <c r="BC378" s="1043"/>
      <c r="BD378" s="1043"/>
    </row>
    <row r="379" spans="1:56" s="901" customFormat="1" x14ac:dyDescent="0.25">
      <c r="A379" s="983"/>
      <c r="B379" s="828" t="s">
        <v>1406</v>
      </c>
      <c r="C379" s="829" t="s">
        <v>723</v>
      </c>
      <c r="D379" s="829" t="s">
        <v>1401</v>
      </c>
      <c r="E379" s="830" t="s">
        <v>1440</v>
      </c>
      <c r="F379" s="833"/>
      <c r="G379" s="833"/>
      <c r="P379" s="1016"/>
      <c r="Q379" s="1016"/>
      <c r="R379" s="1016"/>
      <c r="S379" s="1042"/>
      <c r="T379" s="1043"/>
      <c r="U379" s="1043"/>
      <c r="V379" s="1043"/>
      <c r="W379" s="1043"/>
      <c r="X379" s="1043"/>
      <c r="Y379" s="1043"/>
      <c r="Z379" s="1043"/>
      <c r="AA379" s="1043"/>
      <c r="AB379" s="1043"/>
      <c r="AC379" s="1043"/>
      <c r="AD379" s="1043"/>
      <c r="AE379" s="1043"/>
      <c r="AF379" s="1043"/>
      <c r="AG379" s="1043"/>
      <c r="AH379" s="1043"/>
      <c r="AI379" s="1043"/>
      <c r="AJ379" s="1043"/>
      <c r="AK379" s="1043"/>
      <c r="AL379" s="1043"/>
      <c r="AM379" s="1043"/>
      <c r="AN379" s="1043"/>
      <c r="AO379" s="1043"/>
      <c r="AP379" s="1043"/>
      <c r="AQ379" s="1043"/>
      <c r="AR379" s="1043"/>
      <c r="AS379" s="1043"/>
      <c r="AT379" s="1043"/>
      <c r="AU379" s="1043"/>
      <c r="AV379" s="1043"/>
      <c r="AW379" s="1043"/>
      <c r="AX379" s="1043"/>
      <c r="AY379" s="1043"/>
      <c r="AZ379" s="1043"/>
      <c r="BA379" s="1043"/>
      <c r="BB379" s="1043"/>
      <c r="BC379" s="1043"/>
      <c r="BD379" s="1043"/>
    </row>
    <row r="380" spans="1:56" s="901" customFormat="1" x14ac:dyDescent="0.25">
      <c r="A380" s="983"/>
      <c r="B380" s="828" t="s">
        <v>1407</v>
      </c>
      <c r="C380" s="829" t="s">
        <v>695</v>
      </c>
      <c r="D380" s="829" t="s">
        <v>1401</v>
      </c>
      <c r="E380" s="830" t="s">
        <v>1438</v>
      </c>
      <c r="F380" s="833"/>
      <c r="G380" s="833"/>
      <c r="P380" s="1016"/>
      <c r="Q380" s="1016"/>
      <c r="R380" s="1016"/>
      <c r="S380" s="1042"/>
      <c r="T380" s="1043"/>
      <c r="U380" s="1043"/>
      <c r="V380" s="1043"/>
      <c r="W380" s="1043"/>
      <c r="X380" s="1043"/>
      <c r="Y380" s="1043"/>
      <c r="Z380" s="1043"/>
      <c r="AA380" s="1043"/>
      <c r="AB380" s="1043"/>
      <c r="AC380" s="1043"/>
      <c r="AD380" s="1043"/>
      <c r="AE380" s="1043"/>
      <c r="AF380" s="1043"/>
      <c r="AG380" s="1043"/>
      <c r="AH380" s="1043"/>
      <c r="AI380" s="1043"/>
      <c r="AJ380" s="1043"/>
      <c r="AK380" s="1043"/>
      <c r="AL380" s="1043"/>
      <c r="AM380" s="1043"/>
      <c r="AN380" s="1043"/>
      <c r="AO380" s="1043"/>
      <c r="AP380" s="1043"/>
      <c r="AQ380" s="1043"/>
      <c r="AR380" s="1043"/>
      <c r="AS380" s="1043"/>
      <c r="AT380" s="1043"/>
      <c r="AU380" s="1043"/>
      <c r="AV380" s="1043"/>
      <c r="AW380" s="1043"/>
      <c r="AX380" s="1043"/>
      <c r="AY380" s="1043"/>
      <c r="AZ380" s="1043"/>
      <c r="BA380" s="1043"/>
      <c r="BB380" s="1043"/>
      <c r="BC380" s="1043"/>
      <c r="BD380" s="1043"/>
    </row>
    <row r="381" spans="1:56" s="901" customFormat="1" x14ac:dyDescent="0.25">
      <c r="A381" s="983"/>
      <c r="B381" s="828" t="s">
        <v>1408</v>
      </c>
      <c r="C381" s="828"/>
      <c r="D381" s="828"/>
      <c r="E381" s="830"/>
      <c r="F381" s="833"/>
      <c r="G381" s="833"/>
      <c r="P381" s="1016"/>
      <c r="Q381" s="1016"/>
      <c r="R381" s="1016"/>
      <c r="S381" s="1042"/>
      <c r="T381" s="1043"/>
      <c r="U381" s="1043"/>
      <c r="V381" s="1043"/>
      <c r="W381" s="1043"/>
      <c r="X381" s="1043"/>
      <c r="Y381" s="1043"/>
      <c r="Z381" s="1043"/>
      <c r="AA381" s="1043"/>
      <c r="AB381" s="1043"/>
      <c r="AC381" s="1043"/>
      <c r="AD381" s="1043"/>
      <c r="AE381" s="1043"/>
      <c r="AF381" s="1043"/>
      <c r="AG381" s="1043"/>
      <c r="AH381" s="1043"/>
      <c r="AI381" s="1043"/>
      <c r="AJ381" s="1043"/>
      <c r="AK381" s="1043"/>
      <c r="AL381" s="1043"/>
      <c r="AM381" s="1043"/>
      <c r="AN381" s="1043"/>
      <c r="AO381" s="1043"/>
      <c r="AP381" s="1043"/>
      <c r="AQ381" s="1043"/>
      <c r="AR381" s="1043"/>
      <c r="AS381" s="1043"/>
      <c r="AT381" s="1043"/>
      <c r="AU381" s="1043"/>
      <c r="AV381" s="1043"/>
      <c r="AW381" s="1043"/>
      <c r="AX381" s="1043"/>
      <c r="AY381" s="1043"/>
      <c r="AZ381" s="1043"/>
      <c r="BA381" s="1043"/>
      <c r="BB381" s="1043"/>
      <c r="BC381" s="1043"/>
      <c r="BD381" s="1043"/>
    </row>
    <row r="382" spans="1:56" s="901" customFormat="1" x14ac:dyDescent="0.25">
      <c r="A382" s="983"/>
      <c r="B382" s="840" t="s">
        <v>1409</v>
      </c>
      <c r="C382" s="840"/>
      <c r="D382" s="840"/>
      <c r="E382" s="830"/>
      <c r="F382" s="833"/>
      <c r="G382" s="833"/>
      <c r="P382" s="1016"/>
      <c r="Q382" s="1016"/>
      <c r="R382" s="1016"/>
      <c r="S382" s="1042"/>
      <c r="T382" s="1043"/>
      <c r="U382" s="1043"/>
      <c r="V382" s="1043"/>
      <c r="W382" s="1043"/>
      <c r="X382" s="1043"/>
      <c r="Y382" s="1043"/>
      <c r="Z382" s="1043"/>
      <c r="AA382" s="1043"/>
      <c r="AB382" s="1043"/>
      <c r="AC382" s="1043"/>
      <c r="AD382" s="1043"/>
      <c r="AE382" s="1043"/>
      <c r="AF382" s="1043"/>
      <c r="AG382" s="1043"/>
      <c r="AH382" s="1043"/>
      <c r="AI382" s="1043"/>
      <c r="AJ382" s="1043"/>
      <c r="AK382" s="1043"/>
      <c r="AL382" s="1043"/>
      <c r="AM382" s="1043"/>
      <c r="AN382" s="1043"/>
      <c r="AO382" s="1043"/>
      <c r="AP382" s="1043"/>
      <c r="AQ382" s="1043"/>
      <c r="AR382" s="1043"/>
      <c r="AS382" s="1043"/>
      <c r="AT382" s="1043"/>
      <c r="AU382" s="1043"/>
      <c r="AV382" s="1043"/>
      <c r="AW382" s="1043"/>
      <c r="AX382" s="1043"/>
      <c r="AY382" s="1043"/>
      <c r="AZ382" s="1043"/>
      <c r="BA382" s="1043"/>
      <c r="BB382" s="1043"/>
      <c r="BC382" s="1043"/>
      <c r="BD382" s="1043"/>
    </row>
    <row r="383" spans="1:56" s="901" customFormat="1" x14ac:dyDescent="0.25">
      <c r="A383" s="983"/>
      <c r="B383" s="840" t="s">
        <v>1441</v>
      </c>
      <c r="C383" s="841" t="s">
        <v>1411</v>
      </c>
      <c r="D383" s="841" t="s">
        <v>1412</v>
      </c>
      <c r="E383" s="830" t="s">
        <v>1439</v>
      </c>
      <c r="F383" s="833"/>
      <c r="G383" s="833"/>
      <c r="P383" s="1016"/>
      <c r="Q383" s="1016"/>
      <c r="R383" s="1016"/>
      <c r="S383" s="1042"/>
      <c r="T383" s="1043"/>
      <c r="U383" s="1043"/>
      <c r="V383" s="1043"/>
      <c r="W383" s="1043"/>
      <c r="X383" s="1043"/>
      <c r="Y383" s="1043"/>
      <c r="Z383" s="1043"/>
      <c r="AA383" s="1043"/>
      <c r="AB383" s="1043"/>
      <c r="AC383" s="1043"/>
      <c r="AD383" s="1043"/>
      <c r="AE383" s="1043"/>
      <c r="AF383" s="1043"/>
      <c r="AG383" s="1043"/>
      <c r="AH383" s="1043"/>
      <c r="AI383" s="1043"/>
      <c r="AJ383" s="1043"/>
      <c r="AK383" s="1043"/>
      <c r="AL383" s="1043"/>
      <c r="AM383" s="1043"/>
      <c r="AN383" s="1043"/>
      <c r="AO383" s="1043"/>
      <c r="AP383" s="1043"/>
      <c r="AQ383" s="1043"/>
      <c r="AR383" s="1043"/>
      <c r="AS383" s="1043"/>
      <c r="AT383" s="1043"/>
      <c r="AU383" s="1043"/>
      <c r="AV383" s="1043"/>
      <c r="AW383" s="1043"/>
      <c r="AX383" s="1043"/>
      <c r="AY383" s="1043"/>
      <c r="AZ383" s="1043"/>
      <c r="BA383" s="1043"/>
      <c r="BB383" s="1043"/>
      <c r="BC383" s="1043"/>
      <c r="BD383" s="1043"/>
    </row>
    <row r="384" spans="1:56" s="901" customFormat="1" x14ac:dyDescent="0.25">
      <c r="A384" s="983"/>
      <c r="B384" s="840" t="s">
        <v>1442</v>
      </c>
      <c r="C384" s="841" t="s">
        <v>1414</v>
      </c>
      <c r="D384" s="841" t="s">
        <v>1412</v>
      </c>
      <c r="E384" s="830" t="s">
        <v>1438</v>
      </c>
      <c r="F384" s="833"/>
      <c r="G384" s="833"/>
      <c r="P384" s="1016"/>
      <c r="Q384" s="1016"/>
      <c r="R384" s="1016"/>
      <c r="S384" s="1042"/>
      <c r="T384" s="1043"/>
      <c r="U384" s="1043"/>
      <c r="V384" s="1043"/>
      <c r="W384" s="1043"/>
      <c r="X384" s="1043"/>
      <c r="Y384" s="1043"/>
      <c r="Z384" s="1043"/>
      <c r="AA384" s="1043"/>
      <c r="AB384" s="1043"/>
      <c r="AC384" s="1043"/>
      <c r="AD384" s="1043"/>
      <c r="AE384" s="1043"/>
      <c r="AF384" s="1043"/>
      <c r="AG384" s="1043"/>
      <c r="AH384" s="1043"/>
      <c r="AI384" s="1043"/>
      <c r="AJ384" s="1043"/>
      <c r="AK384" s="1043"/>
      <c r="AL384" s="1043"/>
      <c r="AM384" s="1043"/>
      <c r="AN384" s="1043"/>
      <c r="AO384" s="1043"/>
      <c r="AP384" s="1043"/>
      <c r="AQ384" s="1043"/>
      <c r="AR384" s="1043"/>
      <c r="AS384" s="1043"/>
      <c r="AT384" s="1043"/>
      <c r="AU384" s="1043"/>
      <c r="AV384" s="1043"/>
      <c r="AW384" s="1043"/>
      <c r="AX384" s="1043"/>
      <c r="AY384" s="1043"/>
      <c r="AZ384" s="1043"/>
      <c r="BA384" s="1043"/>
      <c r="BB384" s="1043"/>
      <c r="BC384" s="1043"/>
      <c r="BD384" s="1043"/>
    </row>
    <row r="385" spans="1:56" s="922" customFormat="1" x14ac:dyDescent="0.25">
      <c r="A385" s="987"/>
      <c r="B385" s="840" t="s">
        <v>1415</v>
      </c>
      <c r="C385" s="841" t="s">
        <v>1416</v>
      </c>
      <c r="D385" s="841" t="s">
        <v>1412</v>
      </c>
      <c r="E385" s="830" t="s">
        <v>1439</v>
      </c>
      <c r="F385" s="833"/>
      <c r="G385" s="833"/>
      <c r="S385" s="941"/>
      <c r="T385" s="925"/>
      <c r="U385" s="925"/>
      <c r="V385" s="925"/>
      <c r="W385" s="925"/>
      <c r="X385" s="925"/>
      <c r="Y385" s="925"/>
      <c r="Z385" s="925"/>
      <c r="AA385" s="925"/>
      <c r="AB385" s="925"/>
      <c r="AC385" s="925"/>
      <c r="AD385" s="925"/>
      <c r="AE385" s="925"/>
      <c r="AF385" s="925"/>
      <c r="AG385" s="925"/>
      <c r="AH385" s="925"/>
      <c r="AI385" s="925"/>
      <c r="AJ385" s="925"/>
      <c r="AK385" s="925"/>
      <c r="AL385" s="925"/>
      <c r="AM385" s="925"/>
      <c r="AN385" s="925"/>
      <c r="AO385" s="925"/>
      <c r="AP385" s="925"/>
      <c r="AQ385" s="925"/>
      <c r="AR385" s="925"/>
      <c r="AS385" s="925"/>
      <c r="AT385" s="925"/>
      <c r="AU385" s="925"/>
      <c r="AV385" s="925"/>
      <c r="AW385" s="925"/>
      <c r="AX385" s="925"/>
      <c r="AY385" s="925"/>
      <c r="AZ385" s="925"/>
      <c r="BA385" s="925"/>
      <c r="BB385" s="925"/>
      <c r="BC385" s="925"/>
      <c r="BD385" s="925"/>
    </row>
    <row r="386" spans="1:56" s="922" customFormat="1" x14ac:dyDescent="0.25">
      <c r="A386" s="987"/>
      <c r="B386" s="828" t="s">
        <v>1417</v>
      </c>
      <c r="C386" s="828"/>
      <c r="D386" s="828"/>
      <c r="E386" s="830" t="s">
        <v>1440</v>
      </c>
      <c r="F386" s="833"/>
      <c r="G386" s="833"/>
      <c r="S386" s="941"/>
      <c r="T386" s="925"/>
      <c r="U386" s="925"/>
      <c r="V386" s="925"/>
      <c r="W386" s="925"/>
      <c r="X386" s="925"/>
      <c r="Y386" s="925"/>
      <c r="Z386" s="925"/>
      <c r="AA386" s="925"/>
      <c r="AB386" s="925"/>
      <c r="AC386" s="925"/>
      <c r="AD386" s="925"/>
      <c r="AE386" s="925"/>
      <c r="AF386" s="925"/>
      <c r="AG386" s="925"/>
      <c r="AH386" s="925"/>
      <c r="AI386" s="925"/>
      <c r="AJ386" s="925"/>
      <c r="AK386" s="925"/>
      <c r="AL386" s="925"/>
      <c r="AM386" s="925"/>
      <c r="AN386" s="925"/>
      <c r="AO386" s="925"/>
      <c r="AP386" s="925"/>
      <c r="AQ386" s="925"/>
      <c r="AR386" s="925"/>
      <c r="AS386" s="925"/>
      <c r="AT386" s="925"/>
      <c r="AU386" s="925"/>
      <c r="AV386" s="925"/>
      <c r="AW386" s="925"/>
      <c r="AX386" s="925"/>
      <c r="AY386" s="925"/>
      <c r="AZ386" s="925"/>
      <c r="BA386" s="925"/>
      <c r="BB386" s="925"/>
      <c r="BC386" s="925"/>
      <c r="BD386" s="925"/>
    </row>
    <row r="387" spans="1:56" s="922" customFormat="1" x14ac:dyDescent="0.25">
      <c r="A387" s="987"/>
      <c r="B387" s="840" t="s">
        <v>1418</v>
      </c>
      <c r="C387" s="841" t="s">
        <v>1419</v>
      </c>
      <c r="D387" s="829" t="s">
        <v>1401</v>
      </c>
      <c r="E387" s="830" t="s">
        <v>1438</v>
      </c>
      <c r="F387" s="833"/>
      <c r="G387" s="833"/>
      <c r="S387" s="941"/>
      <c r="T387" s="925"/>
      <c r="U387" s="925"/>
      <c r="V387" s="925"/>
      <c r="W387" s="925"/>
      <c r="X387" s="925"/>
      <c r="Y387" s="925"/>
      <c r="Z387" s="925"/>
      <c r="AA387" s="925"/>
      <c r="AB387" s="925"/>
      <c r="AC387" s="925"/>
      <c r="AD387" s="925"/>
      <c r="AE387" s="925"/>
      <c r="AF387" s="925"/>
      <c r="AG387" s="925"/>
      <c r="AH387" s="925"/>
      <c r="AI387" s="925"/>
      <c r="AJ387" s="925"/>
      <c r="AK387" s="925"/>
      <c r="AL387" s="925"/>
      <c r="AM387" s="925"/>
      <c r="AN387" s="925"/>
      <c r="AO387" s="925"/>
      <c r="AP387" s="925"/>
      <c r="AQ387" s="925"/>
      <c r="AR387" s="925"/>
      <c r="AS387" s="925"/>
      <c r="AT387" s="925"/>
      <c r="AU387" s="925"/>
      <c r="AV387" s="925"/>
      <c r="AW387" s="925"/>
      <c r="AX387" s="925"/>
      <c r="AY387" s="925"/>
      <c r="AZ387" s="925"/>
      <c r="BA387" s="925"/>
      <c r="BB387" s="925"/>
      <c r="BC387" s="925"/>
      <c r="BD387" s="925"/>
    </row>
    <row r="388" spans="1:56" s="922" customFormat="1" x14ac:dyDescent="0.25">
      <c r="A388" s="987"/>
      <c r="B388" s="840" t="s">
        <v>1420</v>
      </c>
      <c r="C388" s="841" t="s">
        <v>1421</v>
      </c>
      <c r="D388" s="829" t="s">
        <v>1401</v>
      </c>
      <c r="E388" s="830" t="s">
        <v>1439</v>
      </c>
      <c r="F388" s="833"/>
      <c r="G388" s="833"/>
      <c r="S388" s="941"/>
      <c r="T388" s="925"/>
      <c r="U388" s="925"/>
      <c r="V388" s="925"/>
      <c r="W388" s="925"/>
      <c r="X388" s="925"/>
      <c r="Y388" s="925"/>
      <c r="Z388" s="925"/>
      <c r="AA388" s="925"/>
      <c r="AB388" s="925"/>
      <c r="AC388" s="925"/>
      <c r="AD388" s="925"/>
      <c r="AE388" s="925"/>
      <c r="AF388" s="925"/>
      <c r="AG388" s="925"/>
      <c r="AH388" s="925"/>
      <c r="AI388" s="925"/>
      <c r="AJ388" s="925"/>
      <c r="AK388" s="925"/>
      <c r="AL388" s="925"/>
      <c r="AM388" s="925"/>
      <c r="AN388" s="925"/>
      <c r="AO388" s="925"/>
      <c r="AP388" s="925"/>
      <c r="AQ388" s="925"/>
      <c r="AR388" s="925"/>
      <c r="AS388" s="925"/>
      <c r="AT388" s="925"/>
      <c r="AU388" s="925"/>
      <c r="AV388" s="925"/>
      <c r="AW388" s="925"/>
      <c r="AX388" s="925"/>
      <c r="AY388" s="925"/>
      <c r="AZ388" s="925"/>
      <c r="BA388" s="925"/>
      <c r="BB388" s="925"/>
      <c r="BC388" s="925"/>
      <c r="BD388" s="925"/>
    </row>
    <row r="389" spans="1:56" s="922" customFormat="1" x14ac:dyDescent="0.25">
      <c r="A389" s="987"/>
      <c r="B389" s="828" t="s">
        <v>1422</v>
      </c>
      <c r="C389" s="828"/>
      <c r="D389" s="828"/>
      <c r="E389" s="830" t="s">
        <v>1440</v>
      </c>
      <c r="F389" s="833"/>
      <c r="G389" s="833"/>
      <c r="S389" s="941"/>
      <c r="T389" s="925"/>
      <c r="U389" s="925"/>
      <c r="V389" s="925"/>
      <c r="W389" s="925"/>
      <c r="X389" s="925"/>
      <c r="Y389" s="925"/>
      <c r="Z389" s="925"/>
      <c r="AA389" s="925"/>
      <c r="AB389" s="925"/>
      <c r="AC389" s="925"/>
      <c r="AD389" s="925"/>
      <c r="AE389" s="925"/>
      <c r="AF389" s="925"/>
      <c r="AG389" s="925"/>
      <c r="AH389" s="925"/>
      <c r="AI389" s="925"/>
      <c r="AJ389" s="925"/>
      <c r="AK389" s="925"/>
      <c r="AL389" s="925"/>
      <c r="AM389" s="925"/>
      <c r="AN389" s="925"/>
      <c r="AO389" s="925"/>
      <c r="AP389" s="925"/>
      <c r="AQ389" s="925"/>
      <c r="AR389" s="925"/>
      <c r="AS389" s="925"/>
      <c r="AT389" s="925"/>
      <c r="AU389" s="925"/>
      <c r="AV389" s="925"/>
      <c r="AW389" s="925"/>
      <c r="AX389" s="925"/>
      <c r="AY389" s="925"/>
      <c r="AZ389" s="925"/>
      <c r="BA389" s="925"/>
      <c r="BB389" s="925"/>
      <c r="BC389" s="925"/>
      <c r="BD389" s="925"/>
    </row>
    <row r="390" spans="1:56" s="922" customFormat="1" x14ac:dyDescent="0.25">
      <c r="A390" s="987"/>
      <c r="B390" s="840" t="s">
        <v>1423</v>
      </c>
      <c r="C390" s="841" t="s">
        <v>1424</v>
      </c>
      <c r="D390" s="841" t="s">
        <v>1412</v>
      </c>
      <c r="E390" s="830" t="s">
        <v>1438</v>
      </c>
      <c r="F390" s="833"/>
      <c r="G390" s="833"/>
      <c r="S390" s="941"/>
      <c r="T390" s="925"/>
      <c r="U390" s="925"/>
      <c r="V390" s="925"/>
      <c r="W390" s="925"/>
      <c r="X390" s="925"/>
      <c r="Y390" s="925"/>
      <c r="Z390" s="925"/>
      <c r="AA390" s="925"/>
      <c r="AB390" s="925"/>
      <c r="AC390" s="925"/>
      <c r="AD390" s="925"/>
      <c r="AE390" s="925"/>
      <c r="AF390" s="925"/>
      <c r="AG390" s="925"/>
      <c r="AH390" s="925"/>
      <c r="AI390" s="925"/>
      <c r="AJ390" s="925"/>
      <c r="AK390" s="925"/>
      <c r="AL390" s="925"/>
      <c r="AM390" s="925"/>
      <c r="AN390" s="925"/>
      <c r="AO390" s="925"/>
      <c r="AP390" s="925"/>
      <c r="AQ390" s="925"/>
      <c r="AR390" s="925"/>
      <c r="AS390" s="925"/>
      <c r="AT390" s="925"/>
      <c r="AU390" s="925"/>
      <c r="AV390" s="925"/>
      <c r="AW390" s="925"/>
      <c r="AX390" s="925"/>
      <c r="AY390" s="925"/>
      <c r="AZ390" s="925"/>
      <c r="BA390" s="925"/>
      <c r="BB390" s="925"/>
      <c r="BC390" s="925"/>
      <c r="BD390" s="925"/>
    </row>
    <row r="391" spans="1:56" s="922" customFormat="1" x14ac:dyDescent="0.25">
      <c r="A391" s="987"/>
      <c r="B391" s="840" t="s">
        <v>1425</v>
      </c>
      <c r="C391" s="841" t="s">
        <v>1426</v>
      </c>
      <c r="D391" s="829" t="s">
        <v>1401</v>
      </c>
      <c r="E391" s="830" t="s">
        <v>1439</v>
      </c>
      <c r="F391" s="833"/>
      <c r="G391" s="833"/>
      <c r="S391" s="941"/>
      <c r="T391" s="925"/>
      <c r="U391" s="925"/>
      <c r="V391" s="925"/>
      <c r="W391" s="925"/>
      <c r="X391" s="925"/>
      <c r="Y391" s="925"/>
      <c r="Z391" s="925"/>
      <c r="AA391" s="925"/>
      <c r="AB391" s="925"/>
      <c r="AC391" s="925"/>
      <c r="AD391" s="925"/>
      <c r="AE391" s="925"/>
      <c r="AF391" s="925"/>
      <c r="AG391" s="925"/>
      <c r="AH391" s="925"/>
      <c r="AI391" s="925"/>
      <c r="AJ391" s="925"/>
      <c r="AK391" s="925"/>
      <c r="AL391" s="925"/>
      <c r="AM391" s="925"/>
      <c r="AN391" s="925"/>
      <c r="AO391" s="925"/>
      <c r="AP391" s="925"/>
      <c r="AQ391" s="925"/>
      <c r="AR391" s="925"/>
      <c r="AS391" s="925"/>
      <c r="AT391" s="925"/>
      <c r="AU391" s="925"/>
      <c r="AV391" s="925"/>
      <c r="AW391" s="925"/>
      <c r="AX391" s="925"/>
      <c r="AY391" s="925"/>
      <c r="AZ391" s="925"/>
      <c r="BA391" s="925"/>
      <c r="BB391" s="925"/>
      <c r="BC391" s="925"/>
      <c r="BD391" s="925"/>
    </row>
    <row r="392" spans="1:56" s="922" customFormat="1" x14ac:dyDescent="0.25">
      <c r="A392" s="987"/>
      <c r="B392" s="840" t="s">
        <v>1427</v>
      </c>
      <c r="C392" s="841" t="s">
        <v>1428</v>
      </c>
      <c r="D392" s="829" t="s">
        <v>1401</v>
      </c>
      <c r="E392" s="830" t="s">
        <v>1438</v>
      </c>
      <c r="F392" s="833"/>
      <c r="G392" s="833"/>
      <c r="S392" s="941"/>
      <c r="T392" s="925"/>
      <c r="U392" s="925"/>
      <c r="V392" s="925"/>
      <c r="W392" s="925"/>
      <c r="X392" s="925"/>
      <c r="Y392" s="925"/>
      <c r="Z392" s="925"/>
      <c r="AA392" s="925"/>
      <c r="AB392" s="925"/>
      <c r="AC392" s="925"/>
      <c r="AD392" s="925"/>
      <c r="AE392" s="925"/>
      <c r="AF392" s="925"/>
      <c r="AG392" s="925"/>
      <c r="AH392" s="925"/>
      <c r="AI392" s="925"/>
      <c r="AJ392" s="925"/>
      <c r="AK392" s="925"/>
      <c r="AL392" s="925"/>
      <c r="AM392" s="925"/>
      <c r="AN392" s="925"/>
      <c r="AO392" s="925"/>
      <c r="AP392" s="925"/>
      <c r="AQ392" s="925"/>
      <c r="AR392" s="925"/>
      <c r="AS392" s="925"/>
      <c r="AT392" s="925"/>
      <c r="AU392" s="925"/>
      <c r="AV392" s="925"/>
      <c r="AW392" s="925"/>
      <c r="AX392" s="925"/>
      <c r="AY392" s="925"/>
      <c r="AZ392" s="925"/>
      <c r="BA392" s="925"/>
      <c r="BB392" s="925"/>
      <c r="BC392" s="925"/>
      <c r="BD392" s="925"/>
    </row>
    <row r="393" spans="1:56" s="922" customFormat="1" x14ac:dyDescent="0.25">
      <c r="A393" s="987"/>
      <c r="B393" s="840" t="s">
        <v>1429</v>
      </c>
      <c r="C393" s="841" t="s">
        <v>1430</v>
      </c>
      <c r="D393" s="829" t="s">
        <v>1401</v>
      </c>
      <c r="E393" s="830" t="s">
        <v>1439</v>
      </c>
      <c r="F393" s="833"/>
      <c r="G393" s="833"/>
      <c r="S393" s="941"/>
      <c r="T393" s="925"/>
      <c r="U393" s="925"/>
      <c r="V393" s="925"/>
      <c r="W393" s="925"/>
      <c r="X393" s="925"/>
      <c r="Y393" s="925"/>
      <c r="Z393" s="925"/>
      <c r="AA393" s="925"/>
      <c r="AB393" s="925"/>
      <c r="AC393" s="925"/>
      <c r="AD393" s="925"/>
      <c r="AE393" s="925"/>
      <c r="AF393" s="925"/>
      <c r="AG393" s="925"/>
      <c r="AH393" s="925"/>
      <c r="AI393" s="925"/>
      <c r="AJ393" s="925"/>
      <c r="AK393" s="925"/>
      <c r="AL393" s="925"/>
      <c r="AM393" s="925"/>
      <c r="AN393" s="925"/>
      <c r="AO393" s="925"/>
      <c r="AP393" s="925"/>
      <c r="AQ393" s="925"/>
      <c r="AR393" s="925"/>
      <c r="AS393" s="925"/>
      <c r="AT393" s="925"/>
      <c r="AU393" s="925"/>
      <c r="AV393" s="925"/>
      <c r="AW393" s="925"/>
      <c r="AX393" s="925"/>
      <c r="AY393" s="925"/>
      <c r="AZ393" s="925"/>
      <c r="BA393" s="925"/>
      <c r="BB393" s="925"/>
      <c r="BC393" s="925"/>
      <c r="BD393" s="925"/>
    </row>
    <row r="394" spans="1:56" s="922" customFormat="1" x14ac:dyDescent="0.25">
      <c r="A394" s="987"/>
      <c r="B394" s="828" t="s">
        <v>1431</v>
      </c>
      <c r="C394" s="829" t="s">
        <v>1432</v>
      </c>
      <c r="D394" s="829"/>
      <c r="E394" s="936"/>
      <c r="F394" s="833"/>
      <c r="G394" s="833"/>
      <c r="S394" s="1044"/>
      <c r="T394" s="925"/>
      <c r="U394" s="925"/>
      <c r="V394" s="925"/>
      <c r="W394" s="925"/>
      <c r="X394" s="925"/>
      <c r="Y394" s="925"/>
      <c r="Z394" s="925"/>
      <c r="AA394" s="925"/>
      <c r="AB394" s="925"/>
      <c r="AC394" s="925"/>
      <c r="AD394" s="925"/>
      <c r="AE394" s="925"/>
      <c r="AF394" s="925"/>
      <c r="AG394" s="925"/>
      <c r="AH394" s="925"/>
      <c r="AI394" s="925"/>
      <c r="AJ394" s="925"/>
      <c r="AK394" s="925"/>
      <c r="AL394" s="925"/>
      <c r="AM394" s="925"/>
      <c r="AN394" s="925"/>
      <c r="AO394" s="925"/>
      <c r="AP394" s="925"/>
      <c r="AQ394" s="925"/>
      <c r="AR394" s="925"/>
      <c r="AS394" s="925"/>
      <c r="AT394" s="925"/>
      <c r="AU394" s="925"/>
      <c r="AV394" s="925"/>
      <c r="AW394" s="925"/>
      <c r="AX394" s="925"/>
      <c r="AY394" s="925"/>
      <c r="AZ394" s="925"/>
      <c r="BA394" s="925"/>
      <c r="BB394" s="925"/>
      <c r="BC394" s="925"/>
      <c r="BD394" s="925"/>
    </row>
    <row r="395" spans="1:56" s="901" customFormat="1" x14ac:dyDescent="0.25">
      <c r="A395" s="983"/>
      <c r="B395" s="1045" t="s">
        <v>1253</v>
      </c>
      <c r="C395" s="1045"/>
      <c r="D395" s="1045"/>
      <c r="E395" s="992"/>
      <c r="F395" s="992"/>
      <c r="G395" s="992"/>
      <c r="H395" s="992"/>
      <c r="I395" s="992"/>
      <c r="J395" s="992"/>
      <c r="K395" s="992"/>
      <c r="L395" s="1018"/>
      <c r="M395" s="871"/>
      <c r="N395" s="871"/>
      <c r="O395" s="871"/>
      <c r="P395" s="871"/>
      <c r="Q395" s="871"/>
      <c r="R395" s="871">
        <f>R369/R30</f>
        <v>0.41711971839501871</v>
      </c>
      <c r="S395" s="871">
        <f t="shared" ref="S395:AD395" si="116">S369/S30</f>
        <v>0.49802929980605348</v>
      </c>
      <c r="T395" s="871">
        <f t="shared" si="116"/>
        <v>0.4264101081563072</v>
      </c>
      <c r="U395" s="871">
        <f t="shared" si="116"/>
        <v>0.42641010815630725</v>
      </c>
      <c r="V395" s="871">
        <f t="shared" si="116"/>
        <v>0.45149144547541298</v>
      </c>
      <c r="W395" s="871">
        <f t="shared" si="116"/>
        <v>0.46510881883027244</v>
      </c>
      <c r="X395" s="871">
        <f t="shared" si="116"/>
        <v>0.47881489173270736</v>
      </c>
      <c r="Y395" s="871">
        <f t="shared" si="116"/>
        <v>0.48479267653308566</v>
      </c>
      <c r="Z395" s="871">
        <f t="shared" si="116"/>
        <v>0.49188412180578328</v>
      </c>
      <c r="AA395" s="871">
        <f t="shared" si="116"/>
        <v>0.49188412180578334</v>
      </c>
      <c r="AB395" s="871">
        <f t="shared" si="116"/>
        <v>0.49188412180578334</v>
      </c>
      <c r="AC395" s="871">
        <f t="shared" si="116"/>
        <v>0.49188412180578328</v>
      </c>
      <c r="AD395" s="871">
        <f t="shared" si="116"/>
        <v>0.49188412180578334</v>
      </c>
      <c r="AE395" s="1024"/>
      <c r="AF395" s="1024"/>
      <c r="AG395" s="1024"/>
      <c r="AH395" s="1024"/>
      <c r="AI395" s="1024"/>
      <c r="AJ395" s="1024"/>
      <c r="AK395" s="1024"/>
      <c r="AL395" s="1024"/>
      <c r="AM395" s="1024"/>
      <c r="AN395" s="1024"/>
      <c r="AO395" s="1024"/>
      <c r="AP395" s="1024"/>
      <c r="AQ395" s="1024"/>
      <c r="AR395" s="1024"/>
      <c r="AS395" s="1024"/>
      <c r="AT395" s="1024"/>
      <c r="AU395" s="1024"/>
      <c r="AV395" s="1024"/>
      <c r="AW395" s="1024"/>
      <c r="AX395" s="1024"/>
      <c r="AY395" s="1024"/>
      <c r="AZ395" s="1024"/>
      <c r="BA395" s="1024"/>
      <c r="BB395" s="1024"/>
      <c r="BC395" s="1024"/>
      <c r="BD395" s="1024"/>
    </row>
    <row r="396" spans="1:56" s="861" customFormat="1" x14ac:dyDescent="0.25">
      <c r="A396" s="1046"/>
      <c r="B396" s="1047"/>
      <c r="C396" s="1047"/>
      <c r="D396" s="1047"/>
      <c r="E396" s="1048"/>
      <c r="F396" s="1048"/>
      <c r="G396" s="1048"/>
      <c r="H396" s="1048"/>
      <c r="I396" s="1048"/>
      <c r="J396" s="1049"/>
      <c r="K396" s="1049"/>
      <c r="L396" s="1049"/>
      <c r="M396" s="1049"/>
      <c r="N396" s="1049"/>
      <c r="O396" s="1049"/>
      <c r="P396" s="1049"/>
      <c r="Q396" s="1049"/>
      <c r="R396" s="1049"/>
      <c r="S396" s="2352" t="s">
        <v>1485</v>
      </c>
      <c r="T396" s="2352"/>
      <c r="U396" s="2352"/>
      <c r="V396" s="2352"/>
      <c r="W396" s="2352"/>
      <c r="X396" s="2352"/>
      <c r="Y396" s="2352"/>
      <c r="Z396" s="2352"/>
      <c r="AA396" s="2352"/>
      <c r="AB396" s="2352"/>
      <c r="AC396" s="2352"/>
      <c r="AD396" s="2352"/>
    </row>
    <row r="397" spans="1:56" s="1007" customFormat="1" x14ac:dyDescent="0.25">
      <c r="A397" s="999"/>
      <c r="B397" s="1000"/>
      <c r="C397" s="1000"/>
      <c r="D397" s="1000"/>
      <c r="E397" s="1001"/>
      <c r="F397" s="1001"/>
      <c r="G397" s="1001"/>
      <c r="H397" s="1001"/>
      <c r="I397" s="1001"/>
      <c r="J397" s="1002"/>
      <c r="K397" s="1002"/>
      <c r="L397" s="1002"/>
      <c r="M397" s="1002"/>
      <c r="N397" s="1002"/>
      <c r="O397" s="1002"/>
      <c r="P397" s="1002"/>
      <c r="Q397" s="1002"/>
      <c r="R397" s="1002"/>
      <c r="S397" s="1021"/>
      <c r="T397" s="1002"/>
      <c r="U397" s="1006"/>
      <c r="V397" s="1006"/>
      <c r="W397" s="1006"/>
    </row>
    <row r="398" spans="1:56" x14ac:dyDescent="0.25">
      <c r="B398" s="981"/>
      <c r="C398" s="981"/>
      <c r="D398" s="981"/>
      <c r="P398" s="821"/>
      <c r="Q398" s="821"/>
      <c r="R398" s="821"/>
      <c r="S398" s="822"/>
      <c r="T398" s="821"/>
      <c r="U398" s="821"/>
    </row>
    <row r="399" spans="1:56" s="1007" customFormat="1" x14ac:dyDescent="0.25">
      <c r="A399" s="999"/>
      <c r="B399" s="1000"/>
      <c r="C399" s="1000"/>
      <c r="D399" s="1000"/>
      <c r="E399" s="1001"/>
      <c r="F399" s="1001"/>
      <c r="G399" s="1001"/>
      <c r="H399" s="1001"/>
      <c r="I399" s="1001"/>
      <c r="J399" s="1002"/>
      <c r="K399" s="1002"/>
      <c r="L399" s="1002"/>
      <c r="M399" s="1002"/>
      <c r="N399" s="1002"/>
      <c r="O399" s="1002"/>
      <c r="P399" s="1002"/>
      <c r="Q399" s="1002"/>
      <c r="R399" s="1002"/>
      <c r="S399" s="1021"/>
      <c r="T399" s="1002"/>
      <c r="U399" s="1006"/>
      <c r="V399" s="1006"/>
      <c r="W399" s="1006"/>
    </row>
    <row r="400" spans="1:56" s="1007" customFormat="1" x14ac:dyDescent="0.25">
      <c r="A400" s="999"/>
      <c r="B400" s="1050"/>
      <c r="C400" s="1050"/>
      <c r="D400" s="1050"/>
      <c r="E400" s="1001"/>
      <c r="F400" s="1001"/>
      <c r="G400" s="1001"/>
      <c r="H400" s="1001"/>
      <c r="I400" s="1001"/>
      <c r="J400" s="1002"/>
      <c r="K400" s="1002"/>
      <c r="L400" s="1002"/>
      <c r="M400" s="1002"/>
      <c r="N400" s="1002"/>
      <c r="O400" s="1002"/>
      <c r="P400" s="1002"/>
      <c r="Q400" s="1002"/>
      <c r="R400" s="1002"/>
      <c r="S400" s="1021"/>
      <c r="T400" s="1002"/>
      <c r="U400" s="1006"/>
      <c r="V400" s="1006"/>
      <c r="W400" s="1006"/>
    </row>
    <row r="401" spans="1:23" s="1007" customFormat="1" x14ac:dyDescent="0.25">
      <c r="A401" s="999"/>
      <c r="B401" s="1000"/>
      <c r="C401" s="1000"/>
      <c r="D401" s="1000"/>
      <c r="E401" s="1001"/>
      <c r="F401" s="1001"/>
      <c r="G401" s="1001"/>
      <c r="H401" s="1001"/>
      <c r="I401" s="1001"/>
      <c r="J401" s="1002"/>
      <c r="K401" s="1002"/>
      <c r="L401" s="1002"/>
      <c r="M401" s="1002"/>
      <c r="N401" s="1002"/>
      <c r="O401" s="1002"/>
      <c r="P401" s="1002"/>
      <c r="Q401" s="1002"/>
      <c r="R401" s="1002"/>
      <c r="S401" s="1021"/>
      <c r="T401" s="1002"/>
      <c r="U401" s="1006"/>
      <c r="V401" s="1006"/>
      <c r="W401" s="1006"/>
    </row>
    <row r="402" spans="1:23" s="1007" customFormat="1" x14ac:dyDescent="0.25">
      <c r="A402" s="999"/>
      <c r="B402" s="1000"/>
      <c r="C402" s="1000"/>
      <c r="D402" s="1000"/>
      <c r="E402" s="1001"/>
      <c r="F402" s="1001"/>
      <c r="G402" s="1001"/>
      <c r="H402" s="1001"/>
      <c r="I402" s="1001"/>
      <c r="J402" s="1002"/>
      <c r="K402" s="1002"/>
      <c r="L402" s="1002"/>
      <c r="M402" s="1002"/>
      <c r="N402" s="1002"/>
      <c r="O402" s="1002"/>
      <c r="P402" s="1002"/>
      <c r="Q402" s="1002"/>
      <c r="R402" s="1002"/>
      <c r="S402" s="1021"/>
      <c r="T402" s="1002"/>
      <c r="U402" s="1006"/>
      <c r="V402" s="1006"/>
      <c r="W402" s="1006"/>
    </row>
    <row r="403" spans="1:23" s="1007" customFormat="1" x14ac:dyDescent="0.25">
      <c r="A403" s="999"/>
      <c r="B403" s="1000"/>
      <c r="C403" s="1000"/>
      <c r="D403" s="1000"/>
      <c r="E403" s="1001"/>
      <c r="F403" s="1001"/>
      <c r="G403" s="1001"/>
      <c r="H403" s="1001"/>
      <c r="I403" s="1001"/>
      <c r="J403" s="1002"/>
      <c r="K403" s="1002"/>
      <c r="L403" s="1002"/>
      <c r="M403" s="1002"/>
      <c r="N403" s="1002"/>
      <c r="O403" s="1002"/>
      <c r="P403" s="1002"/>
      <c r="Q403" s="1002"/>
      <c r="R403" s="1002"/>
      <c r="S403" s="1021"/>
      <c r="T403" s="1002"/>
      <c r="U403" s="1006"/>
      <c r="V403" s="1006"/>
      <c r="W403" s="1006"/>
    </row>
    <row r="404" spans="1:23" s="1007" customFormat="1" x14ac:dyDescent="0.25">
      <c r="A404" s="999"/>
      <c r="B404" s="1000"/>
      <c r="C404" s="1000"/>
      <c r="D404" s="1000"/>
      <c r="E404" s="1001"/>
      <c r="F404" s="1001"/>
      <c r="G404" s="1001"/>
      <c r="H404" s="1001"/>
      <c r="I404" s="1001"/>
      <c r="J404" s="1002"/>
      <c r="K404" s="1002"/>
      <c r="L404" s="1002"/>
      <c r="M404" s="1002"/>
      <c r="N404" s="1002"/>
      <c r="O404" s="1002"/>
      <c r="P404" s="1002"/>
      <c r="Q404" s="1002"/>
      <c r="R404" s="1002"/>
      <c r="S404" s="1021"/>
      <c r="T404" s="1002"/>
      <c r="U404" s="1006"/>
      <c r="V404" s="1006"/>
      <c r="W404" s="1006"/>
    </row>
    <row r="405" spans="1:23" s="1007" customFormat="1" x14ac:dyDescent="0.25">
      <c r="A405" s="999"/>
      <c r="B405" s="1000"/>
      <c r="C405" s="1000"/>
      <c r="D405" s="1000"/>
      <c r="E405" s="1001"/>
      <c r="F405" s="1001"/>
      <c r="G405" s="1001"/>
      <c r="H405" s="1001"/>
      <c r="I405" s="1001"/>
      <c r="J405" s="1002"/>
      <c r="K405" s="1002"/>
      <c r="L405" s="1002"/>
      <c r="M405" s="1002"/>
      <c r="N405" s="1002"/>
      <c r="O405" s="1002"/>
      <c r="P405" s="1002"/>
      <c r="Q405" s="1002"/>
      <c r="R405" s="1002"/>
      <c r="S405" s="1002"/>
      <c r="T405" s="1002"/>
      <c r="U405" s="1006"/>
      <c r="V405" s="1006"/>
      <c r="W405" s="1006"/>
    </row>
    <row r="406" spans="1:23" s="1007" customFormat="1" x14ac:dyDescent="0.25">
      <c r="A406" s="999"/>
      <c r="B406" s="1000"/>
      <c r="C406" s="1000"/>
      <c r="D406" s="1000"/>
      <c r="E406" s="1001"/>
      <c r="F406" s="1001"/>
      <c r="G406" s="1001"/>
      <c r="H406" s="1001"/>
      <c r="I406" s="1001"/>
      <c r="J406" s="1002"/>
      <c r="K406" s="1002"/>
      <c r="L406" s="1002"/>
      <c r="M406" s="1002"/>
      <c r="N406" s="1002"/>
      <c r="O406" s="1002"/>
      <c r="P406" s="1002"/>
      <c r="Q406" s="1002"/>
      <c r="R406" s="1002"/>
      <c r="S406" s="1002"/>
      <c r="T406" s="1002"/>
      <c r="U406" s="1006"/>
      <c r="V406" s="1006"/>
      <c r="W406" s="1006"/>
    </row>
    <row r="407" spans="1:23" s="1007" customFormat="1" x14ac:dyDescent="0.25">
      <c r="A407" s="999"/>
      <c r="B407" s="1000"/>
      <c r="C407" s="1000"/>
      <c r="D407" s="1000"/>
      <c r="E407" s="1001"/>
      <c r="F407" s="1001"/>
      <c r="G407" s="1001"/>
      <c r="H407" s="1001"/>
      <c r="I407" s="1001"/>
      <c r="J407" s="1002"/>
      <c r="K407" s="1002"/>
      <c r="L407" s="1002"/>
      <c r="M407" s="1002"/>
      <c r="N407" s="1002"/>
      <c r="O407" s="1002"/>
      <c r="P407" s="1002"/>
      <c r="Q407" s="1002"/>
      <c r="R407" s="1002"/>
      <c r="S407" s="1002"/>
      <c r="T407" s="1002"/>
      <c r="U407" s="1006"/>
      <c r="V407" s="1006"/>
      <c r="W407" s="1006"/>
    </row>
    <row r="408" spans="1:23" s="1007" customFormat="1" x14ac:dyDescent="0.25">
      <c r="A408" s="999"/>
      <c r="B408" s="1000"/>
      <c r="C408" s="1000"/>
      <c r="D408" s="1000"/>
      <c r="E408" s="1001"/>
      <c r="F408" s="1001"/>
      <c r="G408" s="1001"/>
      <c r="H408" s="1001"/>
      <c r="I408" s="1001"/>
      <c r="J408" s="1002"/>
      <c r="K408" s="1002"/>
      <c r="L408" s="1002"/>
      <c r="M408" s="1002"/>
      <c r="N408" s="1002"/>
      <c r="O408" s="1002"/>
      <c r="P408" s="1002"/>
      <c r="Q408" s="1002"/>
      <c r="R408" s="1002"/>
      <c r="S408" s="1002"/>
      <c r="T408" s="1002"/>
      <c r="U408" s="1006"/>
      <c r="V408" s="1006"/>
      <c r="W408" s="1006"/>
    </row>
    <row r="409" spans="1:23" x14ac:dyDescent="0.25">
      <c r="B409" s="1051"/>
      <c r="C409" s="1051"/>
      <c r="D409" s="1051"/>
      <c r="P409" s="1039"/>
      <c r="V409" s="1039"/>
      <c r="W409" s="1039"/>
    </row>
    <row r="410" spans="1:23" x14ac:dyDescent="0.25">
      <c r="P410" s="1039"/>
    </row>
    <row r="411" spans="1:23" x14ac:dyDescent="0.25">
      <c r="P411" s="1039"/>
    </row>
    <row r="412" spans="1:23" x14ac:dyDescent="0.25">
      <c r="P412" s="1039"/>
    </row>
    <row r="413" spans="1:23" x14ac:dyDescent="0.25">
      <c r="P413" s="1039"/>
    </row>
    <row r="414" spans="1:23" x14ac:dyDescent="0.25">
      <c r="P414" s="1039"/>
    </row>
    <row r="415" spans="1:23" x14ac:dyDescent="0.25">
      <c r="P415" s="1039"/>
    </row>
    <row r="416" spans="1:23" x14ac:dyDescent="0.25">
      <c r="P416" s="1039"/>
    </row>
    <row r="417" spans="16:16" x14ac:dyDescent="0.25">
      <c r="P417" s="1039"/>
    </row>
    <row r="418" spans="16:16" x14ac:dyDescent="0.25">
      <c r="P418" s="1039"/>
    </row>
    <row r="419" spans="16:16" x14ac:dyDescent="0.25">
      <c r="P419" s="1039"/>
    </row>
    <row r="420" spans="16:16" x14ac:dyDescent="0.25">
      <c r="P420" s="1039"/>
    </row>
    <row r="421" spans="16:16" x14ac:dyDescent="0.25">
      <c r="P421" s="1039"/>
    </row>
    <row r="422" spans="16:16" x14ac:dyDescent="0.25">
      <c r="P422" s="1039"/>
    </row>
  </sheetData>
  <mergeCells count="3">
    <mergeCell ref="T267:AH267"/>
    <mergeCell ref="O344:S344"/>
    <mergeCell ref="S396:AD396"/>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4533B-DD89-4BA0-9FA8-172999C435C3}">
  <dimension ref="A1:BD174"/>
  <sheetViews>
    <sheetView topLeftCell="A28" zoomScale="43" zoomScaleNormal="43" workbookViewId="0">
      <selection activeCell="S62" sqref="S62"/>
    </sheetView>
  </sheetViews>
  <sheetFormatPr defaultColWidth="9.109375" defaultRowHeight="13.8" x14ac:dyDescent="0.25"/>
  <cols>
    <col min="1" max="1" width="5.33203125" style="817" customWidth="1"/>
    <col min="2" max="2" width="39.5546875" style="821" customWidth="1"/>
    <col min="3" max="3" width="14.88671875" style="821" customWidth="1"/>
    <col min="4" max="5" width="11" style="821" customWidth="1"/>
    <col min="6" max="9" width="9.109375" style="821"/>
    <col min="10" max="13" width="12.44140625" style="821" customWidth="1"/>
    <col min="14" max="14" width="12.44140625" style="1040" customWidth="1"/>
    <col min="15" max="16" width="11.44140625" style="1039" customWidth="1"/>
    <col min="17" max="17" width="15.33203125" style="1039" customWidth="1"/>
    <col min="18" max="18" width="16.109375" style="1039" customWidth="1"/>
    <col min="19" max="19" width="11.44140625" style="1039" customWidth="1"/>
    <col min="20" max="21" width="11.44140625" style="821" customWidth="1"/>
    <col min="22" max="28" width="11" style="821" customWidth="1"/>
    <col min="29" max="29" width="1.33203125" style="821" customWidth="1"/>
    <col min="30" max="31" width="11" style="821" hidden="1" customWidth="1"/>
    <col min="32" max="32" width="9.33203125" style="821" hidden="1" customWidth="1"/>
    <col min="33" max="42" width="11" style="821" hidden="1" customWidth="1"/>
    <col min="43" max="43" width="4.109375" style="821" hidden="1" customWidth="1"/>
    <col min="44" max="54" width="9.109375" style="821" hidden="1" customWidth="1"/>
    <col min="55" max="16384" width="9.109375" style="821"/>
  </cols>
  <sheetData>
    <row r="1" spans="1:56" s="800" customFormat="1" x14ac:dyDescent="0.25">
      <c r="A1" s="799"/>
      <c r="O1" s="1097">
        <v>1</v>
      </c>
      <c r="P1" s="1098">
        <v>2</v>
      </c>
      <c r="Q1" s="1289">
        <v>3</v>
      </c>
      <c r="R1" s="1289">
        <v>4</v>
      </c>
      <c r="S1" s="803">
        <v>5</v>
      </c>
      <c r="T1" s="803">
        <v>6</v>
      </c>
      <c r="U1" s="803">
        <v>7</v>
      </c>
      <c r="V1" s="803">
        <v>8</v>
      </c>
      <c r="W1" s="803">
        <v>9</v>
      </c>
      <c r="X1" s="803">
        <v>10</v>
      </c>
      <c r="Y1" s="803">
        <v>11</v>
      </c>
      <c r="Z1" s="803">
        <v>12</v>
      </c>
      <c r="AA1" s="803">
        <v>13</v>
      </c>
      <c r="AB1" s="803">
        <v>14</v>
      </c>
      <c r="AC1" s="803">
        <v>15</v>
      </c>
      <c r="AD1" s="803">
        <v>16</v>
      </c>
      <c r="AE1" s="803">
        <v>17</v>
      </c>
      <c r="AF1" s="803">
        <v>18</v>
      </c>
      <c r="AG1" s="803">
        <v>19</v>
      </c>
      <c r="AH1" s="803">
        <v>20</v>
      </c>
      <c r="AI1" s="803">
        <v>21</v>
      </c>
      <c r="AJ1" s="803">
        <v>22</v>
      </c>
      <c r="AK1" s="803">
        <v>23</v>
      </c>
      <c r="AL1" s="803">
        <v>24</v>
      </c>
      <c r="AM1" s="803">
        <v>25</v>
      </c>
      <c r="AN1" s="803">
        <v>26</v>
      </c>
      <c r="AO1" s="803">
        <v>27</v>
      </c>
      <c r="AP1" s="803">
        <v>28</v>
      </c>
      <c r="AQ1" s="803">
        <v>29</v>
      </c>
      <c r="AR1" s="803">
        <v>30</v>
      </c>
      <c r="AS1" s="803">
        <v>31</v>
      </c>
      <c r="AT1" s="803">
        <v>32</v>
      </c>
      <c r="AU1" s="803">
        <v>33</v>
      </c>
      <c r="AV1" s="803">
        <v>34</v>
      </c>
      <c r="AW1" s="803">
        <v>35</v>
      </c>
      <c r="AX1" s="803">
        <v>36</v>
      </c>
      <c r="AY1" s="803">
        <v>37</v>
      </c>
      <c r="AZ1" s="803">
        <v>38</v>
      </c>
      <c r="BA1" s="803">
        <v>39</v>
      </c>
      <c r="BB1" s="803">
        <v>40</v>
      </c>
    </row>
    <row r="2" spans="1:56" s="801" customFormat="1" x14ac:dyDescent="0.25">
      <c r="C2" s="801" t="s">
        <v>1493</v>
      </c>
      <c r="D2" s="801" t="s">
        <v>1493</v>
      </c>
      <c r="G2" s="801" t="s">
        <v>1493</v>
      </c>
      <c r="H2" s="801" t="s">
        <v>1493</v>
      </c>
      <c r="I2" s="801" t="s">
        <v>1493</v>
      </c>
      <c r="J2" s="801" t="s">
        <v>1493</v>
      </c>
      <c r="K2" s="801" t="s">
        <v>1493</v>
      </c>
      <c r="L2" s="801" t="s">
        <v>1493</v>
      </c>
      <c r="M2" s="801" t="s">
        <v>1493</v>
      </c>
      <c r="N2" s="801" t="s">
        <v>1493</v>
      </c>
      <c r="O2" s="801" t="s">
        <v>1493</v>
      </c>
      <c r="P2" s="1099" t="s">
        <v>1493</v>
      </c>
      <c r="Q2" s="805" t="s">
        <v>1494</v>
      </c>
      <c r="R2" s="805" t="s">
        <v>1494</v>
      </c>
      <c r="S2" s="805" t="s">
        <v>1494</v>
      </c>
      <c r="T2" s="805" t="s">
        <v>1494</v>
      </c>
      <c r="U2" s="805" t="s">
        <v>1494</v>
      </c>
      <c r="V2" s="805" t="s">
        <v>1494</v>
      </c>
      <c r="W2" s="805" t="s">
        <v>1494</v>
      </c>
      <c r="X2" s="805" t="s">
        <v>1494</v>
      </c>
      <c r="Y2" s="805" t="s">
        <v>1494</v>
      </c>
      <c r="Z2" s="805" t="s">
        <v>1494</v>
      </c>
      <c r="AA2" s="805" t="s">
        <v>1494</v>
      </c>
      <c r="AB2" s="805" t="s">
        <v>1494</v>
      </c>
      <c r="AC2" s="805" t="s">
        <v>1494</v>
      </c>
      <c r="AD2" s="805" t="s">
        <v>1494</v>
      </c>
      <c r="AE2" s="805" t="s">
        <v>1494</v>
      </c>
      <c r="AF2" s="805" t="s">
        <v>1494</v>
      </c>
      <c r="AG2" s="805" t="s">
        <v>1494</v>
      </c>
      <c r="AH2" s="805" t="s">
        <v>1494</v>
      </c>
      <c r="AI2" s="805" t="s">
        <v>1494</v>
      </c>
      <c r="AJ2" s="805" t="s">
        <v>1494</v>
      </c>
      <c r="AK2" s="805" t="s">
        <v>1494</v>
      </c>
      <c r="AL2" s="805" t="s">
        <v>1494</v>
      </c>
      <c r="AM2" s="805" t="s">
        <v>1494</v>
      </c>
      <c r="AN2" s="805" t="s">
        <v>1494</v>
      </c>
      <c r="AO2" s="805" t="s">
        <v>1494</v>
      </c>
      <c r="AP2" s="805" t="s">
        <v>1494</v>
      </c>
      <c r="AQ2" s="805" t="s">
        <v>1494</v>
      </c>
      <c r="AR2" s="805" t="s">
        <v>1494</v>
      </c>
      <c r="AS2" s="805" t="s">
        <v>1494</v>
      </c>
      <c r="AT2" s="805" t="s">
        <v>1494</v>
      </c>
      <c r="AU2" s="805" t="s">
        <v>1494</v>
      </c>
      <c r="AV2" s="805" t="s">
        <v>1494</v>
      </c>
      <c r="AW2" s="805" t="s">
        <v>1494</v>
      </c>
      <c r="AX2" s="805" t="s">
        <v>1494</v>
      </c>
      <c r="AY2" s="805" t="s">
        <v>1494</v>
      </c>
      <c r="AZ2" s="805" t="s">
        <v>1494</v>
      </c>
      <c r="BA2" s="805" t="s">
        <v>1494</v>
      </c>
      <c r="BB2" s="805" t="s">
        <v>1494</v>
      </c>
    </row>
    <row r="3" spans="1:56" s="801" customFormat="1" ht="14.4" thickBot="1" x14ac:dyDescent="0.3">
      <c r="B3" s="1100"/>
      <c r="C3" s="1100"/>
      <c r="D3" s="1101">
        <v>40178</v>
      </c>
      <c r="E3" s="1102">
        <v>40543</v>
      </c>
      <c r="F3" s="1102">
        <v>40908</v>
      </c>
      <c r="G3" s="1102">
        <v>41274</v>
      </c>
      <c r="H3" s="1102">
        <v>41639</v>
      </c>
      <c r="I3" s="1102">
        <v>42004</v>
      </c>
      <c r="J3" s="1102">
        <v>42369</v>
      </c>
      <c r="K3" s="1102">
        <v>42735</v>
      </c>
      <c r="L3" s="1102">
        <v>43100</v>
      </c>
      <c r="M3" s="1102">
        <v>43465</v>
      </c>
      <c r="N3" s="1102">
        <v>43830</v>
      </c>
      <c r="O3" s="1102">
        <v>44196</v>
      </c>
      <c r="P3" s="1103">
        <v>44561</v>
      </c>
      <c r="Q3" s="1290">
        <v>44926</v>
      </c>
      <c r="R3" s="1290">
        <v>45291</v>
      </c>
      <c r="S3" s="1104">
        <v>45657</v>
      </c>
      <c r="T3" s="1104">
        <v>46022</v>
      </c>
      <c r="U3" s="1104">
        <v>46387</v>
      </c>
      <c r="V3" s="1104">
        <v>46752</v>
      </c>
      <c r="W3" s="1104">
        <v>47118</v>
      </c>
      <c r="X3" s="1104">
        <v>47483</v>
      </c>
      <c r="Y3" s="1104">
        <v>47848</v>
      </c>
      <c r="Z3" s="1104">
        <v>48213</v>
      </c>
      <c r="AA3" s="1104">
        <v>48579</v>
      </c>
      <c r="AB3" s="1104">
        <v>48944</v>
      </c>
      <c r="AC3" s="1104">
        <v>48944</v>
      </c>
      <c r="AD3" s="1104">
        <v>49309</v>
      </c>
      <c r="AE3" s="1104">
        <v>49674</v>
      </c>
      <c r="AF3" s="1104">
        <v>50040</v>
      </c>
      <c r="AG3" s="1104">
        <v>50405</v>
      </c>
      <c r="AH3" s="1104">
        <v>50770</v>
      </c>
      <c r="AI3" s="1104">
        <v>51135</v>
      </c>
      <c r="AJ3" s="1104">
        <v>51501</v>
      </c>
      <c r="AK3" s="1104">
        <v>51866</v>
      </c>
      <c r="AL3" s="1104">
        <v>52231</v>
      </c>
      <c r="AM3" s="1104">
        <v>52596</v>
      </c>
      <c r="AN3" s="1104">
        <v>52962</v>
      </c>
      <c r="AO3" s="1104">
        <v>53327</v>
      </c>
      <c r="AP3" s="1104">
        <v>53692</v>
      </c>
      <c r="AQ3" s="1104">
        <v>54057</v>
      </c>
      <c r="AR3" s="1104">
        <v>54423</v>
      </c>
      <c r="AS3" s="1104">
        <v>54788</v>
      </c>
      <c r="AT3" s="1104">
        <v>55153</v>
      </c>
      <c r="AU3" s="1104">
        <v>55518</v>
      </c>
      <c r="AV3" s="1104">
        <v>55884</v>
      </c>
      <c r="AW3" s="1104">
        <v>56249</v>
      </c>
      <c r="AX3" s="1104">
        <v>56614</v>
      </c>
      <c r="AY3" s="1104">
        <v>56979</v>
      </c>
      <c r="AZ3" s="1104">
        <v>57345</v>
      </c>
      <c r="BA3" s="1104">
        <v>57710</v>
      </c>
      <c r="BB3" s="1104">
        <v>58075</v>
      </c>
    </row>
    <row r="4" spans="1:56" s="813" customFormat="1" ht="14.4" thickTop="1" x14ac:dyDescent="0.25">
      <c r="C4" s="814"/>
      <c r="D4" s="815"/>
      <c r="E4" s="815"/>
      <c r="F4" s="815"/>
      <c r="G4" s="815"/>
      <c r="H4" s="815"/>
      <c r="I4" s="815"/>
      <c r="J4" s="815"/>
      <c r="K4" s="815"/>
      <c r="L4" s="815"/>
      <c r="M4" s="815"/>
      <c r="N4" s="815"/>
      <c r="O4" s="815"/>
      <c r="P4" s="816"/>
      <c r="Q4" s="815"/>
      <c r="R4" s="815"/>
      <c r="S4" s="815"/>
      <c r="T4" s="815"/>
      <c r="U4" s="815"/>
      <c r="V4" s="815"/>
      <c r="W4" s="815"/>
      <c r="X4" s="815"/>
      <c r="Y4" s="815"/>
      <c r="Z4" s="815"/>
      <c r="AA4" s="815"/>
      <c r="AB4" s="815"/>
      <c r="AC4" s="815"/>
      <c r="AD4" s="815"/>
      <c r="AE4" s="815"/>
      <c r="AF4" s="815"/>
      <c r="AG4" s="815"/>
      <c r="AH4" s="815"/>
      <c r="AI4" s="815"/>
      <c r="AJ4" s="815"/>
      <c r="AK4" s="815"/>
      <c r="AL4" s="815"/>
      <c r="AM4" s="815"/>
      <c r="AN4" s="815"/>
      <c r="AO4" s="815"/>
      <c r="AP4" s="815"/>
      <c r="AQ4" s="815"/>
      <c r="AR4" s="815"/>
      <c r="AS4" s="815"/>
      <c r="AT4" s="815"/>
      <c r="AU4" s="815"/>
      <c r="AV4" s="815"/>
      <c r="AW4" s="815"/>
      <c r="AX4" s="815"/>
      <c r="AY4" s="815"/>
      <c r="AZ4" s="815"/>
      <c r="BA4" s="815"/>
      <c r="BB4" s="815"/>
    </row>
    <row r="5" spans="1:56" s="813" customFormat="1" x14ac:dyDescent="0.25">
      <c r="C5" s="814"/>
      <c r="D5" s="815"/>
      <c r="E5" s="815"/>
      <c r="F5" s="815"/>
      <c r="G5" s="815"/>
      <c r="H5" s="815"/>
      <c r="I5" s="815"/>
      <c r="J5" s="815"/>
      <c r="K5" s="815"/>
      <c r="L5" s="815"/>
      <c r="M5" s="815"/>
      <c r="N5" s="815"/>
      <c r="O5" s="815"/>
      <c r="P5" s="816"/>
      <c r="Q5" s="815"/>
      <c r="R5" s="815"/>
      <c r="S5" s="815"/>
      <c r="T5" s="815"/>
      <c r="U5" s="815"/>
      <c r="V5" s="815"/>
      <c r="W5" s="815"/>
      <c r="X5" s="815"/>
      <c r="Y5" s="815"/>
      <c r="Z5" s="815"/>
      <c r="AA5" s="815"/>
      <c r="AB5" s="815"/>
      <c r="AC5" s="815"/>
      <c r="AD5" s="815"/>
      <c r="AE5" s="815"/>
      <c r="AF5" s="815"/>
      <c r="AG5" s="815"/>
      <c r="AH5" s="815"/>
      <c r="AI5" s="815"/>
      <c r="AJ5" s="815"/>
      <c r="AK5" s="815"/>
      <c r="AL5" s="815"/>
      <c r="AM5" s="815"/>
      <c r="AN5" s="815"/>
      <c r="AO5" s="815"/>
      <c r="AP5" s="815"/>
      <c r="AQ5" s="815"/>
      <c r="AR5" s="815"/>
      <c r="AS5" s="815"/>
      <c r="AT5" s="815"/>
      <c r="AU5" s="815"/>
      <c r="AV5" s="815"/>
      <c r="AW5" s="815"/>
      <c r="AX5" s="815"/>
      <c r="AY5" s="815"/>
      <c r="AZ5" s="815"/>
      <c r="BA5" s="815"/>
      <c r="BB5" s="815"/>
    </row>
    <row r="6" spans="1:56" x14ac:dyDescent="0.25">
      <c r="B6" s="818" t="s">
        <v>1398</v>
      </c>
      <c r="C6" s="819"/>
      <c r="D6" s="819"/>
      <c r="E6" s="819"/>
      <c r="F6" s="819"/>
      <c r="G6" s="819"/>
      <c r="H6" s="819"/>
      <c r="I6" s="819"/>
      <c r="J6" s="819"/>
      <c r="K6" s="819"/>
      <c r="L6" s="819"/>
      <c r="M6" s="819"/>
      <c r="N6" s="819"/>
      <c r="O6" s="819"/>
      <c r="P6" s="820"/>
      <c r="Q6" s="819"/>
      <c r="R6" s="819"/>
      <c r="S6" s="819"/>
      <c r="T6" s="819"/>
      <c r="U6" s="819"/>
      <c r="V6" s="819"/>
      <c r="W6" s="819"/>
      <c r="X6" s="819"/>
      <c r="Y6" s="819"/>
      <c r="Z6" s="819"/>
      <c r="AA6" s="819"/>
      <c r="AB6" s="819"/>
      <c r="AC6" s="819"/>
      <c r="AD6" s="819"/>
      <c r="AE6" s="819"/>
      <c r="AF6" s="819"/>
      <c r="AG6" s="819"/>
      <c r="AH6" s="819"/>
      <c r="AI6" s="819"/>
      <c r="AJ6" s="819"/>
      <c r="AK6" s="819"/>
      <c r="AL6" s="819"/>
      <c r="AM6" s="819"/>
      <c r="AN6" s="819"/>
      <c r="AO6" s="819"/>
      <c r="AP6" s="819"/>
      <c r="AQ6" s="819"/>
      <c r="AR6" s="819"/>
      <c r="AS6" s="819"/>
      <c r="AT6" s="819"/>
      <c r="AU6" s="819"/>
      <c r="AV6" s="819"/>
      <c r="AW6" s="819"/>
      <c r="AX6" s="819"/>
      <c r="AY6" s="819"/>
      <c r="AZ6" s="819"/>
      <c r="BA6" s="819"/>
      <c r="BB6" s="819"/>
    </row>
    <row r="7" spans="1:56" x14ac:dyDescent="0.25">
      <c r="N7" s="821"/>
      <c r="O7" s="821"/>
      <c r="P7" s="822"/>
      <c r="Q7" s="1152"/>
      <c r="R7" s="1152"/>
      <c r="S7" s="1152"/>
      <c r="T7" s="1152"/>
      <c r="U7" s="1152"/>
      <c r="V7" s="1152"/>
      <c r="W7" s="1152"/>
      <c r="X7" s="1152"/>
      <c r="Y7" s="1152"/>
      <c r="Z7" s="1152"/>
      <c r="AA7" s="1152"/>
      <c r="AB7" s="1152"/>
      <c r="AC7" s="1105"/>
      <c r="AD7" s="1105"/>
      <c r="AE7" s="1105"/>
      <c r="AF7" s="1105"/>
      <c r="AG7" s="1105"/>
      <c r="AH7" s="1105"/>
      <c r="AI7" s="1105"/>
      <c r="AJ7" s="1105"/>
    </row>
    <row r="8" spans="1:56" x14ac:dyDescent="0.25">
      <c r="A8" s="817">
        <v>1</v>
      </c>
      <c r="B8" s="824" t="s">
        <v>1486</v>
      </c>
      <c r="I8" s="1106"/>
      <c r="J8" s="1106"/>
      <c r="K8" s="1106"/>
      <c r="L8" s="1106"/>
      <c r="M8" s="1106"/>
      <c r="N8" s="1106"/>
      <c r="O8" s="1106"/>
      <c r="P8" s="1107"/>
      <c r="Q8" s="1293"/>
      <c r="R8" s="1293"/>
      <c r="S8" s="1293"/>
      <c r="T8" s="1152"/>
      <c r="U8" s="1152"/>
      <c r="V8" s="1152"/>
      <c r="W8" s="1152"/>
      <c r="X8" s="1152"/>
      <c r="Y8" s="1152"/>
      <c r="Z8" s="1152"/>
      <c r="AA8" s="1152"/>
      <c r="AB8" s="1152"/>
      <c r="AC8" s="1105"/>
      <c r="AD8" s="1105"/>
      <c r="AE8" s="1105"/>
      <c r="AF8" s="1105"/>
      <c r="AG8" s="1105"/>
      <c r="AH8" s="1105"/>
      <c r="AI8" s="1105"/>
      <c r="AJ8" s="1105"/>
    </row>
    <row r="9" spans="1:56" s="800" customFormat="1" x14ac:dyDescent="0.25">
      <c r="A9" s="799"/>
      <c r="B9" s="828" t="s">
        <v>1487</v>
      </c>
      <c r="I9" s="1108"/>
      <c r="J9" s="1109">
        <f>'IS Raw'!J19</f>
        <v>94.46</v>
      </c>
      <c r="K9" s="1109">
        <f>'IS Raw'!K19</f>
        <v>115.1</v>
      </c>
      <c r="L9" s="1109">
        <f>'IS Raw'!L19</f>
        <v>117.07</v>
      </c>
      <c r="M9" s="1109">
        <f>'IS Raw'!M19</f>
        <v>169.49</v>
      </c>
      <c r="N9" s="1109">
        <f>'IS Raw'!N19</f>
        <v>103.75</v>
      </c>
      <c r="O9" s="1109">
        <f>'IS Raw'!O19</f>
        <v>92.31</v>
      </c>
      <c r="P9" s="1110">
        <f>'IS Raw'!P19</f>
        <v>352.87</v>
      </c>
      <c r="Q9" s="1291">
        <f>AVERAGE(AVERAGE(K9:O9), AVERAGE(K9:P9))</f>
        <v>138.98783333333336</v>
      </c>
      <c r="R9" s="1291">
        <f>Q9*(1+R14)</f>
        <v>177.17952421011535</v>
      </c>
      <c r="S9" s="1291">
        <f>R9*(1+S14)</f>
        <v>212.61542905213841</v>
      </c>
      <c r="T9" s="1291">
        <f t="shared" ref="T9:AC9" si="0">S9*(1+T14)</f>
        <v>233.87697195735228</v>
      </c>
      <c r="U9" s="1291">
        <f t="shared" si="0"/>
        <v>245.57082055521991</v>
      </c>
      <c r="V9" s="1291">
        <f t="shared" si="0"/>
        <v>257.84936158298092</v>
      </c>
      <c r="W9" s="1291">
        <f t="shared" si="0"/>
        <v>270.74182966212999</v>
      </c>
      <c r="X9" s="1291">
        <f t="shared" si="0"/>
        <v>278.86408455199387</v>
      </c>
      <c r="Y9" s="1291">
        <f t="shared" si="0"/>
        <v>287.23000708855369</v>
      </c>
      <c r="Z9" s="1291">
        <f t="shared" si="0"/>
        <v>295.84690730121031</v>
      </c>
      <c r="AA9" s="1291">
        <f t="shared" si="0"/>
        <v>304.72231452024664</v>
      </c>
      <c r="AB9" s="1291">
        <f t="shared" si="0"/>
        <v>313.86398395585405</v>
      </c>
      <c r="AC9" s="1111">
        <f t="shared" si="0"/>
        <v>313.86398395585405</v>
      </c>
      <c r="AD9" s="1112"/>
      <c r="AE9" s="1112"/>
      <c r="AF9" s="1112"/>
      <c r="AG9" s="1112"/>
      <c r="AH9" s="1112"/>
      <c r="AI9" s="1112"/>
      <c r="AJ9" s="1112"/>
      <c r="AK9" s="1112"/>
      <c r="AL9" s="1112"/>
      <c r="AM9" s="1112"/>
      <c r="AN9" s="1112"/>
      <c r="AO9" s="1112"/>
      <c r="AP9" s="1112"/>
      <c r="AQ9" s="1112"/>
      <c r="AR9" s="1112"/>
      <c r="AS9" s="1112">
        <v>0</v>
      </c>
      <c r="AT9" s="1112">
        <v>0</v>
      </c>
      <c r="AU9" s="1112">
        <v>0</v>
      </c>
      <c r="AV9" s="1112">
        <v>0</v>
      </c>
      <c r="AW9" s="1112">
        <v>0</v>
      </c>
      <c r="AX9" s="1112">
        <v>0</v>
      </c>
      <c r="AY9" s="1112">
        <v>0</v>
      </c>
      <c r="AZ9" s="1112">
        <v>0</v>
      </c>
      <c r="BA9" s="1112">
        <v>0</v>
      </c>
      <c r="BB9" s="1112">
        <v>0</v>
      </c>
    </row>
    <row r="10" spans="1:56" s="833" customFormat="1" x14ac:dyDescent="0.25">
      <c r="A10" s="835"/>
      <c r="B10" s="828" t="s">
        <v>1488</v>
      </c>
      <c r="J10" s="864">
        <f>'IS Raw'!J20</f>
        <v>11.65</v>
      </c>
      <c r="K10" s="864">
        <f>'IS Raw'!K20</f>
        <v>10.26</v>
      </c>
      <c r="L10" s="864">
        <f>'IS Raw'!L20</f>
        <v>15.82</v>
      </c>
      <c r="M10" s="864">
        <f>'IS Raw'!M20</f>
        <v>10.68</v>
      </c>
      <c r="N10" s="864">
        <f>'IS Raw'!N20</f>
        <v>15.120000000000001</v>
      </c>
      <c r="O10" s="864">
        <f>'IS Raw'!O20</f>
        <v>16.349999999999998</v>
      </c>
      <c r="P10" s="1113">
        <f>'IS Raw'!P20</f>
        <v>14.58</v>
      </c>
      <c r="Q10" s="1318">
        <f>AVERAGE(AVERAGE(K10:O10), AVERAGE(K10:P10))</f>
        <v>13.723833333333332</v>
      </c>
      <c r="R10" s="1297">
        <f>Q10*(1+R15)</f>
        <v>15.386689314062572</v>
      </c>
      <c r="S10" s="1291">
        <f>R10*(1+S15)</f>
        <v>16.309890672906327</v>
      </c>
      <c r="T10" s="1291">
        <f t="shared" ref="T10:AB10" si="1">S10*(1+T15)</f>
        <v>17.288484113280706</v>
      </c>
      <c r="U10" s="1291">
        <f t="shared" si="1"/>
        <v>18.325793160077549</v>
      </c>
      <c r="V10" s="1291">
        <f t="shared" si="1"/>
        <v>19.425340749682203</v>
      </c>
      <c r="W10" s="1291">
        <f t="shared" si="1"/>
        <v>20.590861194663137</v>
      </c>
      <c r="X10" s="1291">
        <f t="shared" si="1"/>
        <v>21.208587030503033</v>
      </c>
      <c r="Y10" s="1291">
        <f t="shared" si="1"/>
        <v>21.844844641418124</v>
      </c>
      <c r="Z10" s="1291">
        <f t="shared" si="1"/>
        <v>22.500189980660668</v>
      </c>
      <c r="AA10" s="1291">
        <f t="shared" si="1"/>
        <v>23.175195680080488</v>
      </c>
      <c r="AB10" s="1291">
        <f t="shared" si="1"/>
        <v>23.870451550482905</v>
      </c>
      <c r="AC10" s="1112"/>
      <c r="AD10" s="1112"/>
      <c r="AE10" s="1112"/>
      <c r="AF10" s="1112"/>
      <c r="AG10" s="1112"/>
      <c r="AH10" s="1112"/>
      <c r="AI10" s="1112"/>
      <c r="AJ10" s="1112"/>
      <c r="AK10" s="1112"/>
      <c r="AL10" s="1112"/>
      <c r="AM10" s="1112"/>
      <c r="AN10" s="1112"/>
      <c r="AO10" s="1112"/>
      <c r="AP10" s="1112"/>
      <c r="AQ10" s="1112"/>
      <c r="AR10" s="1112"/>
      <c r="AS10" s="1112">
        <v>0</v>
      </c>
      <c r="AT10" s="1112">
        <v>0</v>
      </c>
      <c r="AU10" s="1112">
        <v>0</v>
      </c>
      <c r="AV10" s="1112">
        <v>0</v>
      </c>
      <c r="AW10" s="1112">
        <v>0</v>
      </c>
      <c r="AX10" s="1112">
        <v>0</v>
      </c>
      <c r="AY10" s="1112">
        <v>0</v>
      </c>
      <c r="AZ10" s="1112">
        <v>0</v>
      </c>
      <c r="BA10" s="1112">
        <v>0</v>
      </c>
      <c r="BB10" s="1112">
        <v>0</v>
      </c>
    </row>
    <row r="11" spans="1:56" s="851" customFormat="1" x14ac:dyDescent="0.25">
      <c r="A11" s="806"/>
      <c r="B11" s="844" t="s">
        <v>1473</v>
      </c>
      <c r="C11" s="844"/>
      <c r="D11" s="844"/>
      <c r="E11" s="844"/>
      <c r="F11" s="844"/>
      <c r="G11" s="846"/>
      <c r="H11" s="846"/>
      <c r="I11" s="846"/>
      <c r="J11" s="1114">
        <f>J9+J10</f>
        <v>106.11</v>
      </c>
      <c r="K11" s="1114">
        <f>K9+K10</f>
        <v>125.36</v>
      </c>
      <c r="L11" s="1114">
        <f t="shared" ref="L11:AB11" si="2">L9+L10</f>
        <v>132.88999999999999</v>
      </c>
      <c r="M11" s="1114">
        <f t="shared" si="2"/>
        <v>180.17000000000002</v>
      </c>
      <c r="N11" s="1114">
        <f t="shared" si="2"/>
        <v>118.87</v>
      </c>
      <c r="O11" s="1114">
        <f t="shared" si="2"/>
        <v>108.66</v>
      </c>
      <c r="P11" s="1115">
        <f t="shared" si="2"/>
        <v>367.45</v>
      </c>
      <c r="Q11" s="1285">
        <f t="shared" si="2"/>
        <v>152.7116666666667</v>
      </c>
      <c r="R11" s="1285">
        <f t="shared" si="2"/>
        <v>192.56621352417793</v>
      </c>
      <c r="S11" s="1146">
        <f t="shared" si="2"/>
        <v>228.92531972504474</v>
      </c>
      <c r="T11" s="1146">
        <f t="shared" si="2"/>
        <v>251.16545607063298</v>
      </c>
      <c r="U11" s="1146">
        <f t="shared" si="2"/>
        <v>263.89661371529746</v>
      </c>
      <c r="V11" s="1146">
        <f t="shared" si="2"/>
        <v>277.27470233266314</v>
      </c>
      <c r="W11" s="1146">
        <f t="shared" si="2"/>
        <v>291.33269085679314</v>
      </c>
      <c r="X11" s="1146">
        <f t="shared" si="2"/>
        <v>300.07267158249692</v>
      </c>
      <c r="Y11" s="1146">
        <f t="shared" si="2"/>
        <v>309.07485172997184</v>
      </c>
      <c r="Z11" s="1146">
        <f t="shared" si="2"/>
        <v>318.34709728187096</v>
      </c>
      <c r="AA11" s="1146">
        <f t="shared" si="2"/>
        <v>327.89751020032713</v>
      </c>
      <c r="AB11" s="1146">
        <f t="shared" si="2"/>
        <v>337.73443550633698</v>
      </c>
      <c r="AC11" s="850"/>
      <c r="AD11" s="850"/>
      <c r="AE11" s="850"/>
      <c r="AF11" s="850"/>
      <c r="AG11" s="850"/>
      <c r="AH11" s="850"/>
      <c r="AI11" s="850"/>
      <c r="AJ11" s="850"/>
      <c r="AK11" s="850"/>
      <c r="AL11" s="850"/>
      <c r="AM11" s="850"/>
      <c r="AN11" s="850"/>
      <c r="AO11" s="850"/>
      <c r="AP11" s="850"/>
      <c r="AQ11" s="850"/>
      <c r="AR11" s="850"/>
      <c r="AS11" s="850">
        <v>0</v>
      </c>
      <c r="AT11" s="850">
        <v>0</v>
      </c>
      <c r="AU11" s="850">
        <v>0</v>
      </c>
      <c r="AV11" s="850">
        <v>0</v>
      </c>
      <c r="AW11" s="850">
        <v>0</v>
      </c>
      <c r="AX11" s="850">
        <v>0</v>
      </c>
      <c r="AY11" s="850">
        <v>0</v>
      </c>
      <c r="AZ11" s="850">
        <v>0</v>
      </c>
      <c r="BA11" s="850">
        <v>0</v>
      </c>
      <c r="BB11" s="850">
        <v>0</v>
      </c>
    </row>
    <row r="12" spans="1:56" s="860" customFormat="1" x14ac:dyDescent="0.25">
      <c r="A12" s="859"/>
      <c r="J12" s="861"/>
      <c r="K12" s="861"/>
      <c r="L12" s="861"/>
      <c r="M12" s="861"/>
      <c r="N12" s="861"/>
      <c r="O12" s="861"/>
      <c r="P12" s="872"/>
      <c r="Q12" s="1292"/>
      <c r="R12" s="1292"/>
      <c r="S12" s="1292"/>
      <c r="T12" s="1292"/>
      <c r="U12" s="1292"/>
      <c r="V12" s="1292"/>
      <c r="W12" s="1292"/>
      <c r="X12" s="1292"/>
      <c r="Y12" s="1292"/>
      <c r="Z12" s="1292"/>
      <c r="AA12" s="1292"/>
      <c r="AB12" s="1292"/>
      <c r="AC12" s="1116"/>
      <c r="AD12" s="1116"/>
      <c r="AE12" s="1116"/>
      <c r="AF12" s="1116"/>
      <c r="AG12" s="1116"/>
      <c r="AH12" s="1116"/>
      <c r="AI12" s="1116"/>
      <c r="AJ12" s="1116"/>
      <c r="AK12" s="861"/>
      <c r="AL12" s="861"/>
      <c r="AM12" s="861"/>
      <c r="AN12" s="861"/>
      <c r="AO12" s="861"/>
      <c r="AP12" s="861"/>
      <c r="AQ12" s="861"/>
      <c r="AR12" s="861"/>
      <c r="AS12" s="861"/>
      <c r="AT12" s="861"/>
      <c r="AU12" s="861"/>
      <c r="AV12" s="861"/>
      <c r="AW12" s="861"/>
      <c r="AX12" s="861"/>
      <c r="AY12" s="861"/>
      <c r="AZ12" s="861"/>
      <c r="BA12" s="861"/>
      <c r="BB12" s="861"/>
    </row>
    <row r="13" spans="1:56" x14ac:dyDescent="0.25">
      <c r="A13" s="817">
        <v>2</v>
      </c>
      <c r="B13" s="824" t="s">
        <v>1435</v>
      </c>
      <c r="I13" s="1106"/>
      <c r="J13" s="1106"/>
      <c r="K13" s="1106"/>
      <c r="L13" s="1106"/>
      <c r="M13" s="1106"/>
      <c r="N13" s="1106"/>
      <c r="O13" s="1106"/>
      <c r="P13" s="1107"/>
      <c r="Q13" s="1293"/>
      <c r="R13" s="1293"/>
      <c r="S13" s="1293"/>
      <c r="T13" s="1152"/>
      <c r="U13" s="1152"/>
      <c r="V13" s="1152"/>
      <c r="W13" s="1152"/>
      <c r="X13" s="1152"/>
      <c r="Y13" s="1152"/>
      <c r="Z13" s="1152"/>
      <c r="AA13" s="1152"/>
      <c r="AB13" s="1152"/>
      <c r="AC13" s="1105"/>
      <c r="AD13" s="1105"/>
      <c r="AE13" s="1105"/>
      <c r="AF13" s="1105"/>
      <c r="AG13" s="1105"/>
      <c r="AH13" s="1105"/>
      <c r="AI13" s="1105"/>
      <c r="AJ13" s="1105"/>
    </row>
    <row r="14" spans="1:56" s="800" customFormat="1" x14ac:dyDescent="0.25">
      <c r="A14" s="799"/>
      <c r="B14" s="828" t="s">
        <v>1487</v>
      </c>
      <c r="I14" s="1108"/>
      <c r="J14" s="1108"/>
      <c r="K14" s="1117"/>
      <c r="L14" s="1117">
        <f>L9/K9-1</f>
        <v>1.7115551694178999E-2</v>
      </c>
      <c r="M14" s="1117">
        <f t="shared" ref="M14:Q14" si="3">M9/L9-1</f>
        <v>0.44776629367045384</v>
      </c>
      <c r="N14" s="1117">
        <f t="shared" si="3"/>
        <v>-0.38786949082541744</v>
      </c>
      <c r="O14" s="1117">
        <f t="shared" si="3"/>
        <v>-0.11026506024096383</v>
      </c>
      <c r="P14" s="1118">
        <f t="shared" si="3"/>
        <v>2.8226627667641644</v>
      </c>
      <c r="Q14" s="1294">
        <f t="shared" si="3"/>
        <v>-0.60612170676642008</v>
      </c>
      <c r="R14" s="1295">
        <f>AVERAGE(AVERAGE(L14:O14), AVERAGE(L14:P14))</f>
        <v>0.27478441789352304</v>
      </c>
      <c r="S14" s="1294">
        <v>0.2</v>
      </c>
      <c r="T14" s="1294">
        <f>S14/2</f>
        <v>0.1</v>
      </c>
      <c r="U14" s="1294">
        <f>T14/2</f>
        <v>0.05</v>
      </c>
      <c r="V14" s="1294">
        <f>U14</f>
        <v>0.05</v>
      </c>
      <c r="W14" s="1294">
        <f t="shared" ref="W14:AB14" si="4">V14</f>
        <v>0.05</v>
      </c>
      <c r="X14" s="1294">
        <v>0.03</v>
      </c>
      <c r="Y14" s="1294">
        <f t="shared" si="4"/>
        <v>0.03</v>
      </c>
      <c r="Z14" s="1294">
        <f t="shared" si="4"/>
        <v>0.03</v>
      </c>
      <c r="AA14" s="1294">
        <f t="shared" si="4"/>
        <v>0.03</v>
      </c>
      <c r="AB14" s="1294">
        <f t="shared" si="4"/>
        <v>0.03</v>
      </c>
      <c r="AC14" s="1119"/>
      <c r="AD14" s="1119"/>
      <c r="AE14" s="1119"/>
      <c r="AF14" s="1119"/>
      <c r="AG14" s="1119"/>
      <c r="AH14" s="1119"/>
      <c r="AI14" s="1119"/>
      <c r="AJ14" s="1119"/>
      <c r="AK14" s="1119"/>
      <c r="AL14" s="1119"/>
      <c r="AM14" s="1119"/>
      <c r="AN14" s="1119"/>
      <c r="AO14" s="1119"/>
      <c r="AP14" s="1119"/>
      <c r="AQ14" s="1119"/>
      <c r="AR14" s="1119"/>
      <c r="AS14" s="1119">
        <v>0</v>
      </c>
      <c r="AT14" s="1119">
        <v>0</v>
      </c>
      <c r="AU14" s="1119">
        <v>0</v>
      </c>
      <c r="AV14" s="1119">
        <v>0</v>
      </c>
      <c r="AW14" s="1119">
        <v>0</v>
      </c>
      <c r="AX14" s="1119">
        <v>0</v>
      </c>
      <c r="AY14" s="1119">
        <v>0</v>
      </c>
      <c r="AZ14" s="1119">
        <v>0</v>
      </c>
      <c r="BA14" s="1119">
        <v>0</v>
      </c>
      <c r="BB14" s="1119">
        <v>0</v>
      </c>
      <c r="BD14" s="1120"/>
    </row>
    <row r="15" spans="1:56" s="833" customFormat="1" x14ac:dyDescent="0.25">
      <c r="A15" s="835"/>
      <c r="B15" s="828" t="s">
        <v>1489</v>
      </c>
      <c r="K15" s="1117"/>
      <c r="L15" s="1117">
        <f>L10/K10-1</f>
        <v>0.54191033138401568</v>
      </c>
      <c r="M15" s="1117">
        <f t="shared" ref="M15:Q15" si="5">M10/L10-1</f>
        <v>-0.32490518331226304</v>
      </c>
      <c r="N15" s="1117">
        <f t="shared" si="5"/>
        <v>0.41573033707865181</v>
      </c>
      <c r="O15" s="1117">
        <f t="shared" si="5"/>
        <v>8.134920634920606E-2</v>
      </c>
      <c r="P15" s="1118">
        <f t="shared" si="5"/>
        <v>-0.10825688073394479</v>
      </c>
      <c r="Q15" s="1298">
        <f t="shared" si="5"/>
        <v>-5.8721993598536915E-2</v>
      </c>
      <c r="R15" s="1299">
        <f>AVERAGE(L15:P15)</f>
        <v>0.12116556215313315</v>
      </c>
      <c r="S15" s="1296">
        <v>0.06</v>
      </c>
      <c r="T15" s="1296">
        <f>S15</f>
        <v>0.06</v>
      </c>
      <c r="U15" s="1296">
        <f t="shared" ref="U15:W15" si="6">T15</f>
        <v>0.06</v>
      </c>
      <c r="V15" s="1296">
        <f t="shared" si="6"/>
        <v>0.06</v>
      </c>
      <c r="W15" s="1296">
        <f t="shared" si="6"/>
        <v>0.06</v>
      </c>
      <c r="X15" s="1296">
        <f>W15/2</f>
        <v>0.03</v>
      </c>
      <c r="Y15" s="1296">
        <f>X15</f>
        <v>0.03</v>
      </c>
      <c r="Z15" s="1296">
        <f t="shared" ref="Z15:AB15" si="7">Y15</f>
        <v>0.03</v>
      </c>
      <c r="AA15" s="1296">
        <f t="shared" si="7"/>
        <v>0.03</v>
      </c>
      <c r="AB15" s="1296">
        <f t="shared" si="7"/>
        <v>0.03</v>
      </c>
      <c r="AC15" s="925">
        <f t="shared" ref="AC15:BB15" si="8">AB15/2</f>
        <v>1.4999999999999999E-2</v>
      </c>
      <c r="AD15" s="925">
        <f t="shared" si="8"/>
        <v>7.4999999999999997E-3</v>
      </c>
      <c r="AE15" s="925">
        <f t="shared" si="8"/>
        <v>3.7499999999999999E-3</v>
      </c>
      <c r="AF15" s="925">
        <f t="shared" si="8"/>
        <v>1.8749999999999999E-3</v>
      </c>
      <c r="AG15" s="925">
        <f t="shared" si="8"/>
        <v>9.3749999999999997E-4</v>
      </c>
      <c r="AH15" s="925">
        <f t="shared" si="8"/>
        <v>4.6874999999999998E-4</v>
      </c>
      <c r="AI15" s="925">
        <f t="shared" si="8"/>
        <v>2.3437499999999999E-4</v>
      </c>
      <c r="AJ15" s="925">
        <f t="shared" si="8"/>
        <v>1.171875E-4</v>
      </c>
      <c r="AK15" s="925">
        <f t="shared" si="8"/>
        <v>5.8593749999999998E-5</v>
      </c>
      <c r="AL15" s="925">
        <f t="shared" si="8"/>
        <v>2.9296874999999999E-5</v>
      </c>
      <c r="AM15" s="925">
        <f t="shared" si="8"/>
        <v>1.4648437499999999E-5</v>
      </c>
      <c r="AN15" s="925">
        <f t="shared" si="8"/>
        <v>7.3242187499999997E-6</v>
      </c>
      <c r="AO15" s="925">
        <f t="shared" si="8"/>
        <v>3.6621093749999999E-6</v>
      </c>
      <c r="AP15" s="925">
        <f t="shared" si="8"/>
        <v>1.8310546874999999E-6</v>
      </c>
      <c r="AQ15" s="925">
        <f t="shared" si="8"/>
        <v>9.1552734374999997E-7</v>
      </c>
      <c r="AR15" s="925">
        <f t="shared" si="8"/>
        <v>4.5776367187499998E-7</v>
      </c>
      <c r="AS15" s="925">
        <f t="shared" si="8"/>
        <v>2.2888183593749999E-7</v>
      </c>
      <c r="AT15" s="925">
        <f t="shared" si="8"/>
        <v>1.1444091796875E-7</v>
      </c>
      <c r="AU15" s="925">
        <f t="shared" si="8"/>
        <v>5.7220458984374998E-8</v>
      </c>
      <c r="AV15" s="925">
        <f t="shared" si="8"/>
        <v>2.8610229492187499E-8</v>
      </c>
      <c r="AW15" s="925">
        <f t="shared" si="8"/>
        <v>1.4305114746093749E-8</v>
      </c>
      <c r="AX15" s="925">
        <f t="shared" si="8"/>
        <v>7.1525573730468747E-9</v>
      </c>
      <c r="AY15" s="925">
        <f t="shared" si="8"/>
        <v>3.5762786865234374E-9</v>
      </c>
      <c r="AZ15" s="925">
        <f t="shared" si="8"/>
        <v>1.7881393432617187E-9</v>
      </c>
      <c r="BA15" s="925">
        <f t="shared" si="8"/>
        <v>8.9406967163085934E-10</v>
      </c>
      <c r="BB15" s="925">
        <f t="shared" si="8"/>
        <v>4.4703483581542967E-10</v>
      </c>
    </row>
    <row r="16" spans="1:56" s="851" customFormat="1" x14ac:dyDescent="0.25">
      <c r="A16" s="806"/>
      <c r="B16" s="844" t="s">
        <v>467</v>
      </c>
      <c r="C16" s="844"/>
      <c r="D16" s="844"/>
      <c r="E16" s="844"/>
      <c r="F16" s="844"/>
      <c r="G16" s="846"/>
      <c r="H16" s="869"/>
      <c r="I16" s="869"/>
      <c r="J16" s="869"/>
      <c r="K16" s="869"/>
      <c r="L16" s="869">
        <f>L11/K11-1</f>
        <v>6.0067007019782848E-2</v>
      </c>
      <c r="M16" s="869">
        <f t="shared" ref="M16:BB16" si="9">M11/L11-1</f>
        <v>0.35578297840319095</v>
      </c>
      <c r="N16" s="869">
        <f t="shared" si="9"/>
        <v>-0.34023422323361274</v>
      </c>
      <c r="O16" s="869">
        <f t="shared" si="9"/>
        <v>-8.5892151089425495E-2</v>
      </c>
      <c r="P16" s="870">
        <f t="shared" si="9"/>
        <v>2.3816491809313454</v>
      </c>
      <c r="Q16" s="1286">
        <f t="shared" si="9"/>
        <v>-0.5844015058738149</v>
      </c>
      <c r="R16" s="1286">
        <f t="shared" si="9"/>
        <v>0.26097905764137996</v>
      </c>
      <c r="S16" s="1147">
        <f t="shared" si="9"/>
        <v>0.18881352826881903</v>
      </c>
      <c r="T16" s="1147">
        <f t="shared" si="9"/>
        <v>9.7150181431657323E-2</v>
      </c>
      <c r="U16" s="1147">
        <f t="shared" si="9"/>
        <v>5.0688330488744437E-2</v>
      </c>
      <c r="V16" s="1147">
        <f t="shared" si="9"/>
        <v>5.0694430781133448E-2</v>
      </c>
      <c r="W16" s="1147">
        <f t="shared" si="9"/>
        <v>5.0700581069468731E-2</v>
      </c>
      <c r="X16" s="1147">
        <f t="shared" si="9"/>
        <v>3.0000000000000027E-2</v>
      </c>
      <c r="Y16" s="1147">
        <f t="shared" si="9"/>
        <v>3.0000000000000027E-2</v>
      </c>
      <c r="Z16" s="1147">
        <f t="shared" si="9"/>
        <v>2.9999999999999805E-2</v>
      </c>
      <c r="AA16" s="1147">
        <f t="shared" si="9"/>
        <v>3.0000000000000249E-2</v>
      </c>
      <c r="AB16" s="1147">
        <f t="shared" si="9"/>
        <v>3.0000000000000027E-2</v>
      </c>
      <c r="AC16" s="869">
        <f t="shared" si="9"/>
        <v>-1</v>
      </c>
      <c r="AD16" s="869" t="e">
        <f t="shared" si="9"/>
        <v>#DIV/0!</v>
      </c>
      <c r="AE16" s="869" t="e">
        <f t="shared" si="9"/>
        <v>#DIV/0!</v>
      </c>
      <c r="AF16" s="869" t="e">
        <f t="shared" si="9"/>
        <v>#DIV/0!</v>
      </c>
      <c r="AG16" s="869" t="e">
        <f t="shared" si="9"/>
        <v>#DIV/0!</v>
      </c>
      <c r="AH16" s="869" t="e">
        <f t="shared" si="9"/>
        <v>#DIV/0!</v>
      </c>
      <c r="AI16" s="869" t="e">
        <f t="shared" si="9"/>
        <v>#DIV/0!</v>
      </c>
      <c r="AJ16" s="869" t="e">
        <f t="shared" si="9"/>
        <v>#DIV/0!</v>
      </c>
      <c r="AK16" s="869" t="e">
        <f t="shared" si="9"/>
        <v>#DIV/0!</v>
      </c>
      <c r="AL16" s="869" t="e">
        <f t="shared" si="9"/>
        <v>#DIV/0!</v>
      </c>
      <c r="AM16" s="869" t="e">
        <f t="shared" si="9"/>
        <v>#DIV/0!</v>
      </c>
      <c r="AN16" s="869" t="e">
        <f t="shared" si="9"/>
        <v>#DIV/0!</v>
      </c>
      <c r="AO16" s="869" t="e">
        <f t="shared" si="9"/>
        <v>#DIV/0!</v>
      </c>
      <c r="AP16" s="869" t="e">
        <f t="shared" si="9"/>
        <v>#DIV/0!</v>
      </c>
      <c r="AQ16" s="869" t="e">
        <f t="shared" si="9"/>
        <v>#DIV/0!</v>
      </c>
      <c r="AR16" s="869" t="e">
        <f t="shared" si="9"/>
        <v>#DIV/0!</v>
      </c>
      <c r="AS16" s="869" t="e">
        <f t="shared" si="9"/>
        <v>#DIV/0!</v>
      </c>
      <c r="AT16" s="869" t="e">
        <f t="shared" si="9"/>
        <v>#DIV/0!</v>
      </c>
      <c r="AU16" s="869" t="e">
        <f t="shared" si="9"/>
        <v>#DIV/0!</v>
      </c>
      <c r="AV16" s="869" t="e">
        <f t="shared" si="9"/>
        <v>#DIV/0!</v>
      </c>
      <c r="AW16" s="869" t="e">
        <f t="shared" si="9"/>
        <v>#DIV/0!</v>
      </c>
      <c r="AX16" s="869" t="e">
        <f t="shared" si="9"/>
        <v>#DIV/0!</v>
      </c>
      <c r="AY16" s="869" t="e">
        <f t="shared" si="9"/>
        <v>#DIV/0!</v>
      </c>
      <c r="AZ16" s="869" t="e">
        <f t="shared" si="9"/>
        <v>#DIV/0!</v>
      </c>
      <c r="BA16" s="869" t="e">
        <f t="shared" si="9"/>
        <v>#DIV/0!</v>
      </c>
      <c r="BB16" s="869" t="e">
        <f t="shared" si="9"/>
        <v>#DIV/0!</v>
      </c>
    </row>
    <row r="17" spans="1:54" s="860" customFormat="1" x14ac:dyDescent="0.25">
      <c r="A17" s="859"/>
      <c r="J17" s="861"/>
      <c r="K17" s="861"/>
      <c r="L17" s="861"/>
      <c r="M17" s="861"/>
      <c r="N17" s="861"/>
      <c r="O17" s="861"/>
      <c r="P17" s="872"/>
      <c r="Q17" s="1292"/>
      <c r="R17" s="1292"/>
      <c r="S17" s="1292"/>
      <c r="T17" s="1292"/>
      <c r="U17" s="1292"/>
      <c r="V17" s="1292"/>
      <c r="W17" s="1292"/>
      <c r="X17" s="1292"/>
      <c r="Y17" s="1292"/>
      <c r="Z17" s="1292"/>
      <c r="AA17" s="1292"/>
      <c r="AB17" s="1292"/>
      <c r="AC17" s="1116"/>
      <c r="AD17" s="1116"/>
      <c r="AE17" s="1116"/>
      <c r="AF17" s="1116"/>
      <c r="AG17" s="1116"/>
      <c r="AH17" s="1116"/>
      <c r="AI17" s="1116"/>
      <c r="AJ17" s="1116"/>
      <c r="AK17" s="861"/>
      <c r="AL17" s="861"/>
      <c r="AM17" s="861"/>
      <c r="AN17" s="861"/>
      <c r="AO17" s="861"/>
      <c r="AP17" s="861"/>
      <c r="AQ17" s="861"/>
      <c r="AR17" s="861"/>
      <c r="AS17" s="861"/>
      <c r="AT17" s="861"/>
      <c r="AU17" s="861"/>
      <c r="AV17" s="861"/>
      <c r="AW17" s="861"/>
      <c r="AX17" s="861"/>
      <c r="AY17" s="861"/>
      <c r="AZ17" s="861"/>
      <c r="BA17" s="861"/>
      <c r="BB17" s="861"/>
    </row>
    <row r="18" spans="1:54" s="860" customFormat="1" x14ac:dyDescent="0.25">
      <c r="A18" s="859"/>
      <c r="B18" s="891"/>
      <c r="C18" s="891"/>
      <c r="D18" s="891"/>
      <c r="E18" s="891"/>
      <c r="F18" s="891"/>
      <c r="G18" s="891"/>
      <c r="H18" s="891"/>
      <c r="I18" s="892"/>
      <c r="J18" s="892"/>
      <c r="K18" s="892"/>
      <c r="L18" s="892"/>
      <c r="M18" s="892"/>
      <c r="N18" s="1121"/>
      <c r="O18" s="1121"/>
      <c r="P18" s="893"/>
      <c r="Q18" s="1302"/>
      <c r="R18" s="1302"/>
      <c r="S18" s="1302"/>
      <c r="T18" s="1302"/>
      <c r="U18" s="1302"/>
      <c r="V18" s="1302"/>
      <c r="W18" s="1302"/>
      <c r="X18" s="1302"/>
      <c r="Y18" s="1302"/>
      <c r="Z18" s="1302"/>
      <c r="AA18" s="1302"/>
      <c r="AB18" s="1302"/>
      <c r="AC18" s="971"/>
      <c r="AD18" s="971"/>
      <c r="AE18" s="971"/>
      <c r="AF18" s="971"/>
      <c r="AG18" s="971"/>
      <c r="AH18" s="971"/>
      <c r="AI18" s="971"/>
      <c r="AJ18" s="971"/>
      <c r="AK18" s="892"/>
      <c r="AL18" s="892"/>
      <c r="AM18" s="892"/>
      <c r="AN18" s="892"/>
      <c r="AO18" s="892"/>
      <c r="AP18" s="892"/>
      <c r="AQ18" s="892"/>
      <c r="AR18" s="892"/>
      <c r="AS18" s="892"/>
      <c r="AT18" s="892"/>
      <c r="AU18" s="892"/>
      <c r="AV18" s="892"/>
      <c r="AW18" s="892"/>
      <c r="AX18" s="892"/>
      <c r="AY18" s="892"/>
      <c r="AZ18" s="892"/>
      <c r="BA18" s="892"/>
      <c r="BB18" s="892"/>
    </row>
    <row r="19" spans="1:54" ht="14.25" customHeight="1" x14ac:dyDescent="0.25">
      <c r="A19" s="817">
        <v>3</v>
      </c>
      <c r="B19" s="824" t="s">
        <v>1462</v>
      </c>
      <c r="C19" s="965"/>
      <c r="D19" s="965"/>
      <c r="E19" s="965"/>
      <c r="F19" s="965"/>
      <c r="G19" s="965"/>
      <c r="H19" s="965"/>
      <c r="I19" s="966"/>
      <c r="J19" s="966"/>
      <c r="K19" s="966"/>
      <c r="L19" s="966"/>
      <c r="M19" s="966"/>
      <c r="N19" s="1121"/>
      <c r="O19" s="966"/>
      <c r="P19" s="968"/>
      <c r="Q19" s="1303"/>
      <c r="R19" s="1303"/>
      <c r="S19" s="1303"/>
      <c r="T19" s="1303"/>
      <c r="U19" s="1303"/>
      <c r="V19" s="1303"/>
      <c r="W19" s="1303"/>
      <c r="X19" s="1303"/>
      <c r="Y19" s="1303"/>
      <c r="Z19" s="1303"/>
      <c r="AA19" s="1303"/>
      <c r="AB19" s="1303"/>
      <c r="AC19" s="1122"/>
      <c r="AD19" s="1122"/>
      <c r="AE19" s="1122"/>
      <c r="AF19" s="1122"/>
      <c r="AG19" s="1122"/>
      <c r="AH19" s="1122"/>
      <c r="AI19" s="1122"/>
      <c r="AJ19" s="1122"/>
      <c r="AK19" s="966"/>
      <c r="AL19" s="966"/>
      <c r="AM19" s="966"/>
      <c r="AN19" s="966"/>
      <c r="AO19" s="966"/>
      <c r="AP19" s="966"/>
      <c r="AQ19" s="966"/>
      <c r="AR19" s="966"/>
      <c r="AS19" s="966"/>
      <c r="AT19" s="966"/>
      <c r="AU19" s="966"/>
      <c r="AV19" s="966"/>
      <c r="AW19" s="966"/>
      <c r="AX19" s="966"/>
      <c r="AY19" s="966"/>
      <c r="AZ19" s="966"/>
      <c r="BA19" s="966"/>
      <c r="BB19" s="966"/>
    </row>
    <row r="20" spans="1:54" s="851" customFormat="1" ht="14.25" customHeight="1" x14ac:dyDescent="0.25">
      <c r="A20" s="806"/>
      <c r="B20" s="828" t="s">
        <v>1487</v>
      </c>
      <c r="I20" s="900"/>
      <c r="J20" s="900"/>
      <c r="K20" s="900"/>
      <c r="L20" s="900"/>
      <c r="M20" s="900"/>
      <c r="N20" s="900"/>
      <c r="O20" s="900"/>
      <c r="P20" s="939"/>
      <c r="Q20" s="1304"/>
      <c r="R20" s="1304"/>
      <c r="S20" s="1304"/>
      <c r="T20" s="1304"/>
      <c r="U20" s="1304"/>
      <c r="V20" s="1304"/>
      <c r="W20" s="1304"/>
      <c r="X20" s="1304"/>
      <c r="Y20" s="1304"/>
      <c r="Z20" s="1304"/>
      <c r="AA20" s="1304"/>
      <c r="AB20" s="1304"/>
      <c r="AC20" s="918"/>
      <c r="AD20" s="918"/>
      <c r="AE20" s="918">
        <v>0</v>
      </c>
      <c r="AF20" s="918">
        <v>0</v>
      </c>
      <c r="AG20" s="918">
        <v>0</v>
      </c>
      <c r="AH20" s="918">
        <v>0</v>
      </c>
      <c r="AI20" s="918">
        <v>0</v>
      </c>
      <c r="AJ20" s="918">
        <v>0</v>
      </c>
      <c r="AK20" s="918">
        <v>0</v>
      </c>
      <c r="AL20" s="918">
        <v>0</v>
      </c>
      <c r="AM20" s="918">
        <v>0</v>
      </c>
      <c r="AN20" s="918">
        <v>0</v>
      </c>
      <c r="AO20" s="918">
        <v>0</v>
      </c>
      <c r="AP20" s="918">
        <v>0</v>
      </c>
      <c r="AQ20" s="918">
        <v>0</v>
      </c>
      <c r="AR20" s="918">
        <v>0</v>
      </c>
      <c r="AS20" s="918">
        <v>0</v>
      </c>
      <c r="AT20" s="918">
        <v>0</v>
      </c>
      <c r="AU20" s="918">
        <v>0</v>
      </c>
      <c r="AV20" s="918">
        <v>0</v>
      </c>
      <c r="AW20" s="918">
        <v>0</v>
      </c>
      <c r="AX20" s="918">
        <v>0</v>
      </c>
      <c r="AY20" s="918">
        <v>0</v>
      </c>
      <c r="AZ20" s="918">
        <v>0</v>
      </c>
      <c r="BA20" s="918">
        <v>0</v>
      </c>
      <c r="BB20" s="918">
        <v>0</v>
      </c>
    </row>
    <row r="21" spans="1:54" s="800" customFormat="1" ht="14.25" customHeight="1" x14ac:dyDescent="0.25">
      <c r="A21" s="799"/>
      <c r="B21" s="828" t="s">
        <v>1489</v>
      </c>
      <c r="I21" s="839"/>
      <c r="J21" s="839"/>
      <c r="K21" s="839"/>
      <c r="L21" s="839"/>
      <c r="M21" s="839"/>
      <c r="N21" s="839"/>
      <c r="O21" s="839"/>
      <c r="P21" s="866"/>
      <c r="Q21" s="1305"/>
      <c r="R21" s="1306"/>
      <c r="S21" s="1306"/>
      <c r="T21" s="1307"/>
      <c r="U21" s="1307"/>
      <c r="V21" s="1307"/>
      <c r="W21" s="1307"/>
      <c r="X21" s="1307"/>
      <c r="Y21" s="1307"/>
      <c r="Z21" s="1307"/>
      <c r="AA21" s="1307"/>
      <c r="AB21" s="1307"/>
      <c r="AC21" s="1123"/>
      <c r="AD21" s="1123"/>
      <c r="AE21" s="1123"/>
      <c r="AF21" s="1123"/>
      <c r="AG21" s="1123"/>
      <c r="AH21" s="1123"/>
      <c r="AI21" s="1123"/>
      <c r="AJ21" s="1123"/>
      <c r="AK21" s="1123"/>
      <c r="AL21" s="1123"/>
      <c r="AM21" s="1123"/>
      <c r="AN21" s="1123"/>
      <c r="AO21" s="1123"/>
      <c r="AP21" s="1123"/>
      <c r="AQ21" s="1123"/>
      <c r="AR21" s="1123"/>
      <c r="AS21" s="1123"/>
      <c r="AT21" s="1123"/>
      <c r="AU21" s="1123"/>
      <c r="AV21" s="1123"/>
      <c r="AW21" s="1123"/>
      <c r="AX21" s="1123"/>
      <c r="AY21" s="1123"/>
      <c r="AZ21" s="1123"/>
      <c r="BA21" s="1123"/>
      <c r="BB21" s="1123"/>
    </row>
    <row r="22" spans="1:54" s="800" customFormat="1" ht="14.25" customHeight="1" x14ac:dyDescent="0.25">
      <c r="A22" s="969"/>
      <c r="B22" s="845" t="s">
        <v>1473</v>
      </c>
      <c r="C22" s="844"/>
      <c r="D22" s="844"/>
      <c r="E22" s="844"/>
      <c r="F22" s="844"/>
      <c r="G22" s="844"/>
      <c r="H22" s="844"/>
      <c r="I22" s="888"/>
      <c r="J22" s="888"/>
      <c r="K22" s="888"/>
      <c r="L22" s="888"/>
      <c r="M22" s="888"/>
      <c r="N22" s="888"/>
      <c r="O22" s="888"/>
      <c r="P22" s="1074"/>
      <c r="Q22" s="1304"/>
      <c r="R22" s="1304"/>
      <c r="S22" s="1304"/>
      <c r="T22" s="1308"/>
      <c r="U22" s="1308"/>
      <c r="V22" s="1308"/>
      <c r="W22" s="1308"/>
      <c r="X22" s="1308"/>
      <c r="Y22" s="1308"/>
      <c r="Z22" s="1308"/>
      <c r="AA22" s="1308"/>
      <c r="AB22" s="1308"/>
      <c r="AC22" s="896"/>
      <c r="AD22" s="896"/>
      <c r="AE22" s="896"/>
      <c r="AF22" s="896"/>
      <c r="AG22" s="896"/>
      <c r="AH22" s="896"/>
      <c r="AI22" s="896"/>
      <c r="AJ22" s="896"/>
      <c r="AK22" s="896"/>
      <c r="AL22" s="896"/>
      <c r="AM22" s="896"/>
      <c r="AN22" s="896"/>
      <c r="AO22" s="896"/>
      <c r="AP22" s="896"/>
      <c r="AQ22" s="896"/>
      <c r="AR22" s="896"/>
      <c r="AS22" s="896"/>
      <c r="AT22" s="896"/>
      <c r="AU22" s="896"/>
      <c r="AV22" s="896"/>
      <c r="AW22" s="896"/>
      <c r="AX22" s="896"/>
      <c r="AY22" s="896"/>
      <c r="AZ22" s="896"/>
      <c r="BA22" s="896"/>
      <c r="BB22" s="896"/>
    </row>
    <row r="23" spans="1:54" ht="14.25" customHeight="1" x14ac:dyDescent="0.25">
      <c r="B23" s="965"/>
      <c r="C23" s="965"/>
      <c r="D23" s="965"/>
      <c r="E23" s="965"/>
      <c r="F23" s="965"/>
      <c r="G23" s="965"/>
      <c r="H23" s="965"/>
      <c r="I23" s="966"/>
      <c r="J23" s="966"/>
      <c r="K23" s="966"/>
      <c r="L23" s="966"/>
      <c r="M23" s="966"/>
      <c r="N23" s="966"/>
      <c r="O23" s="966"/>
      <c r="P23" s="968"/>
      <c r="Q23" s="1303"/>
      <c r="R23" s="1303"/>
      <c r="S23" s="1303"/>
      <c r="T23" s="1303"/>
      <c r="U23" s="1303"/>
      <c r="V23" s="1303"/>
      <c r="W23" s="1303"/>
      <c r="X23" s="1303"/>
      <c r="Y23" s="1303"/>
      <c r="Z23" s="1303"/>
      <c r="AA23" s="1303"/>
      <c r="AB23" s="1303"/>
      <c r="AC23" s="1122"/>
      <c r="AD23" s="1122"/>
      <c r="AE23" s="1122"/>
      <c r="AF23" s="1122"/>
      <c r="AG23" s="1122"/>
      <c r="AH23" s="1122"/>
      <c r="AI23" s="1122"/>
      <c r="AJ23" s="1122"/>
      <c r="AK23" s="966"/>
      <c r="AL23" s="966"/>
      <c r="AM23" s="966"/>
      <c r="AN23" s="966"/>
      <c r="AO23" s="966"/>
      <c r="AP23" s="966"/>
      <c r="AQ23" s="966"/>
      <c r="AR23" s="966"/>
      <c r="AS23" s="966"/>
      <c r="AT23" s="966"/>
      <c r="AU23" s="966"/>
      <c r="AV23" s="966"/>
      <c r="AW23" s="966"/>
      <c r="AX23" s="966"/>
      <c r="AY23" s="966"/>
      <c r="AZ23" s="966"/>
      <c r="BA23" s="966"/>
      <c r="BB23" s="966"/>
    </row>
    <row r="24" spans="1:54" ht="14.25" customHeight="1" x14ac:dyDescent="0.25">
      <c r="A24" s="817">
        <v>4</v>
      </c>
      <c r="B24" s="824" t="s">
        <v>1490</v>
      </c>
      <c r="C24" s="965"/>
      <c r="D24" s="965"/>
      <c r="E24" s="965"/>
      <c r="F24" s="965"/>
      <c r="G24" s="965"/>
      <c r="H24" s="965"/>
      <c r="I24" s="966"/>
      <c r="J24" s="966"/>
      <c r="K24" s="966"/>
      <c r="L24" s="966"/>
      <c r="M24" s="966"/>
      <c r="N24" s="966"/>
      <c r="O24" s="966"/>
      <c r="P24" s="968"/>
      <c r="Q24" s="1303"/>
      <c r="R24" s="1303"/>
      <c r="S24" s="1303"/>
      <c r="T24" s="1303"/>
      <c r="U24" s="1303"/>
      <c r="V24" s="1303"/>
      <c r="W24" s="1303"/>
      <c r="X24" s="1303"/>
      <c r="Y24" s="1303"/>
      <c r="Z24" s="1303"/>
      <c r="AA24" s="1303"/>
      <c r="AB24" s="1303"/>
      <c r="AC24" s="1122"/>
      <c r="AD24" s="1122"/>
      <c r="AE24" s="1122"/>
      <c r="AF24" s="1122"/>
      <c r="AG24" s="1122"/>
      <c r="AH24" s="1122"/>
      <c r="AI24" s="1122"/>
      <c r="AJ24" s="1122"/>
      <c r="AK24" s="966"/>
      <c r="AL24" s="966"/>
      <c r="AM24" s="966"/>
      <c r="AN24" s="966"/>
      <c r="AO24" s="966"/>
      <c r="AP24" s="966"/>
      <c r="AQ24" s="966"/>
      <c r="AR24" s="966"/>
      <c r="AS24" s="966"/>
      <c r="AT24" s="966"/>
      <c r="AU24" s="966"/>
      <c r="AV24" s="966"/>
      <c r="AW24" s="966"/>
      <c r="AX24" s="966"/>
      <c r="AY24" s="966"/>
      <c r="AZ24" s="966"/>
      <c r="BA24" s="966"/>
      <c r="BB24" s="966"/>
    </row>
    <row r="25" spans="1:54" s="851" customFormat="1" ht="14.25" customHeight="1" x14ac:dyDescent="0.25">
      <c r="A25" s="806"/>
      <c r="B25" s="828" t="s">
        <v>1487</v>
      </c>
      <c r="I25" s="900"/>
      <c r="J25" s="900"/>
      <c r="K25" s="900"/>
      <c r="L25" s="900"/>
      <c r="M25" s="900"/>
      <c r="N25" s="900"/>
      <c r="O25" s="975"/>
      <c r="P25" s="976"/>
      <c r="Q25" s="1309"/>
      <c r="R25" s="1309"/>
      <c r="S25" s="1309"/>
      <c r="T25" s="1309"/>
      <c r="U25" s="1309"/>
      <c r="V25" s="1309"/>
      <c r="W25" s="1309"/>
      <c r="X25" s="1309"/>
      <c r="Y25" s="1309"/>
      <c r="Z25" s="1309"/>
      <c r="AA25" s="1309"/>
      <c r="AB25" s="1309"/>
      <c r="AC25" s="977"/>
      <c r="AD25" s="977"/>
      <c r="AE25" s="977"/>
      <c r="AF25" s="977"/>
      <c r="AG25" s="977"/>
      <c r="AH25" s="977"/>
      <c r="AI25" s="977"/>
      <c r="AJ25" s="977"/>
      <c r="AK25" s="977"/>
      <c r="AL25" s="977"/>
      <c r="AM25" s="977"/>
      <c r="AN25" s="977"/>
      <c r="AO25" s="977"/>
      <c r="AP25" s="977"/>
      <c r="AQ25" s="977"/>
      <c r="AR25" s="977"/>
      <c r="AS25" s="977"/>
      <c r="AT25" s="977"/>
      <c r="AU25" s="977"/>
      <c r="AV25" s="977"/>
      <c r="AW25" s="977"/>
      <c r="AX25" s="977"/>
      <c r="AY25" s="977"/>
      <c r="AZ25" s="977"/>
      <c r="BA25" s="977"/>
      <c r="BB25" s="977"/>
    </row>
    <row r="26" spans="1:54" s="800" customFormat="1" ht="14.25" customHeight="1" x14ac:dyDescent="0.25">
      <c r="A26" s="799"/>
      <c r="B26" s="828" t="s">
        <v>1489</v>
      </c>
      <c r="I26" s="839"/>
      <c r="J26" s="839"/>
      <c r="K26" s="839"/>
      <c r="L26" s="839"/>
      <c r="M26" s="839"/>
      <c r="N26" s="839"/>
      <c r="O26" s="978"/>
      <c r="P26" s="979"/>
      <c r="Q26" s="1310"/>
      <c r="R26" s="1311"/>
      <c r="S26" s="1312"/>
      <c r="T26" s="1312"/>
      <c r="U26" s="1312"/>
      <c r="V26" s="1312"/>
      <c r="W26" s="1312"/>
      <c r="X26" s="1312"/>
      <c r="Y26" s="1312"/>
      <c r="Z26" s="1312"/>
      <c r="AA26" s="1312"/>
      <c r="AB26" s="1312"/>
      <c r="AC26" s="980"/>
      <c r="AD26" s="980"/>
      <c r="AE26" s="980"/>
      <c r="AF26" s="980"/>
      <c r="AG26" s="980"/>
      <c r="AH26" s="980"/>
      <c r="AI26" s="980"/>
      <c r="AJ26" s="980"/>
      <c r="AK26" s="980"/>
      <c r="AL26" s="980"/>
      <c r="AM26" s="980"/>
      <c r="AN26" s="980"/>
      <c r="AO26" s="980"/>
      <c r="AP26" s="980"/>
      <c r="AQ26" s="980"/>
      <c r="AR26" s="980"/>
      <c r="AS26" s="980"/>
      <c r="AT26" s="980"/>
      <c r="AU26" s="980"/>
      <c r="AV26" s="980"/>
      <c r="AW26" s="980"/>
      <c r="AX26" s="980"/>
      <c r="AY26" s="980"/>
      <c r="AZ26" s="980"/>
      <c r="BA26" s="980"/>
      <c r="BB26" s="980"/>
    </row>
    <row r="27" spans="1:54" s="800" customFormat="1" ht="14.25" customHeight="1" x14ac:dyDescent="0.25">
      <c r="A27" s="969"/>
      <c r="B27" s="845" t="s">
        <v>1473</v>
      </c>
      <c r="C27" s="844"/>
      <c r="D27" s="844"/>
      <c r="E27" s="844"/>
      <c r="F27" s="844"/>
      <c r="G27" s="844"/>
      <c r="H27" s="844"/>
      <c r="I27" s="888"/>
      <c r="J27" s="888"/>
      <c r="K27" s="888"/>
      <c r="L27" s="888"/>
      <c r="M27" s="888"/>
      <c r="N27" s="888"/>
      <c r="O27" s="888"/>
      <c r="P27" s="1074"/>
      <c r="Q27" s="1304"/>
      <c r="R27" s="1304"/>
      <c r="S27" s="1308"/>
      <c r="T27" s="1308"/>
      <c r="U27" s="1308"/>
      <c r="V27" s="1308"/>
      <c r="W27" s="1308"/>
      <c r="X27" s="1308"/>
      <c r="Y27" s="1308"/>
      <c r="Z27" s="1308"/>
      <c r="AA27" s="1308"/>
      <c r="AB27" s="1308"/>
      <c r="AC27" s="896"/>
      <c r="AD27" s="896"/>
      <c r="AE27" s="896"/>
      <c r="AF27" s="896"/>
      <c r="AG27" s="896"/>
      <c r="AH27" s="896"/>
      <c r="AI27" s="896"/>
      <c r="AJ27" s="896"/>
      <c r="AK27" s="896"/>
      <c r="AL27" s="896"/>
      <c r="AM27" s="896"/>
      <c r="AN27" s="896"/>
      <c r="AO27" s="896"/>
      <c r="AP27" s="896"/>
      <c r="AQ27" s="896"/>
      <c r="AR27" s="896"/>
      <c r="AS27" s="896"/>
      <c r="AT27" s="896"/>
      <c r="AU27" s="896"/>
      <c r="AV27" s="896"/>
      <c r="AW27" s="896"/>
      <c r="AX27" s="896"/>
      <c r="AY27" s="896"/>
      <c r="AZ27" s="896"/>
      <c r="BA27" s="896"/>
      <c r="BB27" s="896"/>
    </row>
    <row r="28" spans="1:54" ht="14.25" customHeight="1" x14ac:dyDescent="0.25">
      <c r="B28" s="965"/>
      <c r="C28" s="965"/>
      <c r="D28" s="965"/>
      <c r="E28" s="965"/>
      <c r="F28" s="965"/>
      <c r="G28" s="965"/>
      <c r="H28" s="965"/>
      <c r="I28" s="966"/>
      <c r="J28" s="966"/>
      <c r="K28" s="966"/>
      <c r="L28" s="966"/>
      <c r="M28" s="966"/>
      <c r="N28" s="966"/>
      <c r="O28" s="966"/>
      <c r="P28" s="968"/>
      <c r="Q28" s="1303"/>
      <c r="R28" s="1303"/>
      <c r="S28" s="1303"/>
      <c r="T28" s="1303"/>
      <c r="U28" s="1303"/>
      <c r="V28" s="1303"/>
      <c r="W28" s="1303"/>
      <c r="X28" s="1303"/>
      <c r="Y28" s="1303"/>
      <c r="Z28" s="1303"/>
      <c r="AA28" s="1303"/>
      <c r="AB28" s="1303"/>
      <c r="AC28" s="1122"/>
      <c r="AD28" s="1122"/>
      <c r="AE28" s="1122"/>
      <c r="AF28" s="1122"/>
      <c r="AG28" s="1122"/>
      <c r="AH28" s="1122"/>
      <c r="AI28" s="1122"/>
      <c r="AJ28" s="1122"/>
      <c r="AK28" s="966"/>
      <c r="AL28" s="966"/>
      <c r="AM28" s="966"/>
      <c r="AN28" s="966"/>
      <c r="AO28" s="966"/>
      <c r="AP28" s="966"/>
      <c r="AQ28" s="966"/>
      <c r="AR28" s="966"/>
      <c r="AS28" s="966"/>
      <c r="AT28" s="966"/>
      <c r="AU28" s="966"/>
      <c r="AV28" s="966"/>
      <c r="AW28" s="966"/>
      <c r="AX28" s="966"/>
      <c r="AY28" s="966"/>
      <c r="AZ28" s="966"/>
      <c r="BA28" s="966"/>
      <c r="BB28" s="966"/>
    </row>
    <row r="29" spans="1:54" ht="14.25" customHeight="1" x14ac:dyDescent="0.25">
      <c r="B29" s="965"/>
      <c r="C29" s="965"/>
      <c r="D29" s="965"/>
      <c r="E29" s="965"/>
      <c r="F29" s="965"/>
      <c r="G29" s="965"/>
      <c r="H29" s="965"/>
      <c r="I29" s="966"/>
      <c r="J29" s="966"/>
      <c r="K29" s="966"/>
      <c r="L29" s="966"/>
      <c r="M29" s="966"/>
      <c r="N29" s="966"/>
      <c r="O29" s="966"/>
      <c r="P29" s="968"/>
      <c r="Q29" s="1303"/>
      <c r="R29" s="1303"/>
      <c r="S29" s="1303"/>
      <c r="T29" s="1303"/>
      <c r="U29" s="1303"/>
      <c r="V29" s="1303"/>
      <c r="W29" s="1303"/>
      <c r="X29" s="1303"/>
      <c r="Y29" s="1303"/>
      <c r="Z29" s="1303"/>
      <c r="AA29" s="1303"/>
      <c r="AB29" s="1303"/>
      <c r="AC29" s="1122"/>
      <c r="AD29" s="1122"/>
      <c r="AE29" s="1122"/>
      <c r="AF29" s="1122"/>
      <c r="AG29" s="1122"/>
      <c r="AH29" s="1122"/>
      <c r="AI29" s="1122"/>
      <c r="AJ29" s="1122"/>
      <c r="AK29" s="966"/>
      <c r="AL29" s="966"/>
      <c r="AM29" s="966"/>
      <c r="AN29" s="966"/>
      <c r="AO29" s="966"/>
      <c r="AP29" s="966"/>
      <c r="AQ29" s="966"/>
      <c r="AR29" s="966"/>
      <c r="AS29" s="966"/>
      <c r="AT29" s="966"/>
      <c r="AU29" s="966"/>
      <c r="AV29" s="966"/>
      <c r="AW29" s="966"/>
      <c r="AX29" s="966"/>
      <c r="AY29" s="966"/>
      <c r="AZ29" s="966"/>
      <c r="BA29" s="966"/>
      <c r="BB29" s="966"/>
    </row>
    <row r="30" spans="1:54" x14ac:dyDescent="0.25">
      <c r="B30" s="818" t="s">
        <v>1468</v>
      </c>
      <c r="C30" s="819"/>
      <c r="D30" s="819"/>
      <c r="E30" s="819"/>
      <c r="F30" s="819"/>
      <c r="G30" s="819"/>
      <c r="H30" s="819"/>
      <c r="I30" s="819"/>
      <c r="J30" s="819"/>
      <c r="K30" s="819"/>
      <c r="L30" s="819"/>
      <c r="M30" s="819"/>
      <c r="N30" s="819"/>
      <c r="O30" s="819"/>
      <c r="P30" s="820"/>
      <c r="Q30" s="819"/>
      <c r="R30" s="819"/>
      <c r="S30" s="819"/>
      <c r="T30" s="819"/>
      <c r="U30" s="819"/>
      <c r="V30" s="819"/>
      <c r="W30" s="819"/>
      <c r="X30" s="819"/>
      <c r="Y30" s="819"/>
      <c r="Z30" s="819"/>
      <c r="AA30" s="819"/>
      <c r="AB30" s="819"/>
      <c r="AC30" s="819"/>
      <c r="AD30" s="819"/>
      <c r="AE30" s="819"/>
      <c r="AF30" s="819"/>
      <c r="AG30" s="819"/>
      <c r="AH30" s="819"/>
      <c r="AI30" s="819"/>
      <c r="AJ30" s="819"/>
      <c r="AK30" s="819"/>
      <c r="AL30" s="819"/>
      <c r="AM30" s="819"/>
      <c r="AN30" s="819"/>
      <c r="AO30" s="819"/>
      <c r="AP30" s="819"/>
      <c r="AQ30" s="819"/>
      <c r="AR30" s="819"/>
      <c r="AS30" s="819"/>
      <c r="AT30" s="819"/>
      <c r="AU30" s="819"/>
      <c r="AV30" s="819"/>
      <c r="AW30" s="819"/>
      <c r="AX30" s="819"/>
      <c r="AY30" s="819"/>
      <c r="AZ30" s="819"/>
      <c r="BA30" s="819"/>
      <c r="BB30" s="819"/>
    </row>
    <row r="31" spans="1:54" x14ac:dyDescent="0.25">
      <c r="B31" s="981"/>
      <c r="M31" s="884"/>
      <c r="N31" s="884"/>
      <c r="O31" s="821"/>
      <c r="P31" s="822"/>
      <c r="Q31" s="821"/>
      <c r="R31" s="821"/>
      <c r="S31" s="821"/>
    </row>
    <row r="32" spans="1:54" x14ac:dyDescent="0.25">
      <c r="A32" s="817">
        <v>1</v>
      </c>
      <c r="B32" s="824" t="s">
        <v>1468</v>
      </c>
      <c r="N32" s="821"/>
      <c r="O32" s="821"/>
      <c r="P32" s="822"/>
      <c r="Q32" s="821"/>
      <c r="R32" s="821"/>
      <c r="S32" s="821"/>
    </row>
    <row r="33" spans="1:54" s="922" customFormat="1" x14ac:dyDescent="0.25">
      <c r="A33" s="987"/>
      <c r="B33" s="828" t="s">
        <v>1487</v>
      </c>
      <c r="J33" s="1124">
        <f>'IS Raw'!J23</f>
        <v>88.907277527000005</v>
      </c>
      <c r="K33" s="1124">
        <f>'IS Raw'!K23</f>
        <v>108.55258259199999</v>
      </c>
      <c r="L33" s="1124">
        <f>'IS Raw'!L23</f>
        <v>113.705584153</v>
      </c>
      <c r="M33" s="1124">
        <f>'IS Raw'!M23</f>
        <v>179.611550403</v>
      </c>
      <c r="N33" s="1124">
        <f>'IS Raw'!N23</f>
        <v>104.470083816</v>
      </c>
      <c r="O33" s="1124">
        <f>'IS Raw'!O23</f>
        <v>83.476642029999994</v>
      </c>
      <c r="P33" s="1125">
        <f>'IS Raw'!P23</f>
        <v>323.75084307200001</v>
      </c>
      <c r="Q33" s="1322">
        <f>Q9-Q51</f>
        <v>133.90560553858373</v>
      </c>
      <c r="R33" s="1322">
        <f>R9-R51</f>
        <v>170.70077940918316</v>
      </c>
      <c r="S33" s="1322">
        <f t="shared" ref="S33:BB33" si="10">S9-S51</f>
        <v>204.8409352910198</v>
      </c>
      <c r="T33" s="1322">
        <f t="shared" si="10"/>
        <v>225.32502882012179</v>
      </c>
      <c r="U33" s="1322">
        <f t="shared" si="10"/>
        <v>236.59128026112791</v>
      </c>
      <c r="V33" s="1322">
        <f t="shared" si="10"/>
        <v>248.4208442741843</v>
      </c>
      <c r="W33" s="1322">
        <f t="shared" si="10"/>
        <v>260.84188648789353</v>
      </c>
      <c r="X33" s="1322">
        <f t="shared" si="10"/>
        <v>268.66714308253034</v>
      </c>
      <c r="Y33" s="1322">
        <f t="shared" si="10"/>
        <v>276.72715737500624</v>
      </c>
      <c r="Z33" s="1322">
        <f t="shared" si="10"/>
        <v>285.02897209625644</v>
      </c>
      <c r="AA33" s="1322">
        <f t="shared" si="10"/>
        <v>293.57984125914419</v>
      </c>
      <c r="AB33" s="1322">
        <f t="shared" si="10"/>
        <v>302.38723649691849</v>
      </c>
      <c r="AC33" s="1126">
        <f t="shared" si="10"/>
        <v>313.86398395585405</v>
      </c>
      <c r="AD33" s="1126">
        <f t="shared" si="10"/>
        <v>0</v>
      </c>
      <c r="AE33" s="1126">
        <f t="shared" si="10"/>
        <v>0</v>
      </c>
      <c r="AF33" s="1126">
        <f t="shared" si="10"/>
        <v>0</v>
      </c>
      <c r="AG33" s="1126">
        <f t="shared" si="10"/>
        <v>0</v>
      </c>
      <c r="AH33" s="1126">
        <f t="shared" si="10"/>
        <v>0</v>
      </c>
      <c r="AI33" s="1126">
        <f t="shared" si="10"/>
        <v>0</v>
      </c>
      <c r="AJ33" s="1126">
        <f t="shared" si="10"/>
        <v>0</v>
      </c>
      <c r="AK33" s="1126">
        <f t="shared" si="10"/>
        <v>0</v>
      </c>
      <c r="AL33" s="1126">
        <f t="shared" si="10"/>
        <v>0</v>
      </c>
      <c r="AM33" s="1126">
        <f t="shared" si="10"/>
        <v>0</v>
      </c>
      <c r="AN33" s="1126">
        <f t="shared" si="10"/>
        <v>0</v>
      </c>
      <c r="AO33" s="1126">
        <f t="shared" si="10"/>
        <v>0</v>
      </c>
      <c r="AP33" s="1126">
        <f t="shared" si="10"/>
        <v>0</v>
      </c>
      <c r="AQ33" s="1126">
        <f t="shared" si="10"/>
        <v>0</v>
      </c>
      <c r="AR33" s="1126">
        <f t="shared" si="10"/>
        <v>0</v>
      </c>
      <c r="AS33" s="1126">
        <f t="shared" si="10"/>
        <v>0</v>
      </c>
      <c r="AT33" s="1126">
        <f t="shared" si="10"/>
        <v>0</v>
      </c>
      <c r="AU33" s="1126">
        <f t="shared" si="10"/>
        <v>0</v>
      </c>
      <c r="AV33" s="1126">
        <f t="shared" si="10"/>
        <v>0</v>
      </c>
      <c r="AW33" s="1126">
        <f t="shared" si="10"/>
        <v>0</v>
      </c>
      <c r="AX33" s="1126">
        <f t="shared" si="10"/>
        <v>0</v>
      </c>
      <c r="AY33" s="1126">
        <f t="shared" si="10"/>
        <v>0</v>
      </c>
      <c r="AZ33" s="1126">
        <f t="shared" si="10"/>
        <v>0</v>
      </c>
      <c r="BA33" s="1126">
        <f t="shared" si="10"/>
        <v>0</v>
      </c>
      <c r="BB33" s="1126">
        <f t="shared" si="10"/>
        <v>0</v>
      </c>
    </row>
    <row r="34" spans="1:54" s="1028" customFormat="1" x14ac:dyDescent="0.25">
      <c r="A34" s="1127"/>
      <c r="B34" s="828" t="s">
        <v>1489</v>
      </c>
      <c r="J34" s="1124">
        <f>'IS Raw'!J24</f>
        <v>9.7459407500000008</v>
      </c>
      <c r="K34" s="1124">
        <f>'IS Raw'!K24</f>
        <v>13.851407195</v>
      </c>
      <c r="L34" s="1124">
        <f>'IS Raw'!L24</f>
        <v>16.553434029000002</v>
      </c>
      <c r="M34" s="1124">
        <f>'IS Raw'!M24</f>
        <v>10.963882592999999</v>
      </c>
      <c r="N34" s="1124">
        <f>'IS Raw'!N24</f>
        <v>13.890400469999999</v>
      </c>
      <c r="O34" s="1124">
        <f>'IS Raw'!O24</f>
        <v>13.015024220999999</v>
      </c>
      <c r="P34" s="1136">
        <f>'IS Raw'!P24</f>
        <v>14.315667614000001</v>
      </c>
      <c r="Q34" s="1323">
        <f>Q10-Q52</f>
        <v>13.637797672181655</v>
      </c>
      <c r="R34" s="1323">
        <f>R10-R52</f>
        <v>15.290229093662237</v>
      </c>
      <c r="S34" s="1322">
        <f t="shared" ref="S34:AC34" si="11">S10-S52</f>
        <v>16.207642839281974</v>
      </c>
      <c r="T34" s="1322">
        <f t="shared" si="11"/>
        <v>17.18010140963889</v>
      </c>
      <c r="U34" s="1322">
        <f t="shared" si="11"/>
        <v>18.210907494217224</v>
      </c>
      <c r="V34" s="1322">
        <f t="shared" si="11"/>
        <v>19.303561943870257</v>
      </c>
      <c r="W34" s="1322">
        <f t="shared" si="11"/>
        <v>20.461775660502475</v>
      </c>
      <c r="X34" s="1322">
        <f t="shared" si="11"/>
        <v>21.075628930317549</v>
      </c>
      <c r="Y34" s="1322">
        <f t="shared" si="11"/>
        <v>21.707897798227076</v>
      </c>
      <c r="Z34" s="1322">
        <f t="shared" si="11"/>
        <v>22.359134732173892</v>
      </c>
      <c r="AA34" s="1322">
        <f t="shared" si="11"/>
        <v>23.029908774139109</v>
      </c>
      <c r="AB34" s="1322">
        <f t="shared" si="11"/>
        <v>23.720806037363282</v>
      </c>
      <c r="AC34" s="1126">
        <f t="shared" si="11"/>
        <v>0</v>
      </c>
      <c r="AD34" s="991">
        <v>0</v>
      </c>
      <c r="AE34" s="991">
        <v>0</v>
      </c>
      <c r="AF34" s="991">
        <v>0</v>
      </c>
      <c r="AG34" s="991">
        <v>0</v>
      </c>
      <c r="AH34" s="991">
        <v>0</v>
      </c>
      <c r="AI34" s="991">
        <v>0</v>
      </c>
      <c r="AJ34" s="991">
        <v>0</v>
      </c>
      <c r="AK34" s="991">
        <v>0</v>
      </c>
      <c r="AL34" s="991">
        <v>0</v>
      </c>
      <c r="AM34" s="991">
        <v>0</v>
      </c>
      <c r="AN34" s="991">
        <v>0</v>
      </c>
      <c r="AO34" s="991">
        <v>0</v>
      </c>
      <c r="AP34" s="991">
        <v>0</v>
      </c>
      <c r="AQ34" s="991">
        <v>0</v>
      </c>
      <c r="AR34" s="991">
        <v>0</v>
      </c>
      <c r="AS34" s="991">
        <v>0</v>
      </c>
      <c r="AT34" s="991">
        <v>0</v>
      </c>
      <c r="AU34" s="991">
        <v>0</v>
      </c>
      <c r="AV34" s="991">
        <v>0</v>
      </c>
      <c r="AW34" s="991">
        <v>0</v>
      </c>
      <c r="AX34" s="991">
        <v>0</v>
      </c>
      <c r="AY34" s="991">
        <v>0</v>
      </c>
      <c r="AZ34" s="991">
        <v>0</v>
      </c>
      <c r="BA34" s="991">
        <v>0</v>
      </c>
      <c r="BB34" s="991">
        <v>0</v>
      </c>
    </row>
    <row r="35" spans="1:54" s="901" customFormat="1" x14ac:dyDescent="0.25">
      <c r="A35" s="983"/>
      <c r="B35" s="844" t="s">
        <v>1473</v>
      </c>
      <c r="C35" s="992"/>
      <c r="D35" s="992"/>
      <c r="E35" s="992"/>
      <c r="F35" s="992"/>
      <c r="G35" s="992"/>
      <c r="H35" s="992"/>
      <c r="I35" s="992"/>
      <c r="J35" s="1114">
        <f>J33+J34</f>
        <v>98.653218277000008</v>
      </c>
      <c r="K35" s="1114">
        <f>K33+K34</f>
        <v>122.403989787</v>
      </c>
      <c r="L35" s="1114">
        <f t="shared" ref="L35:Q35" si="12">L33+L34</f>
        <v>130.25901818200001</v>
      </c>
      <c r="M35" s="1114">
        <f t="shared" si="12"/>
        <v>190.57543299599999</v>
      </c>
      <c r="N35" s="1114">
        <f t="shared" si="12"/>
        <v>118.360484286</v>
      </c>
      <c r="O35" s="1114">
        <f t="shared" si="12"/>
        <v>96.491666250999998</v>
      </c>
      <c r="P35" s="1115">
        <f t="shared" si="12"/>
        <v>338.06651068600002</v>
      </c>
      <c r="Q35" s="1285">
        <f t="shared" si="12"/>
        <v>147.54340321076538</v>
      </c>
      <c r="R35" s="1324">
        <f>R33+R34</f>
        <v>185.9910085028454</v>
      </c>
      <c r="S35" s="1325">
        <f t="shared" ref="S35:BB35" si="13">S33+S34</f>
        <v>221.04857813030179</v>
      </c>
      <c r="T35" s="1325">
        <f t="shared" si="13"/>
        <v>242.50513022976068</v>
      </c>
      <c r="U35" s="1325">
        <f t="shared" si="13"/>
        <v>254.80218775534513</v>
      </c>
      <c r="V35" s="1325">
        <f t="shared" si="13"/>
        <v>267.72440621805458</v>
      </c>
      <c r="W35" s="1325">
        <f t="shared" si="13"/>
        <v>281.30366214839603</v>
      </c>
      <c r="X35" s="1325">
        <f t="shared" si="13"/>
        <v>289.74277201284792</v>
      </c>
      <c r="Y35" s="1325">
        <f t="shared" si="13"/>
        <v>298.43505517323331</v>
      </c>
      <c r="Z35" s="1325">
        <f t="shared" si="13"/>
        <v>307.38810682843035</v>
      </c>
      <c r="AA35" s="1325">
        <f t="shared" si="13"/>
        <v>316.60975003328332</v>
      </c>
      <c r="AB35" s="1325">
        <f t="shared" si="13"/>
        <v>326.10804253428176</v>
      </c>
      <c r="AC35" s="1128">
        <f t="shared" si="13"/>
        <v>313.86398395585405</v>
      </c>
      <c r="AD35" s="1128">
        <f t="shared" si="13"/>
        <v>0</v>
      </c>
      <c r="AE35" s="1128">
        <f t="shared" si="13"/>
        <v>0</v>
      </c>
      <c r="AF35" s="1128">
        <f t="shared" si="13"/>
        <v>0</v>
      </c>
      <c r="AG35" s="1128">
        <f t="shared" si="13"/>
        <v>0</v>
      </c>
      <c r="AH35" s="1128">
        <f t="shared" si="13"/>
        <v>0</v>
      </c>
      <c r="AI35" s="1128">
        <f t="shared" si="13"/>
        <v>0</v>
      </c>
      <c r="AJ35" s="1128">
        <f t="shared" si="13"/>
        <v>0</v>
      </c>
      <c r="AK35" s="1128">
        <f t="shared" si="13"/>
        <v>0</v>
      </c>
      <c r="AL35" s="1128">
        <f t="shared" si="13"/>
        <v>0</v>
      </c>
      <c r="AM35" s="1128">
        <f t="shared" si="13"/>
        <v>0</v>
      </c>
      <c r="AN35" s="1128">
        <f t="shared" si="13"/>
        <v>0</v>
      </c>
      <c r="AO35" s="1128">
        <f t="shared" si="13"/>
        <v>0</v>
      </c>
      <c r="AP35" s="1128">
        <f t="shared" si="13"/>
        <v>0</v>
      </c>
      <c r="AQ35" s="1128">
        <f t="shared" si="13"/>
        <v>0</v>
      </c>
      <c r="AR35" s="1128">
        <f t="shared" si="13"/>
        <v>0</v>
      </c>
      <c r="AS35" s="1128">
        <f t="shared" si="13"/>
        <v>0</v>
      </c>
      <c r="AT35" s="1128">
        <f t="shared" si="13"/>
        <v>0</v>
      </c>
      <c r="AU35" s="1128">
        <f t="shared" si="13"/>
        <v>0</v>
      </c>
      <c r="AV35" s="1128">
        <f t="shared" si="13"/>
        <v>0</v>
      </c>
      <c r="AW35" s="1128">
        <f t="shared" si="13"/>
        <v>0</v>
      </c>
      <c r="AX35" s="1128">
        <f t="shared" si="13"/>
        <v>0</v>
      </c>
      <c r="AY35" s="1128">
        <f t="shared" si="13"/>
        <v>0</v>
      </c>
      <c r="AZ35" s="1128">
        <f t="shared" si="13"/>
        <v>0</v>
      </c>
      <c r="BA35" s="1128">
        <f t="shared" si="13"/>
        <v>0</v>
      </c>
      <c r="BB35" s="1128">
        <f t="shared" si="13"/>
        <v>0</v>
      </c>
    </row>
    <row r="36" spans="1:54" s="922" customFormat="1" x14ac:dyDescent="0.25">
      <c r="A36" s="987"/>
      <c r="B36" s="994" t="s">
        <v>1471</v>
      </c>
      <c r="C36" s="995"/>
      <c r="D36" s="995"/>
      <c r="E36" s="995"/>
      <c r="F36" s="995"/>
      <c r="G36" s="995"/>
      <c r="H36" s="996"/>
      <c r="I36" s="996"/>
      <c r="J36" s="996"/>
      <c r="K36" s="996"/>
      <c r="L36" s="996"/>
      <c r="M36" s="996"/>
      <c r="N36" s="996"/>
      <c r="O36" s="996"/>
      <c r="P36" s="997"/>
      <c r="Q36" s="1153"/>
      <c r="R36" s="1153"/>
      <c r="S36" s="1148"/>
      <c r="T36" s="1148"/>
      <c r="U36" s="1148"/>
      <c r="V36" s="1148"/>
      <c r="W36" s="1148"/>
      <c r="X36" s="1148"/>
      <c r="Y36" s="1148"/>
      <c r="Z36" s="1148"/>
      <c r="AA36" s="1148"/>
      <c r="AB36" s="114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c r="AY36" s="998"/>
      <c r="AZ36" s="998"/>
      <c r="BA36" s="998"/>
      <c r="BB36" s="998"/>
    </row>
    <row r="37" spans="1:54" s="1007" customFormat="1" x14ac:dyDescent="0.25">
      <c r="A37" s="999"/>
      <c r="B37" s="1000"/>
      <c r="C37" s="1001"/>
      <c r="D37" s="1001"/>
      <c r="E37" s="1001"/>
      <c r="F37" s="1001"/>
      <c r="G37" s="1001"/>
      <c r="H37" s="1002"/>
      <c r="I37" s="1002"/>
      <c r="J37" s="1002"/>
      <c r="K37" s="1002"/>
      <c r="L37" s="1002"/>
      <c r="M37" s="1002"/>
      <c r="N37" s="1002"/>
      <c r="O37" s="1002"/>
      <c r="P37" s="1021"/>
      <c r="Q37" s="1002"/>
      <c r="R37" s="1002"/>
      <c r="S37" s="1006"/>
      <c r="T37" s="1006"/>
      <c r="U37" s="1006"/>
      <c r="V37" s="1006"/>
      <c r="W37" s="1006"/>
      <c r="X37" s="1006"/>
      <c r="Y37" s="1006"/>
      <c r="Z37" s="1006"/>
      <c r="AA37" s="1006"/>
      <c r="AB37" s="1006"/>
      <c r="AC37" s="1006"/>
      <c r="AD37" s="1006"/>
      <c r="AE37" s="1006"/>
      <c r="AF37" s="1006"/>
      <c r="AG37" s="1006"/>
      <c r="AH37" s="1006"/>
      <c r="AI37" s="1006"/>
      <c r="AJ37" s="1006"/>
      <c r="AK37" s="1006"/>
      <c r="AL37" s="1006"/>
      <c r="AM37" s="1006"/>
      <c r="AN37" s="1006"/>
      <c r="AO37" s="1006"/>
      <c r="AP37" s="1006"/>
      <c r="AQ37" s="1006"/>
      <c r="AR37" s="1006"/>
      <c r="AS37" s="1006"/>
      <c r="AT37" s="1006"/>
      <c r="AU37" s="1006"/>
      <c r="AV37" s="1006"/>
      <c r="AW37" s="1006"/>
      <c r="AX37" s="1006"/>
      <c r="AY37" s="1006"/>
      <c r="AZ37" s="1006"/>
      <c r="BA37" s="1006"/>
      <c r="BB37" s="1006"/>
    </row>
    <row r="38" spans="1:54" s="1007" customFormat="1" x14ac:dyDescent="0.25">
      <c r="A38" s="817">
        <v>2</v>
      </c>
      <c r="B38" s="824" t="s">
        <v>1491</v>
      </c>
      <c r="C38" s="1001"/>
      <c r="D38" s="1001"/>
      <c r="E38" s="1001"/>
      <c r="F38" s="1001"/>
      <c r="G38" s="1001"/>
      <c r="H38" s="1002"/>
      <c r="I38" s="1002"/>
      <c r="J38" s="1002"/>
      <c r="K38" s="1002"/>
      <c r="L38" s="1002"/>
      <c r="M38" s="1002"/>
      <c r="N38" s="1002"/>
      <c r="O38" s="1002"/>
      <c r="P38" s="1021"/>
      <c r="Q38" s="1002"/>
      <c r="R38" s="1002"/>
      <c r="S38" s="1006"/>
      <c r="T38" s="1006"/>
      <c r="U38" s="1006"/>
      <c r="V38" s="1006"/>
      <c r="W38" s="1006"/>
      <c r="X38" s="1006"/>
      <c r="Y38" s="1006"/>
      <c r="Z38" s="1006"/>
      <c r="AA38" s="1006"/>
      <c r="AB38" s="1006"/>
      <c r="AC38" s="1006"/>
      <c r="AD38" s="1006"/>
      <c r="AE38" s="1006"/>
      <c r="AF38" s="1006"/>
      <c r="AG38" s="1006"/>
      <c r="AH38" s="1006"/>
      <c r="AI38" s="1006"/>
      <c r="AJ38" s="1006"/>
      <c r="AK38" s="1006"/>
      <c r="AL38" s="1006"/>
      <c r="AM38" s="1006"/>
      <c r="AN38" s="1006"/>
      <c r="AO38" s="1006"/>
      <c r="AP38" s="1006"/>
      <c r="AQ38" s="1006"/>
      <c r="AR38" s="1006"/>
      <c r="AS38" s="1006"/>
      <c r="AT38" s="1006"/>
      <c r="AU38" s="1006"/>
      <c r="AV38" s="1006"/>
      <c r="AW38" s="1006"/>
      <c r="AX38" s="1006"/>
      <c r="AY38" s="1006"/>
      <c r="AZ38" s="1006"/>
      <c r="BA38" s="1006"/>
      <c r="BB38" s="1006"/>
    </row>
    <row r="39" spans="1:54" s="922" customFormat="1" x14ac:dyDescent="0.25">
      <c r="A39" s="987"/>
      <c r="B39" s="828" t="s">
        <v>1487</v>
      </c>
      <c r="C39" s="995"/>
      <c r="D39" s="995"/>
      <c r="E39" s="995"/>
      <c r="F39" s="995"/>
      <c r="G39" s="995"/>
      <c r="H39" s="996"/>
      <c r="I39" s="996"/>
      <c r="J39" s="884"/>
      <c r="K39" s="884"/>
      <c r="L39" s="884"/>
      <c r="M39" s="884"/>
      <c r="N39" s="884"/>
      <c r="O39" s="884"/>
      <c r="P39" s="934"/>
      <c r="Q39" s="884"/>
      <c r="R39" s="885"/>
      <c r="S39" s="885"/>
      <c r="T39" s="885"/>
      <c r="U39" s="885"/>
      <c r="V39" s="885"/>
      <c r="W39" s="885"/>
      <c r="X39" s="885"/>
      <c r="Y39" s="885"/>
      <c r="Z39" s="885"/>
      <c r="AA39" s="885"/>
      <c r="AB39" s="885"/>
      <c r="AC39" s="885">
        <v>0</v>
      </c>
      <c r="AD39" s="885">
        <v>0</v>
      </c>
      <c r="AE39" s="885">
        <v>0</v>
      </c>
      <c r="AF39" s="885">
        <v>0</v>
      </c>
      <c r="AG39" s="885">
        <v>0</v>
      </c>
      <c r="AH39" s="885">
        <v>0</v>
      </c>
      <c r="AI39" s="885">
        <v>0</v>
      </c>
      <c r="AJ39" s="885">
        <v>0</v>
      </c>
      <c r="AK39" s="885">
        <v>0</v>
      </c>
      <c r="AL39" s="885">
        <v>0</v>
      </c>
      <c r="AM39" s="885">
        <v>0</v>
      </c>
      <c r="AN39" s="885">
        <v>0</v>
      </c>
      <c r="AO39" s="885">
        <v>0</v>
      </c>
      <c r="AP39" s="885">
        <v>0</v>
      </c>
      <c r="AQ39" s="885">
        <v>0</v>
      </c>
      <c r="AR39" s="885">
        <v>0</v>
      </c>
      <c r="AS39" s="885">
        <v>0</v>
      </c>
      <c r="AT39" s="885">
        <v>0</v>
      </c>
      <c r="AU39" s="885">
        <v>0</v>
      </c>
      <c r="AV39" s="885">
        <v>0</v>
      </c>
      <c r="AW39" s="885">
        <v>0</v>
      </c>
      <c r="AX39" s="885">
        <v>0</v>
      </c>
      <c r="AY39" s="885">
        <v>0</v>
      </c>
      <c r="AZ39" s="885">
        <v>0</v>
      </c>
      <c r="BA39" s="885">
        <v>0</v>
      </c>
      <c r="BB39" s="885">
        <v>0</v>
      </c>
    </row>
    <row r="40" spans="1:54" s="922" customFormat="1" x14ac:dyDescent="0.25">
      <c r="A40" s="987"/>
      <c r="B40" s="828" t="s">
        <v>1489</v>
      </c>
      <c r="C40" s="995"/>
      <c r="D40" s="995"/>
      <c r="E40" s="995"/>
      <c r="F40" s="995"/>
      <c r="G40" s="995"/>
      <c r="H40" s="996"/>
      <c r="I40" s="996"/>
      <c r="J40" s="996"/>
      <c r="K40" s="996"/>
      <c r="L40" s="996"/>
      <c r="M40" s="884"/>
      <c r="N40" s="884"/>
      <c r="O40" s="884"/>
      <c r="P40" s="934"/>
      <c r="Q40" s="1316"/>
      <c r="R40" s="1317"/>
      <c r="S40" s="885"/>
      <c r="T40" s="885"/>
      <c r="U40" s="885"/>
      <c r="V40" s="885"/>
      <c r="W40" s="885"/>
      <c r="X40" s="885"/>
      <c r="Y40" s="885"/>
      <c r="Z40" s="885"/>
      <c r="AA40" s="885"/>
      <c r="AB40" s="885"/>
      <c r="AC40" s="885"/>
      <c r="AD40" s="885"/>
      <c r="AE40" s="885"/>
      <c r="AF40" s="885"/>
      <c r="AG40" s="885"/>
      <c r="AH40" s="885"/>
      <c r="AI40" s="885"/>
      <c r="AJ40" s="885"/>
      <c r="AK40" s="885"/>
      <c r="AL40" s="885"/>
      <c r="AM40" s="885"/>
      <c r="AN40" s="885"/>
      <c r="AO40" s="885"/>
      <c r="AP40" s="885"/>
      <c r="AQ40" s="885"/>
      <c r="AR40" s="885"/>
      <c r="AS40" s="885"/>
      <c r="AT40" s="885"/>
      <c r="AU40" s="885"/>
      <c r="AV40" s="885"/>
      <c r="AW40" s="885"/>
      <c r="AX40" s="885"/>
      <c r="AY40" s="885"/>
      <c r="AZ40" s="885"/>
      <c r="BA40" s="885"/>
      <c r="BB40" s="885"/>
    </row>
    <row r="41" spans="1:54" s="922" customFormat="1" x14ac:dyDescent="0.25">
      <c r="A41" s="987"/>
      <c r="B41" s="844" t="s">
        <v>1473</v>
      </c>
      <c r="C41" s="1130"/>
      <c r="D41" s="1130"/>
      <c r="E41" s="1130"/>
      <c r="F41" s="1130"/>
      <c r="G41" s="1130"/>
      <c r="H41" s="1131"/>
      <c r="I41" s="1131"/>
      <c r="J41" s="1132"/>
      <c r="K41" s="1132"/>
      <c r="L41" s="1132"/>
      <c r="M41" s="1132"/>
      <c r="N41" s="1132"/>
      <c r="O41" s="1131"/>
      <c r="P41" s="1133"/>
      <c r="Q41" s="996"/>
      <c r="R41" s="1129"/>
      <c r="S41" s="1134"/>
      <c r="T41" s="1134"/>
      <c r="U41" s="1134"/>
      <c r="V41" s="1134"/>
      <c r="W41" s="1134"/>
      <c r="X41" s="1134"/>
      <c r="Y41" s="1134"/>
      <c r="Z41" s="1134"/>
      <c r="AA41" s="1134"/>
      <c r="AB41" s="1134"/>
      <c r="AC41" s="1134"/>
      <c r="AD41" s="1134"/>
      <c r="AE41" s="1134"/>
      <c r="AF41" s="1134"/>
      <c r="AG41" s="1134"/>
      <c r="AH41" s="1134"/>
      <c r="AI41" s="1134"/>
      <c r="AJ41" s="1134"/>
      <c r="AK41" s="1134"/>
      <c r="AL41" s="1134"/>
      <c r="AM41" s="1134"/>
      <c r="AN41" s="1134"/>
      <c r="AO41" s="1134"/>
      <c r="AP41" s="1134"/>
      <c r="AQ41" s="1134"/>
      <c r="AR41" s="1134"/>
      <c r="AS41" s="1134"/>
      <c r="AT41" s="1134"/>
      <c r="AU41" s="1134"/>
      <c r="AV41" s="1134"/>
      <c r="AW41" s="1134"/>
      <c r="AX41" s="1134"/>
      <c r="AY41" s="1134"/>
      <c r="AZ41" s="1134"/>
      <c r="BA41" s="1134"/>
      <c r="BB41" s="1134"/>
    </row>
    <row r="42" spans="1:54" s="1007" customFormat="1" x14ac:dyDescent="0.25">
      <c r="A42" s="999"/>
      <c r="B42" s="1000"/>
      <c r="C42" s="1001"/>
      <c r="D42" s="1001"/>
      <c r="E42" s="1001"/>
      <c r="F42" s="1001"/>
      <c r="G42" s="1001"/>
      <c r="H42" s="1002"/>
      <c r="I42" s="1002"/>
      <c r="J42" s="1002"/>
      <c r="K42" s="1002"/>
      <c r="L42" s="1002"/>
      <c r="M42" s="1002"/>
      <c r="N42" s="1002"/>
      <c r="O42" s="1002"/>
      <c r="P42" s="1021"/>
      <c r="Q42" s="1002"/>
      <c r="R42" s="1002"/>
      <c r="S42" s="1006"/>
      <c r="T42" s="1006"/>
      <c r="U42" s="1006"/>
      <c r="V42" s="1006"/>
      <c r="W42" s="1006"/>
      <c r="X42" s="1006"/>
      <c r="Y42" s="1006"/>
      <c r="Z42" s="1006"/>
      <c r="AA42" s="1006"/>
      <c r="AB42" s="1006"/>
      <c r="AC42" s="1006"/>
      <c r="AD42" s="1006"/>
      <c r="AE42" s="1006"/>
      <c r="AF42" s="1006"/>
      <c r="AG42" s="1006"/>
      <c r="AH42" s="1006"/>
      <c r="AI42" s="1006"/>
      <c r="AJ42" s="1006"/>
      <c r="AK42" s="1006"/>
      <c r="AL42" s="1006"/>
      <c r="AM42" s="1006"/>
      <c r="AN42" s="1006"/>
      <c r="AO42" s="1006"/>
      <c r="AP42" s="1006"/>
      <c r="AQ42" s="1006"/>
      <c r="AR42" s="1006"/>
      <c r="AS42" s="1006"/>
      <c r="AT42" s="1006"/>
      <c r="AU42" s="1006"/>
      <c r="AV42" s="1006"/>
      <c r="AW42" s="1006"/>
      <c r="AX42" s="1006"/>
      <c r="AY42" s="1006"/>
      <c r="AZ42" s="1006"/>
      <c r="BA42" s="1006"/>
      <c r="BB42" s="1006"/>
    </row>
    <row r="43" spans="1:54" s="1007" customFormat="1" x14ac:dyDescent="0.25">
      <c r="A43" s="1135">
        <v>3</v>
      </c>
      <c r="B43" s="824" t="s">
        <v>1492</v>
      </c>
      <c r="C43" s="1001"/>
      <c r="D43" s="1001"/>
      <c r="E43" s="1001"/>
      <c r="F43" s="1001"/>
      <c r="G43" s="1001"/>
      <c r="H43" s="1002"/>
      <c r="I43" s="1002"/>
      <c r="J43" s="1002"/>
      <c r="K43" s="1002"/>
      <c r="L43" s="1002"/>
      <c r="M43" s="1002"/>
      <c r="N43" s="1002"/>
      <c r="O43" s="1002"/>
      <c r="P43" s="1021"/>
      <c r="Q43" s="1002"/>
      <c r="R43" s="1002"/>
      <c r="S43" s="1006"/>
      <c r="T43" s="1006"/>
      <c r="U43" s="1006"/>
      <c r="V43" s="1006"/>
      <c r="W43" s="1006"/>
      <c r="X43" s="1006"/>
      <c r="Y43" s="1006"/>
      <c r="Z43" s="1006"/>
      <c r="AA43" s="1006"/>
      <c r="AB43" s="1006"/>
      <c r="AC43" s="1006"/>
      <c r="AD43" s="1006"/>
      <c r="AE43" s="1006"/>
      <c r="AF43" s="1006"/>
      <c r="AG43" s="1006"/>
      <c r="AH43" s="1006"/>
      <c r="AI43" s="1006"/>
      <c r="AJ43" s="1006"/>
      <c r="AK43" s="1006"/>
      <c r="AL43" s="1006"/>
      <c r="AM43" s="1006"/>
      <c r="AN43" s="1006"/>
      <c r="AO43" s="1006"/>
      <c r="AP43" s="1006"/>
      <c r="AQ43" s="1006"/>
      <c r="AR43" s="1006"/>
      <c r="AS43" s="1006"/>
      <c r="AT43" s="1006"/>
      <c r="AU43" s="1006"/>
      <c r="AV43" s="1006"/>
      <c r="AW43" s="1006"/>
      <c r="AX43" s="1006"/>
      <c r="AY43" s="1006"/>
      <c r="AZ43" s="1006"/>
      <c r="BA43" s="1006"/>
      <c r="BB43" s="1006"/>
    </row>
    <row r="44" spans="1:54" s="800" customFormat="1" ht="16.5" customHeight="1" x14ac:dyDescent="0.25">
      <c r="A44" s="799"/>
      <c r="B44" s="828" t="s">
        <v>1487</v>
      </c>
      <c r="I44" s="839"/>
      <c r="J44" s="839"/>
      <c r="K44" s="839"/>
      <c r="L44" s="839"/>
      <c r="M44" s="839"/>
      <c r="N44" s="839"/>
      <c r="O44" s="978"/>
      <c r="P44" s="979"/>
      <c r="Q44" s="978"/>
      <c r="R44" s="980"/>
      <c r="S44" s="980"/>
      <c r="T44" s="980"/>
      <c r="U44" s="980"/>
      <c r="V44" s="980"/>
      <c r="W44" s="980"/>
      <c r="X44" s="980"/>
      <c r="Y44" s="980"/>
      <c r="Z44" s="980"/>
      <c r="AA44" s="980"/>
      <c r="AB44" s="980"/>
      <c r="AC44" s="980">
        <v>0</v>
      </c>
      <c r="AD44" s="980">
        <v>0</v>
      </c>
      <c r="AE44" s="980">
        <v>0</v>
      </c>
      <c r="AF44" s="980">
        <v>0</v>
      </c>
      <c r="AG44" s="980">
        <v>0</v>
      </c>
      <c r="AH44" s="980">
        <v>0</v>
      </c>
      <c r="AI44" s="980">
        <v>0</v>
      </c>
      <c r="AJ44" s="980">
        <v>0</v>
      </c>
      <c r="AK44" s="980">
        <v>0</v>
      </c>
      <c r="AL44" s="980">
        <v>0</v>
      </c>
      <c r="AM44" s="980">
        <v>0</v>
      </c>
      <c r="AN44" s="980">
        <v>0</v>
      </c>
      <c r="AO44" s="980">
        <v>0</v>
      </c>
      <c r="AP44" s="980">
        <v>0</v>
      </c>
      <c r="AQ44" s="980">
        <v>0</v>
      </c>
      <c r="AR44" s="980">
        <v>0</v>
      </c>
      <c r="AS44" s="980">
        <v>0</v>
      </c>
      <c r="AT44" s="980">
        <v>0</v>
      </c>
      <c r="AU44" s="980">
        <v>0</v>
      </c>
      <c r="AV44" s="980">
        <v>0</v>
      </c>
      <c r="AW44" s="980">
        <v>0</v>
      </c>
      <c r="AX44" s="980">
        <v>0</v>
      </c>
      <c r="AY44" s="980">
        <v>0</v>
      </c>
      <c r="AZ44" s="980">
        <v>0</v>
      </c>
      <c r="BA44" s="980">
        <v>0</v>
      </c>
      <c r="BB44" s="980">
        <v>0</v>
      </c>
    </row>
    <row r="45" spans="1:54" s="800" customFormat="1" ht="14.25" customHeight="1" x14ac:dyDescent="0.25">
      <c r="A45" s="799"/>
      <c r="B45" s="828" t="s">
        <v>1489</v>
      </c>
      <c r="I45" s="839"/>
      <c r="J45" s="839"/>
      <c r="K45" s="839"/>
      <c r="L45" s="839"/>
      <c r="M45" s="839"/>
      <c r="N45" s="839"/>
      <c r="O45" s="978"/>
      <c r="P45" s="979"/>
      <c r="Q45" s="1300"/>
      <c r="R45" s="1301"/>
      <c r="S45" s="980"/>
      <c r="T45" s="980"/>
      <c r="U45" s="980"/>
      <c r="V45" s="980"/>
      <c r="W45" s="980"/>
      <c r="X45" s="980"/>
      <c r="Y45" s="980"/>
      <c r="Z45" s="980"/>
      <c r="AA45" s="980"/>
      <c r="AB45" s="980"/>
      <c r="AC45" s="980">
        <v>0</v>
      </c>
      <c r="AD45" s="980">
        <v>0</v>
      </c>
      <c r="AE45" s="980">
        <v>0</v>
      </c>
      <c r="AF45" s="980">
        <v>0</v>
      </c>
      <c r="AG45" s="980">
        <v>0</v>
      </c>
      <c r="AH45" s="980">
        <v>0</v>
      </c>
      <c r="AI45" s="980">
        <v>0</v>
      </c>
      <c r="AJ45" s="980">
        <v>0</v>
      </c>
      <c r="AK45" s="980">
        <v>0</v>
      </c>
      <c r="AL45" s="980">
        <v>0</v>
      </c>
      <c r="AM45" s="980">
        <v>0</v>
      </c>
      <c r="AN45" s="980">
        <v>0</v>
      </c>
      <c r="AO45" s="980">
        <v>0</v>
      </c>
      <c r="AP45" s="980">
        <v>0</v>
      </c>
      <c r="AQ45" s="980">
        <v>0</v>
      </c>
      <c r="AR45" s="980">
        <v>0</v>
      </c>
      <c r="AS45" s="980">
        <v>0</v>
      </c>
      <c r="AT45" s="980">
        <v>0</v>
      </c>
      <c r="AU45" s="980">
        <v>0</v>
      </c>
      <c r="AV45" s="980">
        <v>0</v>
      </c>
      <c r="AW45" s="980">
        <v>0</v>
      </c>
      <c r="AX45" s="980">
        <v>0</v>
      </c>
      <c r="AY45" s="980">
        <v>0</v>
      </c>
      <c r="AZ45" s="980">
        <v>0</v>
      </c>
      <c r="BA45" s="980">
        <v>0</v>
      </c>
      <c r="BB45" s="980">
        <v>0</v>
      </c>
    </row>
    <row r="46" spans="1:54" s="922" customFormat="1" x14ac:dyDescent="0.25">
      <c r="A46" s="987"/>
      <c r="B46" s="844" t="s">
        <v>1473</v>
      </c>
      <c r="C46" s="1130"/>
      <c r="D46" s="1130"/>
      <c r="E46" s="1130"/>
      <c r="F46" s="1130"/>
      <c r="G46" s="1130"/>
      <c r="H46" s="1131"/>
      <c r="I46" s="1131"/>
      <c r="J46" s="1131"/>
      <c r="K46" s="1131"/>
      <c r="L46" s="1131"/>
      <c r="M46" s="1131"/>
      <c r="N46" s="1131"/>
      <c r="O46" s="1131"/>
      <c r="P46" s="1133"/>
      <c r="Q46" s="996"/>
      <c r="R46" s="1129"/>
      <c r="S46" s="1134"/>
      <c r="T46" s="1134"/>
      <c r="U46" s="1134"/>
      <c r="V46" s="1134"/>
      <c r="W46" s="1134"/>
      <c r="X46" s="1134"/>
      <c r="Y46" s="1134"/>
      <c r="Z46" s="1134"/>
      <c r="AA46" s="1134"/>
      <c r="AB46" s="1134"/>
      <c r="AC46" s="1134"/>
      <c r="AD46" s="1134"/>
      <c r="AE46" s="1134"/>
      <c r="AF46" s="1134"/>
      <c r="AG46" s="1134"/>
      <c r="AH46" s="1134"/>
      <c r="AI46" s="1134"/>
      <c r="AJ46" s="1134"/>
      <c r="AK46" s="1134"/>
      <c r="AL46" s="1134"/>
      <c r="AM46" s="1134"/>
      <c r="AN46" s="1134"/>
      <c r="AO46" s="1134"/>
      <c r="AP46" s="1134"/>
      <c r="AQ46" s="1134"/>
      <c r="AR46" s="1134"/>
      <c r="AS46" s="1134"/>
      <c r="AT46" s="1134"/>
      <c r="AU46" s="1134"/>
      <c r="AV46" s="1134"/>
      <c r="AW46" s="1134"/>
      <c r="AX46" s="1134"/>
      <c r="AY46" s="1134"/>
      <c r="AZ46" s="1134"/>
      <c r="BA46" s="1134"/>
      <c r="BB46" s="1134"/>
    </row>
    <row r="47" spans="1:54" s="1007" customFormat="1" x14ac:dyDescent="0.25">
      <c r="A47" s="999"/>
      <c r="B47" s="1000"/>
      <c r="C47" s="1001"/>
      <c r="D47" s="1001"/>
      <c r="E47" s="1001"/>
      <c r="F47" s="1001"/>
      <c r="G47" s="1001"/>
      <c r="H47" s="1002"/>
      <c r="I47" s="1002"/>
      <c r="J47" s="1002"/>
      <c r="K47" s="1002"/>
      <c r="L47" s="1002"/>
      <c r="M47" s="1002"/>
      <c r="N47" s="1002"/>
      <c r="O47" s="1002"/>
      <c r="P47" s="1021"/>
      <c r="Q47" s="1002"/>
      <c r="R47" s="1002"/>
      <c r="S47" s="1006"/>
      <c r="T47" s="1006"/>
      <c r="U47" s="1006"/>
      <c r="V47" s="1006"/>
      <c r="W47" s="1006"/>
      <c r="X47" s="1006"/>
      <c r="Y47" s="1006"/>
      <c r="Z47" s="1006"/>
      <c r="AA47" s="1006"/>
      <c r="AB47" s="1006"/>
      <c r="AC47" s="1006"/>
      <c r="AD47" s="1006"/>
      <c r="AE47" s="1006"/>
      <c r="AF47" s="1006"/>
      <c r="AG47" s="1006"/>
      <c r="AH47" s="1006"/>
      <c r="AI47" s="1006"/>
      <c r="AJ47" s="1006"/>
      <c r="AK47" s="1006"/>
      <c r="AL47" s="1006"/>
      <c r="AM47" s="1006"/>
      <c r="AN47" s="1006"/>
      <c r="AO47" s="1006"/>
      <c r="AP47" s="1006"/>
      <c r="AQ47" s="1006"/>
      <c r="AR47" s="1006"/>
      <c r="AS47" s="1006"/>
      <c r="AT47" s="1006"/>
      <c r="AU47" s="1006"/>
      <c r="AV47" s="1006"/>
      <c r="AW47" s="1006"/>
      <c r="AX47" s="1006"/>
      <c r="AY47" s="1006"/>
      <c r="AZ47" s="1006"/>
      <c r="BA47" s="1006"/>
      <c r="BB47" s="1006"/>
    </row>
    <row r="48" spans="1:54" x14ac:dyDescent="0.25">
      <c r="B48" s="818" t="s">
        <v>1476</v>
      </c>
      <c r="C48" s="819"/>
      <c r="D48" s="819"/>
      <c r="E48" s="819"/>
      <c r="F48" s="819"/>
      <c r="G48" s="819"/>
      <c r="H48" s="819"/>
      <c r="I48" s="819"/>
      <c r="J48" s="819"/>
      <c r="K48" s="819"/>
      <c r="L48" s="819"/>
      <c r="M48" s="819"/>
      <c r="N48" s="819"/>
      <c r="O48" s="819"/>
      <c r="P48" s="820"/>
      <c r="Q48" s="819"/>
      <c r="R48" s="819"/>
      <c r="S48" s="819"/>
      <c r="T48" s="819"/>
      <c r="U48" s="819"/>
      <c r="V48" s="819"/>
      <c r="W48" s="819"/>
      <c r="X48" s="819"/>
      <c r="Y48" s="819"/>
      <c r="Z48" s="819"/>
      <c r="AA48" s="819"/>
      <c r="AB48" s="819"/>
      <c r="AC48" s="819"/>
      <c r="AD48" s="819"/>
      <c r="AE48" s="819"/>
      <c r="AF48" s="819"/>
      <c r="AG48" s="819"/>
      <c r="AH48" s="819"/>
      <c r="AI48" s="819"/>
      <c r="AJ48" s="819"/>
      <c r="AK48" s="819"/>
      <c r="AL48" s="819"/>
      <c r="AM48" s="819"/>
      <c r="AN48" s="819"/>
      <c r="AO48" s="819"/>
      <c r="AP48" s="819"/>
      <c r="AQ48" s="819"/>
      <c r="AR48" s="819"/>
      <c r="AS48" s="819"/>
      <c r="AT48" s="819"/>
      <c r="AU48" s="819"/>
      <c r="AV48" s="819"/>
      <c r="AW48" s="819"/>
      <c r="AX48" s="819"/>
      <c r="AY48" s="819"/>
      <c r="AZ48" s="819"/>
      <c r="BA48" s="819"/>
      <c r="BB48" s="819"/>
    </row>
    <row r="49" spans="1:54" x14ac:dyDescent="0.25">
      <c r="B49" s="1025"/>
      <c r="N49" s="821"/>
      <c r="O49" s="821"/>
      <c r="P49" s="822"/>
      <c r="Q49" s="821"/>
      <c r="R49" s="821"/>
      <c r="S49" s="821"/>
    </row>
    <row r="50" spans="1:54" x14ac:dyDescent="0.25">
      <c r="A50" s="817">
        <v>1</v>
      </c>
      <c r="B50" s="824" t="s">
        <v>1477</v>
      </c>
      <c r="N50" s="821"/>
      <c r="O50" s="821"/>
      <c r="P50" s="822"/>
      <c r="Q50" s="821"/>
      <c r="R50" s="821"/>
      <c r="S50" s="821"/>
    </row>
    <row r="51" spans="1:54" s="922" customFormat="1" x14ac:dyDescent="0.25">
      <c r="A51" s="987"/>
      <c r="B51" s="828" t="s">
        <v>1487</v>
      </c>
      <c r="J51" s="1124">
        <f>J9-J33</f>
        <v>5.5527224729999887</v>
      </c>
      <c r="K51" s="1124">
        <f>K9-K33</f>
        <v>6.5474174080000012</v>
      </c>
      <c r="L51" s="1124">
        <f t="shared" ref="L51:P51" si="14">L9-L33</f>
        <v>3.3644158469999894</v>
      </c>
      <c r="M51" s="1124">
        <f t="shared" si="14"/>
        <v>-10.121550402999986</v>
      </c>
      <c r="N51" s="1124">
        <f t="shared" si="14"/>
        <v>-0.72008381599999893</v>
      </c>
      <c r="O51" s="1124">
        <f t="shared" si="14"/>
        <v>8.8333579700000087</v>
      </c>
      <c r="P51" s="1125">
        <f t="shared" si="14"/>
        <v>29.119156927999995</v>
      </c>
      <c r="Q51" s="1148">
        <f>Q9*Q57</f>
        <v>5.0822277947496239</v>
      </c>
      <c r="R51" s="1148">
        <f>R9*R57</f>
        <v>6.4787448009321826</v>
      </c>
      <c r="S51" s="1148">
        <f t="shared" ref="S51:AB51" si="15">S9*S57</f>
        <v>7.7744937611186193</v>
      </c>
      <c r="T51" s="1148">
        <f t="shared" si="15"/>
        <v>8.5519431372304826</v>
      </c>
      <c r="U51" s="1148">
        <f t="shared" si="15"/>
        <v>8.9795402940920059</v>
      </c>
      <c r="V51" s="1148">
        <f t="shared" si="15"/>
        <v>9.4285173087966072</v>
      </c>
      <c r="W51" s="1148">
        <f t="shared" si="15"/>
        <v>9.899943174236439</v>
      </c>
      <c r="X51" s="1148">
        <f t="shared" si="15"/>
        <v>10.196941469463532</v>
      </c>
      <c r="Y51" s="1148">
        <f t="shared" si="15"/>
        <v>10.502849713547437</v>
      </c>
      <c r="Z51" s="1148">
        <f t="shared" si="15"/>
        <v>10.81793520495386</v>
      </c>
      <c r="AA51" s="1148">
        <f t="shared" si="15"/>
        <v>11.142473261102477</v>
      </c>
      <c r="AB51" s="1148">
        <f t="shared" si="15"/>
        <v>11.476747458935552</v>
      </c>
      <c r="AC51" s="1031">
        <v>0</v>
      </c>
      <c r="AD51" s="1031">
        <v>0</v>
      </c>
      <c r="AE51" s="1031">
        <v>0</v>
      </c>
      <c r="AF51" s="1031">
        <v>0</v>
      </c>
      <c r="AG51" s="1031">
        <v>0</v>
      </c>
      <c r="AH51" s="1031">
        <v>0</v>
      </c>
      <c r="AI51" s="1031">
        <v>0</v>
      </c>
      <c r="AJ51" s="1031">
        <v>0</v>
      </c>
      <c r="AK51" s="1031">
        <v>0</v>
      </c>
      <c r="AL51" s="1031">
        <v>0</v>
      </c>
      <c r="AM51" s="1031">
        <v>0</v>
      </c>
      <c r="AN51" s="1031">
        <v>0</v>
      </c>
      <c r="AO51" s="1031">
        <v>0</v>
      </c>
      <c r="AP51" s="1031">
        <v>0</v>
      </c>
      <c r="AQ51" s="1031">
        <v>0</v>
      </c>
      <c r="AR51" s="1031">
        <v>0</v>
      </c>
      <c r="AS51" s="1031">
        <v>0</v>
      </c>
      <c r="AT51" s="1031">
        <v>0</v>
      </c>
      <c r="AU51" s="1031">
        <v>0</v>
      </c>
      <c r="AV51" s="1031">
        <v>0</v>
      </c>
      <c r="AW51" s="1031">
        <v>0</v>
      </c>
      <c r="AX51" s="1031">
        <v>0</v>
      </c>
      <c r="AY51" s="1031">
        <v>0</v>
      </c>
      <c r="AZ51" s="1031">
        <v>0</v>
      </c>
      <c r="BA51" s="1031">
        <v>0</v>
      </c>
      <c r="BB51" s="1031">
        <v>0</v>
      </c>
    </row>
    <row r="52" spans="1:54" s="922" customFormat="1" x14ac:dyDescent="0.25">
      <c r="A52" s="987"/>
      <c r="B52" s="828" t="s">
        <v>1489</v>
      </c>
      <c r="J52" s="1124">
        <f>J10-J34</f>
        <v>1.9040592499999995</v>
      </c>
      <c r="K52" s="1124">
        <f>K10-K34</f>
        <v>-3.5914071950000004</v>
      </c>
      <c r="L52" s="1124">
        <f t="shared" ref="L52:P52" si="16">L10-L34</f>
        <v>-0.73343402900000143</v>
      </c>
      <c r="M52" s="1124">
        <f t="shared" si="16"/>
        <v>-0.28388259299999952</v>
      </c>
      <c r="N52" s="1124">
        <f t="shared" si="16"/>
        <v>1.2295995300000016</v>
      </c>
      <c r="O52" s="1124">
        <f t="shared" si="16"/>
        <v>3.3349757789999988</v>
      </c>
      <c r="P52" s="1125">
        <f t="shared" si="16"/>
        <v>0.26433238599999953</v>
      </c>
      <c r="Q52" s="1314">
        <f>Q10*Q58</f>
        <v>8.6035661151675852E-2</v>
      </c>
      <c r="R52" s="1315">
        <f>R10*R58</f>
        <v>9.6460220400335139E-2</v>
      </c>
      <c r="S52" s="1148">
        <f t="shared" ref="S52:BB52" si="17">S10*S58</f>
        <v>0.10224783362435524</v>
      </c>
      <c r="T52" s="1148">
        <f t="shared" si="17"/>
        <v>0.10838270364181656</v>
      </c>
      <c r="U52" s="1148">
        <f t="shared" si="17"/>
        <v>0.11488566586032554</v>
      </c>
      <c r="V52" s="1148">
        <f t="shared" si="17"/>
        <v>0.1217788058119451</v>
      </c>
      <c r="W52" s="1148">
        <f t="shared" si="17"/>
        <v>0.12908553416066182</v>
      </c>
      <c r="X52" s="1148">
        <f t="shared" si="17"/>
        <v>0.13295810018548168</v>
      </c>
      <c r="Y52" s="1148">
        <f t="shared" si="17"/>
        <v>0.13694684319104614</v>
      </c>
      <c r="Z52" s="1148">
        <f t="shared" si="17"/>
        <v>0.1410552484867775</v>
      </c>
      <c r="AA52" s="1148">
        <f t="shared" si="17"/>
        <v>0.14528690594138083</v>
      </c>
      <c r="AB52" s="1148">
        <f t="shared" si="17"/>
        <v>0.14964551311962226</v>
      </c>
      <c r="AC52" s="998">
        <f t="shared" si="17"/>
        <v>0</v>
      </c>
      <c r="AD52" s="998">
        <f t="shared" si="17"/>
        <v>0</v>
      </c>
      <c r="AE52" s="998">
        <f t="shared" si="17"/>
        <v>0</v>
      </c>
      <c r="AF52" s="998">
        <f t="shared" si="17"/>
        <v>0</v>
      </c>
      <c r="AG52" s="998">
        <f t="shared" si="17"/>
        <v>0</v>
      </c>
      <c r="AH52" s="998">
        <f t="shared" si="17"/>
        <v>0</v>
      </c>
      <c r="AI52" s="998">
        <f t="shared" si="17"/>
        <v>0</v>
      </c>
      <c r="AJ52" s="998">
        <f t="shared" si="17"/>
        <v>0</v>
      </c>
      <c r="AK52" s="998">
        <f t="shared" si="17"/>
        <v>0</v>
      </c>
      <c r="AL52" s="998">
        <f t="shared" si="17"/>
        <v>0</v>
      </c>
      <c r="AM52" s="998">
        <f t="shared" si="17"/>
        <v>0</v>
      </c>
      <c r="AN52" s="998">
        <f t="shared" si="17"/>
        <v>0</v>
      </c>
      <c r="AO52" s="998">
        <f t="shared" si="17"/>
        <v>0</v>
      </c>
      <c r="AP52" s="998">
        <f t="shared" si="17"/>
        <v>0</v>
      </c>
      <c r="AQ52" s="998">
        <f t="shared" si="17"/>
        <v>0</v>
      </c>
      <c r="AR52" s="998">
        <f t="shared" si="17"/>
        <v>0</v>
      </c>
      <c r="AS52" s="998">
        <f t="shared" si="17"/>
        <v>0</v>
      </c>
      <c r="AT52" s="998">
        <f t="shared" si="17"/>
        <v>0</v>
      </c>
      <c r="AU52" s="998">
        <f t="shared" si="17"/>
        <v>0</v>
      </c>
      <c r="AV52" s="998">
        <f t="shared" si="17"/>
        <v>0</v>
      </c>
      <c r="AW52" s="998">
        <f t="shared" si="17"/>
        <v>0</v>
      </c>
      <c r="AX52" s="998">
        <f t="shared" si="17"/>
        <v>0</v>
      </c>
      <c r="AY52" s="998">
        <f t="shared" si="17"/>
        <v>0</v>
      </c>
      <c r="AZ52" s="998">
        <f t="shared" si="17"/>
        <v>0</v>
      </c>
      <c r="BA52" s="998">
        <f t="shared" si="17"/>
        <v>0</v>
      </c>
      <c r="BB52" s="998">
        <f t="shared" si="17"/>
        <v>0</v>
      </c>
    </row>
    <row r="53" spans="1:54" s="901" customFormat="1" x14ac:dyDescent="0.25">
      <c r="A53" s="983"/>
      <c r="B53" s="844" t="s">
        <v>1473</v>
      </c>
      <c r="C53" s="992"/>
      <c r="D53" s="992"/>
      <c r="E53" s="992"/>
      <c r="F53" s="992"/>
      <c r="G53" s="992"/>
      <c r="H53" s="992"/>
      <c r="I53" s="992"/>
      <c r="J53" s="1137">
        <f>J51+J52</f>
        <v>7.4567817229999882</v>
      </c>
      <c r="K53" s="1137">
        <f>K51+K52</f>
        <v>2.9560102130000008</v>
      </c>
      <c r="L53" s="1137">
        <f t="shared" ref="L53:Q53" si="18">L51+L52</f>
        <v>2.630981817999988</v>
      </c>
      <c r="M53" s="1137">
        <f t="shared" si="18"/>
        <v>-10.405432995999986</v>
      </c>
      <c r="N53" s="1137">
        <f t="shared" si="18"/>
        <v>0.50951571400000262</v>
      </c>
      <c r="O53" s="1137">
        <f t="shared" si="18"/>
        <v>12.168333749000007</v>
      </c>
      <c r="P53" s="1138">
        <f t="shared" si="18"/>
        <v>29.383489313999995</v>
      </c>
      <c r="Q53" s="1319">
        <f t="shared" si="18"/>
        <v>5.1682634559012994</v>
      </c>
      <c r="R53" s="1287">
        <f>R51+R52</f>
        <v>6.5752050213325175</v>
      </c>
      <c r="S53" s="1149">
        <f t="shared" ref="S53:BB53" si="19">S51+S52</f>
        <v>7.8767415947429749</v>
      </c>
      <c r="T53" s="1149">
        <f t="shared" si="19"/>
        <v>8.6603258408722983</v>
      </c>
      <c r="U53" s="1149">
        <f t="shared" si="19"/>
        <v>9.0944259599523321</v>
      </c>
      <c r="V53" s="1149">
        <f t="shared" si="19"/>
        <v>9.5502961146085514</v>
      </c>
      <c r="W53" s="1149">
        <f t="shared" si="19"/>
        <v>10.029028708397101</v>
      </c>
      <c r="X53" s="1149">
        <f t="shared" si="19"/>
        <v>10.329899569649013</v>
      </c>
      <c r="Y53" s="1149">
        <f t="shared" si="19"/>
        <v>10.639796556738483</v>
      </c>
      <c r="Z53" s="1149">
        <f t="shared" si="19"/>
        <v>10.958990453440638</v>
      </c>
      <c r="AA53" s="1149">
        <f t="shared" si="19"/>
        <v>11.287760167043858</v>
      </c>
      <c r="AB53" s="1149">
        <f t="shared" si="19"/>
        <v>11.626392972055175</v>
      </c>
      <c r="AC53" s="1139">
        <f t="shared" si="19"/>
        <v>0</v>
      </c>
      <c r="AD53" s="1139">
        <f t="shared" si="19"/>
        <v>0</v>
      </c>
      <c r="AE53" s="1139">
        <f t="shared" si="19"/>
        <v>0</v>
      </c>
      <c r="AF53" s="1139">
        <f t="shared" si="19"/>
        <v>0</v>
      </c>
      <c r="AG53" s="1139">
        <f t="shared" si="19"/>
        <v>0</v>
      </c>
      <c r="AH53" s="1139">
        <f t="shared" si="19"/>
        <v>0</v>
      </c>
      <c r="AI53" s="1139">
        <f t="shared" si="19"/>
        <v>0</v>
      </c>
      <c r="AJ53" s="1139">
        <f t="shared" si="19"/>
        <v>0</v>
      </c>
      <c r="AK53" s="1139">
        <f t="shared" si="19"/>
        <v>0</v>
      </c>
      <c r="AL53" s="1139">
        <f t="shared" si="19"/>
        <v>0</v>
      </c>
      <c r="AM53" s="1139">
        <f t="shared" si="19"/>
        <v>0</v>
      </c>
      <c r="AN53" s="1139">
        <f t="shared" si="19"/>
        <v>0</v>
      </c>
      <c r="AO53" s="1139">
        <f t="shared" si="19"/>
        <v>0</v>
      </c>
      <c r="AP53" s="1139">
        <f t="shared" si="19"/>
        <v>0</v>
      </c>
      <c r="AQ53" s="1139">
        <f t="shared" si="19"/>
        <v>0</v>
      </c>
      <c r="AR53" s="1139">
        <f t="shared" si="19"/>
        <v>0</v>
      </c>
      <c r="AS53" s="1139">
        <f t="shared" si="19"/>
        <v>0</v>
      </c>
      <c r="AT53" s="1139">
        <f t="shared" si="19"/>
        <v>0</v>
      </c>
      <c r="AU53" s="1139">
        <f t="shared" si="19"/>
        <v>0</v>
      </c>
      <c r="AV53" s="1139">
        <f t="shared" si="19"/>
        <v>0</v>
      </c>
      <c r="AW53" s="1139">
        <f t="shared" si="19"/>
        <v>0</v>
      </c>
      <c r="AX53" s="1139">
        <f t="shared" si="19"/>
        <v>0</v>
      </c>
      <c r="AY53" s="1139">
        <f t="shared" si="19"/>
        <v>0</v>
      </c>
      <c r="AZ53" s="1139">
        <f t="shared" si="19"/>
        <v>0</v>
      </c>
      <c r="BA53" s="1139">
        <f t="shared" si="19"/>
        <v>0</v>
      </c>
      <c r="BB53" s="1139">
        <f t="shared" si="19"/>
        <v>0</v>
      </c>
    </row>
    <row r="54" spans="1:54" s="800" customFormat="1" x14ac:dyDescent="0.25">
      <c r="A54" s="799"/>
      <c r="B54" s="800" t="s">
        <v>467</v>
      </c>
      <c r="P54" s="1140"/>
      <c r="Q54" s="1150"/>
      <c r="R54" s="1150"/>
      <c r="S54" s="1150"/>
      <c r="T54" s="1150"/>
      <c r="U54" s="1150"/>
      <c r="V54" s="1150"/>
      <c r="W54" s="1150"/>
      <c r="X54" s="1150"/>
      <c r="Y54" s="1150"/>
      <c r="Z54" s="1150"/>
      <c r="AA54" s="1150"/>
      <c r="AB54" s="1150"/>
      <c r="AC54" s="1150"/>
    </row>
    <row r="55" spans="1:54" x14ac:dyDescent="0.25">
      <c r="N55" s="1038"/>
      <c r="P55" s="1040"/>
      <c r="Q55" s="1151"/>
      <c r="R55" s="1151"/>
      <c r="S55" s="1151"/>
      <c r="T55" s="1151"/>
      <c r="U55" s="1151"/>
      <c r="V55" s="1151"/>
      <c r="W55" s="1151"/>
      <c r="X55" s="1151"/>
      <c r="Y55" s="1151"/>
      <c r="Z55" s="1151"/>
      <c r="AA55" s="1151"/>
      <c r="AB55" s="1151"/>
      <c r="AC55" s="1151"/>
      <c r="AD55" s="1039"/>
      <c r="AE55" s="1039"/>
      <c r="AF55" s="1039"/>
      <c r="AG55" s="1039"/>
      <c r="AH55" s="1039"/>
      <c r="AI55" s="1039"/>
      <c r="AJ55" s="1039"/>
      <c r="AK55" s="1039"/>
      <c r="AL55" s="1039"/>
      <c r="AM55" s="1039"/>
      <c r="AN55" s="1039"/>
      <c r="AO55" s="1039"/>
      <c r="AP55" s="1039"/>
      <c r="AQ55" s="1039"/>
      <c r="AR55" s="1039"/>
      <c r="AS55" s="1039"/>
      <c r="AT55" s="1039"/>
      <c r="AU55" s="1039"/>
      <c r="AV55" s="1039"/>
      <c r="AW55" s="1039"/>
      <c r="AX55" s="1039"/>
      <c r="AY55" s="1039"/>
      <c r="AZ55" s="1039"/>
      <c r="BA55" s="1039"/>
      <c r="BB55" s="1039"/>
    </row>
    <row r="56" spans="1:54" x14ac:dyDescent="0.25">
      <c r="A56" s="817">
        <v>2</v>
      </c>
      <c r="B56" s="824" t="s">
        <v>1479</v>
      </c>
      <c r="N56" s="821"/>
      <c r="O56" s="821"/>
      <c r="P56" s="822"/>
      <c r="Q56" s="1152"/>
      <c r="R56" s="1152"/>
      <c r="S56" s="1152"/>
      <c r="T56" s="1152"/>
      <c r="U56" s="1152"/>
      <c r="V56" s="1152"/>
      <c r="W56" s="1152"/>
      <c r="X56" s="1152"/>
      <c r="Y56" s="1152"/>
      <c r="Z56" s="1152"/>
      <c r="AA56" s="1152"/>
      <c r="AB56" s="1152"/>
      <c r="AC56" s="1152"/>
    </row>
    <row r="57" spans="1:54" s="922" customFormat="1" x14ac:dyDescent="0.25">
      <c r="A57" s="987"/>
      <c r="B57" s="828" t="s">
        <v>1487</v>
      </c>
      <c r="J57" s="1141">
        <f t="shared" ref="J57:K59" si="20">J51/J9</f>
        <v>5.8783850021172868E-2</v>
      </c>
      <c r="K57" s="1141">
        <f t="shared" si="20"/>
        <v>5.688459954821895E-2</v>
      </c>
      <c r="L57" s="1141">
        <f t="shared" ref="L57:P57" si="21">L51/L9</f>
        <v>2.8738497027419405E-2</v>
      </c>
      <c r="M57" s="1141">
        <f t="shared" si="21"/>
        <v>-5.9717684836863447E-2</v>
      </c>
      <c r="N57" s="1141">
        <f t="shared" si="21"/>
        <v>-6.9405669012048091E-3</v>
      </c>
      <c r="O57" s="1141">
        <f t="shared" si="21"/>
        <v>9.5692319033690909E-2</v>
      </c>
      <c r="P57" s="1142">
        <f t="shared" si="21"/>
        <v>8.2520919681469088E-2</v>
      </c>
      <c r="Q57" s="1320">
        <f>AVERAGE(J57:P57)</f>
        <v>3.6565990510557568E-2</v>
      </c>
      <c r="R57" s="1153">
        <f>Q57</f>
        <v>3.6565990510557568E-2</v>
      </c>
      <c r="S57" s="1153">
        <f>R57</f>
        <v>3.6565990510557568E-2</v>
      </c>
      <c r="T57" s="1153">
        <f t="shared" ref="T57:AB57" si="22">S57</f>
        <v>3.6565990510557568E-2</v>
      </c>
      <c r="U57" s="1153">
        <f t="shared" si="22"/>
        <v>3.6565990510557568E-2</v>
      </c>
      <c r="V57" s="1153">
        <f t="shared" si="22"/>
        <v>3.6565990510557568E-2</v>
      </c>
      <c r="W57" s="1153">
        <f t="shared" si="22"/>
        <v>3.6565990510557568E-2</v>
      </c>
      <c r="X57" s="1153">
        <f t="shared" si="22"/>
        <v>3.6565990510557568E-2</v>
      </c>
      <c r="Y57" s="1153">
        <f t="shared" si="22"/>
        <v>3.6565990510557568E-2</v>
      </c>
      <c r="Z57" s="1153">
        <f t="shared" si="22"/>
        <v>3.6565990510557568E-2</v>
      </c>
      <c r="AA57" s="1153">
        <f t="shared" si="22"/>
        <v>3.6565990510557568E-2</v>
      </c>
      <c r="AB57" s="1153">
        <f t="shared" si="22"/>
        <v>3.6565990510557568E-2</v>
      </c>
      <c r="AC57" s="1129"/>
      <c r="AD57" s="1129"/>
      <c r="AE57" s="1129"/>
      <c r="AF57" s="1129"/>
      <c r="AG57" s="1129"/>
      <c r="AH57" s="1129"/>
      <c r="AI57" s="1129"/>
      <c r="AJ57" s="1129"/>
      <c r="AK57" s="1129"/>
      <c r="AL57" s="1129"/>
      <c r="AM57" s="1129"/>
      <c r="AN57" s="1129"/>
      <c r="AO57" s="1129"/>
      <c r="AP57" s="1129"/>
      <c r="AQ57" s="1129"/>
      <c r="AR57" s="1129"/>
      <c r="AS57" s="1129">
        <v>0</v>
      </c>
      <c r="AT57" s="1129">
        <v>0</v>
      </c>
      <c r="AU57" s="1129">
        <v>0</v>
      </c>
      <c r="AV57" s="1129">
        <v>0</v>
      </c>
      <c r="AW57" s="1129">
        <v>0</v>
      </c>
      <c r="AX57" s="1129">
        <v>0</v>
      </c>
      <c r="AY57" s="1129">
        <v>0</v>
      </c>
      <c r="AZ57" s="1129">
        <v>0</v>
      </c>
      <c r="BA57" s="1129">
        <v>0</v>
      </c>
      <c r="BB57" s="1129">
        <v>0</v>
      </c>
    </row>
    <row r="58" spans="1:54" s="922" customFormat="1" x14ac:dyDescent="0.25">
      <c r="A58" s="987"/>
      <c r="B58" s="828" t="s">
        <v>1489</v>
      </c>
      <c r="J58" s="1141">
        <f t="shared" si="20"/>
        <v>0.16343856223175962</v>
      </c>
      <c r="K58" s="1141">
        <f t="shared" si="20"/>
        <v>-0.35003968762183241</v>
      </c>
      <c r="L58" s="1141">
        <f t="shared" ref="L58:P58" si="23">L52/L10</f>
        <v>-4.6361190202275693E-2</v>
      </c>
      <c r="M58" s="1141">
        <f t="shared" si="23"/>
        <v>-2.6580767134831415E-2</v>
      </c>
      <c r="N58" s="1141">
        <f t="shared" si="23"/>
        <v>8.1322720238095336E-2</v>
      </c>
      <c r="O58" s="1141">
        <f t="shared" si="23"/>
        <v>0.20397405376146785</v>
      </c>
      <c r="P58" s="1142">
        <f t="shared" si="23"/>
        <v>1.8129793278463615E-2</v>
      </c>
      <c r="Q58" s="1321">
        <f>AVERAGE(J58:P58)</f>
        <v>6.2690692215495569E-3</v>
      </c>
      <c r="R58" s="1313">
        <f>Q58</f>
        <v>6.2690692215495569E-3</v>
      </c>
      <c r="S58" s="1153">
        <f>R58</f>
        <v>6.2690692215495569E-3</v>
      </c>
      <c r="T58" s="1153">
        <f t="shared" ref="T58:AC58" si="24">S58</f>
        <v>6.2690692215495569E-3</v>
      </c>
      <c r="U58" s="1153">
        <f t="shared" si="24"/>
        <v>6.2690692215495569E-3</v>
      </c>
      <c r="V58" s="1153">
        <f t="shared" si="24"/>
        <v>6.2690692215495569E-3</v>
      </c>
      <c r="W58" s="1153">
        <f t="shared" si="24"/>
        <v>6.2690692215495569E-3</v>
      </c>
      <c r="X58" s="1153">
        <f t="shared" si="24"/>
        <v>6.2690692215495569E-3</v>
      </c>
      <c r="Y58" s="1153">
        <f t="shared" si="24"/>
        <v>6.2690692215495569E-3</v>
      </c>
      <c r="Z58" s="1153">
        <f t="shared" si="24"/>
        <v>6.2690692215495569E-3</v>
      </c>
      <c r="AA58" s="1153">
        <f t="shared" si="24"/>
        <v>6.2690692215495569E-3</v>
      </c>
      <c r="AB58" s="1153">
        <f t="shared" si="24"/>
        <v>6.2690692215495569E-3</v>
      </c>
      <c r="AC58" s="1129">
        <f t="shared" si="24"/>
        <v>6.2690692215495569E-3</v>
      </c>
      <c r="AD58" s="1129"/>
      <c r="AE58" s="1129"/>
      <c r="AF58" s="1129"/>
      <c r="AG58" s="1129"/>
      <c r="AH58" s="1129"/>
      <c r="AI58" s="1129"/>
      <c r="AJ58" s="1129"/>
      <c r="AK58" s="1129"/>
      <c r="AL58" s="1129"/>
      <c r="AM58" s="1129"/>
      <c r="AN58" s="1129"/>
      <c r="AO58" s="1129"/>
      <c r="AP58" s="1129"/>
      <c r="AQ58" s="1129"/>
      <c r="AR58" s="1129"/>
      <c r="AS58" s="1129">
        <v>0</v>
      </c>
      <c r="AT58" s="1129">
        <v>0</v>
      </c>
      <c r="AU58" s="1129">
        <v>0</v>
      </c>
      <c r="AV58" s="1129">
        <v>0</v>
      </c>
      <c r="AW58" s="1129">
        <v>0</v>
      </c>
      <c r="AX58" s="1129">
        <v>0</v>
      </c>
      <c r="AY58" s="1129">
        <v>0</v>
      </c>
      <c r="AZ58" s="1129">
        <v>0</v>
      </c>
      <c r="BA58" s="1129">
        <v>0</v>
      </c>
      <c r="BB58" s="1129">
        <v>0</v>
      </c>
    </row>
    <row r="59" spans="1:54" s="901" customFormat="1" x14ac:dyDescent="0.25">
      <c r="A59" s="983"/>
      <c r="B59" s="1045" t="s">
        <v>1253</v>
      </c>
      <c r="C59" s="992"/>
      <c r="D59" s="992"/>
      <c r="E59" s="992"/>
      <c r="F59" s="992"/>
      <c r="G59" s="992"/>
      <c r="H59" s="992"/>
      <c r="I59" s="992"/>
      <c r="J59" s="871">
        <f t="shared" si="20"/>
        <v>7.0274071463575422E-2</v>
      </c>
      <c r="K59" s="871">
        <f t="shared" si="20"/>
        <v>2.358017081206127E-2</v>
      </c>
      <c r="L59" s="871">
        <f t="shared" ref="L59:AB59" si="25">L53/L11</f>
        <v>1.9798192625479633E-2</v>
      </c>
      <c r="M59" s="871">
        <f t="shared" si="25"/>
        <v>-5.7753416195814977E-2</v>
      </c>
      <c r="N59" s="871">
        <f t="shared" si="25"/>
        <v>4.2863271977791086E-3</v>
      </c>
      <c r="O59" s="871">
        <f t="shared" si="25"/>
        <v>0.11198540170255851</v>
      </c>
      <c r="P59" s="930">
        <f t="shared" si="25"/>
        <v>7.9965952684718997E-2</v>
      </c>
      <c r="Q59" s="1288">
        <f t="shared" si="25"/>
        <v>3.3843278439114881E-2</v>
      </c>
      <c r="R59" s="1288">
        <f t="shared" si="25"/>
        <v>3.4145164413833987E-2</v>
      </c>
      <c r="S59" s="1154">
        <f t="shared" si="25"/>
        <v>3.4407472289231661E-2</v>
      </c>
      <c r="T59" s="1154">
        <f t="shared" si="25"/>
        <v>3.4480561046726241E-2</v>
      </c>
      <c r="U59" s="1154">
        <f t="shared" si="25"/>
        <v>3.4462079038891244E-2</v>
      </c>
      <c r="V59" s="1154">
        <f t="shared" si="25"/>
        <v>3.4443445558731453E-2</v>
      </c>
      <c r="W59" s="1154">
        <f t="shared" si="25"/>
        <v>3.4424659583867125E-2</v>
      </c>
      <c r="X59" s="1154">
        <f t="shared" si="25"/>
        <v>3.4424659583867118E-2</v>
      </c>
      <c r="Y59" s="1154">
        <f t="shared" si="25"/>
        <v>3.4424659583867118E-2</v>
      </c>
      <c r="Z59" s="1154">
        <f t="shared" si="25"/>
        <v>3.4424659583867125E-2</v>
      </c>
      <c r="AA59" s="1154">
        <f t="shared" si="25"/>
        <v>3.4424659583867118E-2</v>
      </c>
      <c r="AB59" s="1154">
        <f t="shared" si="25"/>
        <v>3.4424659583867118E-2</v>
      </c>
      <c r="AC59" s="1024"/>
      <c r="AD59" s="1024"/>
      <c r="AE59" s="1024"/>
      <c r="AF59" s="1024"/>
      <c r="AG59" s="1024"/>
      <c r="AH59" s="1024"/>
      <c r="AI59" s="1024"/>
      <c r="AJ59" s="1024"/>
      <c r="AK59" s="1024"/>
      <c r="AL59" s="1024"/>
      <c r="AM59" s="1024"/>
      <c r="AN59" s="1024"/>
      <c r="AO59" s="1024"/>
      <c r="AP59" s="1024"/>
      <c r="AQ59" s="1024"/>
      <c r="AR59" s="1024"/>
      <c r="AS59" s="1024" t="e">
        <v>#DIV/0!</v>
      </c>
      <c r="AT59" s="1024" t="e">
        <v>#DIV/0!</v>
      </c>
      <c r="AU59" s="1024" t="e">
        <v>#DIV/0!</v>
      </c>
      <c r="AV59" s="1024" t="e">
        <v>#DIV/0!</v>
      </c>
      <c r="AW59" s="1024" t="e">
        <v>#DIV/0!</v>
      </c>
      <c r="AX59" s="1024" t="e">
        <v>#DIV/0!</v>
      </c>
      <c r="AY59" s="1024" t="e">
        <v>#DIV/0!</v>
      </c>
      <c r="AZ59" s="1024" t="e">
        <v>#DIV/0!</v>
      </c>
      <c r="BA59" s="1024" t="e">
        <v>#DIV/0!</v>
      </c>
      <c r="BB59" s="1024" t="e">
        <v>#DIV/0!</v>
      </c>
    </row>
    <row r="60" spans="1:54" s="861" customFormat="1" x14ac:dyDescent="0.25">
      <c r="A60" s="1046"/>
      <c r="B60" s="1047"/>
      <c r="C60" s="1048"/>
      <c r="D60" s="1048"/>
      <c r="E60" s="1048"/>
      <c r="F60" s="1048"/>
      <c r="G60" s="1048"/>
      <c r="H60" s="1049"/>
      <c r="I60" s="1049"/>
      <c r="J60" s="1049"/>
      <c r="K60" s="1049"/>
      <c r="L60" s="1049"/>
      <c r="M60" s="1049"/>
      <c r="N60" s="1049"/>
      <c r="O60" s="1049"/>
      <c r="P60" s="1143"/>
      <c r="Q60" s="1049"/>
      <c r="R60" s="1049"/>
      <c r="S60" s="1144"/>
      <c r="T60" s="1144"/>
      <c r="U60" s="1144"/>
    </row>
    <row r="61" spans="1:54" s="1007" customFormat="1" x14ac:dyDescent="0.25">
      <c r="A61" s="999"/>
      <c r="B61" s="1000"/>
      <c r="C61" s="1001"/>
      <c r="D61" s="1001"/>
      <c r="E61" s="1001"/>
      <c r="F61" s="1001"/>
      <c r="G61" s="1001"/>
      <c r="H61" s="1002"/>
      <c r="I61" s="1002"/>
      <c r="J61" s="1002"/>
      <c r="K61" s="1002"/>
      <c r="L61" s="1002"/>
      <c r="M61" s="1002"/>
      <c r="N61" s="1002"/>
      <c r="O61" s="1002"/>
      <c r="P61" s="1021"/>
      <c r="Q61" s="1002"/>
      <c r="R61" s="1002"/>
      <c r="S61" s="1006"/>
      <c r="T61" s="1006"/>
      <c r="U61" s="1006"/>
    </row>
    <row r="62" spans="1:54" x14ac:dyDescent="0.25">
      <c r="B62" s="981"/>
      <c r="N62" s="1145"/>
      <c r="O62" s="821"/>
      <c r="P62" s="822"/>
      <c r="Q62" s="821"/>
      <c r="R62" s="821"/>
      <c r="S62" s="821"/>
    </row>
    <row r="63" spans="1:54" s="1007" customFormat="1" x14ac:dyDescent="0.25">
      <c r="A63" s="999"/>
      <c r="B63" s="1000"/>
      <c r="C63" s="1001"/>
      <c r="D63" s="1001"/>
      <c r="E63" s="1001"/>
      <c r="F63" s="1001"/>
      <c r="G63" s="1001"/>
      <c r="H63" s="1002"/>
      <c r="I63" s="1002"/>
      <c r="J63" s="1002"/>
      <c r="K63" s="1002"/>
      <c r="L63" s="1002"/>
      <c r="M63" s="1002"/>
      <c r="N63" s="1002"/>
      <c r="O63" s="1002"/>
      <c r="P63" s="1021"/>
      <c r="Q63" s="1002"/>
      <c r="R63" s="1002"/>
      <c r="S63" s="1006"/>
      <c r="T63" s="1006"/>
      <c r="U63" s="1006"/>
    </row>
    <row r="64" spans="1:54" s="1007" customFormat="1" x14ac:dyDescent="0.25">
      <c r="A64" s="999"/>
      <c r="B64" s="1050"/>
      <c r="C64" s="1001"/>
      <c r="D64" s="1001"/>
      <c r="E64" s="1001"/>
      <c r="F64" s="1001"/>
      <c r="G64" s="1001"/>
      <c r="H64" s="1002"/>
      <c r="I64" s="1002"/>
      <c r="J64" s="1002"/>
      <c r="K64" s="1002"/>
      <c r="L64" s="1002"/>
      <c r="M64" s="1002"/>
      <c r="N64" s="1002"/>
      <c r="O64" s="1002"/>
      <c r="P64" s="1021"/>
      <c r="Q64" s="1002"/>
      <c r="R64" s="1002"/>
      <c r="S64" s="1006"/>
      <c r="T64" s="1006"/>
      <c r="U64" s="1006"/>
    </row>
    <row r="65" spans="1:21" s="1007" customFormat="1" x14ac:dyDescent="0.25">
      <c r="A65" s="999"/>
      <c r="B65" s="1000"/>
      <c r="C65" s="1001"/>
      <c r="D65" s="1001"/>
      <c r="E65" s="1001"/>
      <c r="F65" s="1001"/>
      <c r="G65" s="1001"/>
      <c r="H65" s="1002"/>
      <c r="I65" s="1002"/>
      <c r="J65" s="1002"/>
      <c r="K65" s="1002"/>
      <c r="L65" s="1002"/>
      <c r="M65" s="1002"/>
      <c r="N65" s="1002"/>
      <c r="O65" s="1002"/>
      <c r="P65" s="1021"/>
      <c r="Q65" s="1002"/>
      <c r="R65" s="1002"/>
      <c r="S65" s="1006"/>
      <c r="T65" s="1006"/>
      <c r="U65" s="1006"/>
    </row>
    <row r="66" spans="1:21" s="1007" customFormat="1" x14ac:dyDescent="0.25">
      <c r="A66" s="999"/>
      <c r="B66" s="1000"/>
      <c r="C66" s="1001"/>
      <c r="D66" s="1001"/>
      <c r="E66" s="1001"/>
      <c r="F66" s="1001"/>
      <c r="G66" s="1001"/>
      <c r="H66" s="1002"/>
      <c r="I66" s="1002"/>
      <c r="J66" s="1002"/>
      <c r="K66" s="1002"/>
      <c r="L66" s="1002"/>
      <c r="M66" s="1002"/>
      <c r="N66" s="1002"/>
      <c r="O66" s="1002"/>
      <c r="P66" s="1021"/>
      <c r="Q66" s="1002"/>
      <c r="R66" s="1002"/>
      <c r="S66" s="1006"/>
      <c r="T66" s="1006"/>
      <c r="U66" s="1006"/>
    </row>
    <row r="67" spans="1:21" s="1007" customFormat="1" x14ac:dyDescent="0.25">
      <c r="A67" s="999"/>
      <c r="B67" s="1000"/>
      <c r="C67" s="1001"/>
      <c r="D67" s="1001"/>
      <c r="E67" s="1001"/>
      <c r="F67" s="1001"/>
      <c r="G67" s="1001"/>
      <c r="H67" s="1002"/>
      <c r="I67" s="1002"/>
      <c r="J67" s="1002"/>
      <c r="K67" s="1002"/>
      <c r="L67" s="1002"/>
      <c r="M67" s="1002"/>
      <c r="N67" s="1002"/>
      <c r="O67" s="1002"/>
      <c r="P67" s="1021"/>
      <c r="Q67" s="1002"/>
      <c r="R67" s="1002"/>
      <c r="S67" s="1006"/>
      <c r="T67" s="1006"/>
      <c r="U67" s="1006"/>
    </row>
    <row r="68" spans="1:21" s="1007" customFormat="1" x14ac:dyDescent="0.25">
      <c r="A68" s="999"/>
      <c r="B68" s="1000"/>
      <c r="C68" s="1001"/>
      <c r="D68" s="1001"/>
      <c r="E68" s="1001"/>
      <c r="F68" s="1001"/>
      <c r="G68" s="1001"/>
      <c r="H68" s="1002"/>
      <c r="I68" s="1002"/>
      <c r="J68" s="1002"/>
      <c r="K68" s="1002"/>
      <c r="L68" s="1002"/>
      <c r="M68" s="1002"/>
      <c r="N68" s="1002"/>
      <c r="O68" s="1002"/>
      <c r="P68" s="1021"/>
      <c r="Q68" s="1002"/>
      <c r="R68" s="1002"/>
      <c r="S68" s="1006"/>
      <c r="T68" s="1006"/>
      <c r="U68" s="1006"/>
    </row>
    <row r="69" spans="1:21" s="1007" customFormat="1" x14ac:dyDescent="0.25">
      <c r="A69" s="999"/>
      <c r="B69" s="1000"/>
      <c r="C69" s="1001"/>
      <c r="D69" s="1001"/>
      <c r="E69" s="1001"/>
      <c r="F69" s="1001"/>
      <c r="G69" s="1001"/>
      <c r="H69" s="1002"/>
      <c r="I69" s="1002"/>
      <c r="J69" s="1002"/>
      <c r="K69" s="1002"/>
      <c r="L69" s="1002"/>
      <c r="M69" s="1002"/>
      <c r="N69" s="1002"/>
      <c r="O69" s="1002"/>
      <c r="P69" s="1021"/>
      <c r="Q69" s="1002"/>
      <c r="R69" s="1002"/>
      <c r="S69" s="1006"/>
      <c r="T69" s="1006"/>
      <c r="U69" s="1006"/>
    </row>
    <row r="70" spans="1:21" s="1007" customFormat="1" x14ac:dyDescent="0.25">
      <c r="A70" s="999"/>
      <c r="B70" s="1000"/>
      <c r="C70" s="1001"/>
      <c r="D70" s="1001"/>
      <c r="E70" s="1001"/>
      <c r="F70" s="1001"/>
      <c r="G70" s="1001"/>
      <c r="H70" s="1002"/>
      <c r="I70" s="1002"/>
      <c r="J70" s="1002"/>
      <c r="K70" s="1002"/>
      <c r="L70" s="1002"/>
      <c r="M70" s="1002"/>
      <c r="N70" s="1002"/>
      <c r="O70" s="1002"/>
      <c r="P70" s="1021"/>
      <c r="Q70" s="1002"/>
      <c r="R70" s="1002"/>
      <c r="S70" s="1006"/>
      <c r="T70" s="1006"/>
      <c r="U70" s="1006"/>
    </row>
    <row r="71" spans="1:21" s="1007" customFormat="1" x14ac:dyDescent="0.25">
      <c r="A71" s="999"/>
      <c r="B71" s="1000"/>
      <c r="C71" s="1001"/>
      <c r="D71" s="1001"/>
      <c r="E71" s="1001"/>
      <c r="F71" s="1001"/>
      <c r="G71" s="1001"/>
      <c r="H71" s="1002"/>
      <c r="I71" s="1002"/>
      <c r="J71" s="1002"/>
      <c r="K71" s="1002"/>
      <c r="L71" s="1002"/>
      <c r="M71" s="1002"/>
      <c r="N71" s="1002"/>
      <c r="O71" s="1002"/>
      <c r="P71" s="1021"/>
      <c r="Q71" s="1002"/>
      <c r="R71" s="1002"/>
      <c r="S71" s="1006"/>
      <c r="T71" s="1006"/>
      <c r="U71" s="1006"/>
    </row>
    <row r="72" spans="1:21" s="1007" customFormat="1" x14ac:dyDescent="0.25">
      <c r="A72" s="999"/>
      <c r="B72" s="1000"/>
      <c r="C72" s="1001"/>
      <c r="D72" s="1001"/>
      <c r="E72" s="1001"/>
      <c r="F72" s="1001"/>
      <c r="G72" s="1001"/>
      <c r="H72" s="1002"/>
      <c r="I72" s="1002"/>
      <c r="J72" s="1002"/>
      <c r="K72" s="1002"/>
      <c r="L72" s="1002"/>
      <c r="M72" s="1002"/>
      <c r="N72" s="1002"/>
      <c r="O72" s="1002"/>
      <c r="P72" s="1021"/>
      <c r="Q72" s="1002"/>
      <c r="R72" s="1002"/>
      <c r="S72" s="1006"/>
      <c r="T72" s="1006"/>
      <c r="U72" s="1006"/>
    </row>
    <row r="73" spans="1:21" x14ac:dyDescent="0.25">
      <c r="A73" s="821"/>
      <c r="B73" s="1051"/>
      <c r="N73" s="1039"/>
      <c r="P73" s="1040"/>
      <c r="T73" s="1039"/>
      <c r="U73" s="1039"/>
    </row>
    <row r="74" spans="1:21" x14ac:dyDescent="0.25">
      <c r="A74" s="821"/>
      <c r="N74" s="1039"/>
      <c r="P74" s="1040"/>
    </row>
    <row r="75" spans="1:21" x14ac:dyDescent="0.25">
      <c r="A75" s="821"/>
      <c r="N75" s="1039"/>
      <c r="P75" s="1040"/>
    </row>
    <row r="76" spans="1:21" x14ac:dyDescent="0.25">
      <c r="A76" s="821"/>
      <c r="N76" s="1039"/>
      <c r="P76" s="1040"/>
    </row>
    <row r="77" spans="1:21" x14ac:dyDescent="0.25">
      <c r="A77" s="821"/>
      <c r="N77" s="1039"/>
      <c r="P77" s="1040"/>
    </row>
    <row r="78" spans="1:21" x14ac:dyDescent="0.25">
      <c r="A78" s="821"/>
      <c r="N78" s="1039"/>
      <c r="P78" s="1040"/>
    </row>
    <row r="79" spans="1:21" x14ac:dyDescent="0.25">
      <c r="A79" s="821"/>
      <c r="N79" s="1039"/>
      <c r="P79" s="1040"/>
    </row>
    <row r="80" spans="1:21" x14ac:dyDescent="0.25">
      <c r="A80" s="821"/>
      <c r="N80" s="1039"/>
      <c r="P80" s="1040"/>
    </row>
    <row r="81" spans="1:19" x14ac:dyDescent="0.25">
      <c r="A81" s="821"/>
      <c r="N81" s="1039"/>
      <c r="P81" s="1040"/>
    </row>
    <row r="82" spans="1:19" x14ac:dyDescent="0.25">
      <c r="A82" s="821"/>
      <c r="N82" s="1039"/>
      <c r="P82" s="1040"/>
    </row>
    <row r="83" spans="1:19" x14ac:dyDescent="0.25">
      <c r="A83" s="821"/>
      <c r="N83" s="1039"/>
      <c r="P83" s="1040"/>
    </row>
    <row r="84" spans="1:19" x14ac:dyDescent="0.25">
      <c r="A84" s="821"/>
      <c r="N84" s="1039"/>
      <c r="P84" s="1040"/>
    </row>
    <row r="85" spans="1:19" x14ac:dyDescent="0.25">
      <c r="A85" s="821"/>
      <c r="N85" s="1039"/>
      <c r="P85" s="1040"/>
    </row>
    <row r="86" spans="1:19" x14ac:dyDescent="0.25">
      <c r="A86" s="821"/>
      <c r="N86" s="1039"/>
      <c r="P86" s="1040"/>
    </row>
    <row r="87" spans="1:19" x14ac:dyDescent="0.25">
      <c r="A87" s="821"/>
      <c r="N87" s="1039"/>
      <c r="P87" s="1040"/>
    </row>
    <row r="88" spans="1:19" x14ac:dyDescent="0.25">
      <c r="A88" s="821"/>
      <c r="N88" s="1039"/>
      <c r="P88" s="1040"/>
    </row>
    <row r="89" spans="1:19" x14ac:dyDescent="0.25">
      <c r="A89" s="821"/>
      <c r="N89" s="821"/>
      <c r="O89" s="821"/>
      <c r="P89" s="822"/>
      <c r="Q89" s="821"/>
      <c r="R89" s="821"/>
      <c r="S89" s="821"/>
    </row>
    <row r="90" spans="1:19" x14ac:dyDescent="0.25">
      <c r="A90" s="821"/>
      <c r="N90" s="821"/>
      <c r="O90" s="821"/>
      <c r="P90" s="822"/>
      <c r="Q90" s="821"/>
      <c r="R90" s="821"/>
      <c r="S90" s="821"/>
    </row>
    <row r="91" spans="1:19" x14ac:dyDescent="0.25">
      <c r="A91" s="821"/>
      <c r="N91" s="821"/>
      <c r="O91" s="821"/>
      <c r="P91" s="822"/>
      <c r="Q91" s="821"/>
      <c r="R91" s="821"/>
      <c r="S91" s="821"/>
    </row>
    <row r="92" spans="1:19" x14ac:dyDescent="0.25">
      <c r="A92" s="821"/>
      <c r="N92" s="821"/>
      <c r="O92" s="821"/>
      <c r="P92" s="822"/>
      <c r="Q92" s="821"/>
      <c r="R92" s="821"/>
      <c r="S92" s="821"/>
    </row>
    <row r="93" spans="1:19" x14ac:dyDescent="0.25">
      <c r="A93" s="821"/>
      <c r="N93" s="821"/>
      <c r="O93" s="821"/>
      <c r="P93" s="822"/>
      <c r="Q93" s="821"/>
      <c r="R93" s="821"/>
      <c r="S93" s="821"/>
    </row>
    <row r="94" spans="1:19" x14ac:dyDescent="0.25">
      <c r="A94" s="821"/>
      <c r="N94" s="821"/>
      <c r="O94" s="821"/>
      <c r="P94" s="822"/>
      <c r="Q94" s="821"/>
      <c r="R94" s="821"/>
      <c r="S94" s="821"/>
    </row>
    <row r="95" spans="1:19" x14ac:dyDescent="0.25">
      <c r="A95" s="821"/>
      <c r="N95" s="821"/>
      <c r="O95" s="821"/>
      <c r="P95" s="822"/>
      <c r="Q95" s="821"/>
      <c r="R95" s="821"/>
      <c r="S95" s="821"/>
    </row>
    <row r="96" spans="1:19" x14ac:dyDescent="0.25">
      <c r="A96" s="821"/>
      <c r="N96" s="821"/>
      <c r="O96" s="821"/>
      <c r="P96" s="822"/>
      <c r="Q96" s="821"/>
      <c r="R96" s="821"/>
      <c r="S96" s="821"/>
    </row>
    <row r="97" spans="16:16" s="821" customFormat="1" x14ac:dyDescent="0.25">
      <c r="P97" s="822"/>
    </row>
    <row r="98" spans="16:16" s="821" customFormat="1" x14ac:dyDescent="0.25">
      <c r="P98" s="822"/>
    </row>
    <row r="99" spans="16:16" s="821" customFormat="1" x14ac:dyDescent="0.25">
      <c r="P99" s="822"/>
    </row>
    <row r="100" spans="16:16" s="821" customFormat="1" x14ac:dyDescent="0.25">
      <c r="P100" s="822"/>
    </row>
    <row r="101" spans="16:16" s="821" customFormat="1" x14ac:dyDescent="0.25">
      <c r="P101" s="822"/>
    </row>
    <row r="102" spans="16:16" s="821" customFormat="1" x14ac:dyDescent="0.25">
      <c r="P102" s="822"/>
    </row>
    <row r="103" spans="16:16" s="821" customFormat="1" x14ac:dyDescent="0.25">
      <c r="P103" s="822"/>
    </row>
    <row r="104" spans="16:16" s="821" customFormat="1" x14ac:dyDescent="0.25">
      <c r="P104" s="822"/>
    </row>
    <row r="105" spans="16:16" s="821" customFormat="1" x14ac:dyDescent="0.25">
      <c r="P105" s="822"/>
    </row>
    <row r="106" spans="16:16" s="821" customFormat="1" x14ac:dyDescent="0.25">
      <c r="P106" s="822"/>
    </row>
    <row r="107" spans="16:16" s="821" customFormat="1" x14ac:dyDescent="0.25">
      <c r="P107" s="822"/>
    </row>
    <row r="108" spans="16:16" s="821" customFormat="1" x14ac:dyDescent="0.25">
      <c r="P108" s="822"/>
    </row>
    <row r="109" spans="16:16" s="821" customFormat="1" x14ac:dyDescent="0.25">
      <c r="P109" s="822"/>
    </row>
    <row r="110" spans="16:16" s="821" customFormat="1" x14ac:dyDescent="0.25">
      <c r="P110" s="822"/>
    </row>
    <row r="111" spans="16:16" s="821" customFormat="1" x14ac:dyDescent="0.25">
      <c r="P111" s="822"/>
    </row>
    <row r="112" spans="16:16" s="821" customFormat="1" x14ac:dyDescent="0.25">
      <c r="P112" s="822"/>
    </row>
    <row r="113" spans="16:16" s="821" customFormat="1" x14ac:dyDescent="0.25">
      <c r="P113" s="822"/>
    </row>
    <row r="114" spans="16:16" s="821" customFormat="1" x14ac:dyDescent="0.25">
      <c r="P114" s="822"/>
    </row>
    <row r="115" spans="16:16" s="821" customFormat="1" x14ac:dyDescent="0.25">
      <c r="P115" s="822"/>
    </row>
    <row r="116" spans="16:16" s="821" customFormat="1" x14ac:dyDescent="0.25">
      <c r="P116" s="822"/>
    </row>
    <row r="117" spans="16:16" s="821" customFormat="1" x14ac:dyDescent="0.25">
      <c r="P117" s="822"/>
    </row>
    <row r="118" spans="16:16" s="821" customFormat="1" x14ac:dyDescent="0.25">
      <c r="P118" s="822"/>
    </row>
    <row r="119" spans="16:16" s="821" customFormat="1" x14ac:dyDescent="0.25">
      <c r="P119" s="822"/>
    </row>
    <row r="120" spans="16:16" s="821" customFormat="1" x14ac:dyDescent="0.25">
      <c r="P120" s="822"/>
    </row>
    <row r="121" spans="16:16" s="821" customFormat="1" x14ac:dyDescent="0.25">
      <c r="P121" s="822"/>
    </row>
    <row r="122" spans="16:16" s="821" customFormat="1" x14ac:dyDescent="0.25">
      <c r="P122" s="822"/>
    </row>
    <row r="123" spans="16:16" s="821" customFormat="1" x14ac:dyDescent="0.25">
      <c r="P123" s="822"/>
    </row>
    <row r="124" spans="16:16" s="821" customFormat="1" x14ac:dyDescent="0.25">
      <c r="P124" s="822"/>
    </row>
    <row r="125" spans="16:16" s="821" customFormat="1" x14ac:dyDescent="0.25">
      <c r="P125" s="822"/>
    </row>
    <row r="126" spans="16:16" s="821" customFormat="1" x14ac:dyDescent="0.25">
      <c r="P126" s="822"/>
    </row>
    <row r="127" spans="16:16" s="821" customFormat="1" x14ac:dyDescent="0.25">
      <c r="P127" s="822"/>
    </row>
    <row r="128" spans="16:16" s="821" customFormat="1" x14ac:dyDescent="0.25">
      <c r="P128" s="822"/>
    </row>
    <row r="129" spans="16:16" s="821" customFormat="1" x14ac:dyDescent="0.25">
      <c r="P129" s="822"/>
    </row>
    <row r="130" spans="16:16" s="821" customFormat="1" x14ac:dyDescent="0.25">
      <c r="P130" s="822"/>
    </row>
    <row r="131" spans="16:16" s="821" customFormat="1" x14ac:dyDescent="0.25">
      <c r="P131" s="822"/>
    </row>
    <row r="132" spans="16:16" s="821" customFormat="1" x14ac:dyDescent="0.25">
      <c r="P132" s="822"/>
    </row>
    <row r="133" spans="16:16" s="821" customFormat="1" x14ac:dyDescent="0.25">
      <c r="P133" s="822"/>
    </row>
    <row r="134" spans="16:16" x14ac:dyDescent="0.25">
      <c r="P134" s="1040"/>
    </row>
    <row r="135" spans="16:16" x14ac:dyDescent="0.25">
      <c r="P135" s="1040"/>
    </row>
    <row r="136" spans="16:16" x14ac:dyDescent="0.25">
      <c r="P136" s="1040"/>
    </row>
    <row r="137" spans="16:16" x14ac:dyDescent="0.25">
      <c r="P137" s="1040"/>
    </row>
    <row r="138" spans="16:16" x14ac:dyDescent="0.25">
      <c r="P138" s="1040"/>
    </row>
    <row r="139" spans="16:16" x14ac:dyDescent="0.25">
      <c r="P139" s="1040"/>
    </row>
    <row r="140" spans="16:16" x14ac:dyDescent="0.25">
      <c r="P140" s="1040"/>
    </row>
    <row r="141" spans="16:16" x14ac:dyDescent="0.25">
      <c r="P141" s="1040"/>
    </row>
    <row r="142" spans="16:16" x14ac:dyDescent="0.25">
      <c r="P142" s="1040"/>
    </row>
    <row r="143" spans="16:16" x14ac:dyDescent="0.25">
      <c r="P143" s="1040"/>
    </row>
    <row r="144" spans="16:16" x14ac:dyDescent="0.25">
      <c r="P144" s="1040"/>
    </row>
    <row r="145" spans="16:16" x14ac:dyDescent="0.25">
      <c r="P145" s="1040"/>
    </row>
    <row r="146" spans="16:16" x14ac:dyDescent="0.25">
      <c r="P146" s="1040"/>
    </row>
    <row r="147" spans="16:16" x14ac:dyDescent="0.25">
      <c r="P147" s="1040"/>
    </row>
    <row r="148" spans="16:16" x14ac:dyDescent="0.25">
      <c r="P148" s="1040"/>
    </row>
    <row r="149" spans="16:16" x14ac:dyDescent="0.25">
      <c r="P149" s="1040"/>
    </row>
    <row r="150" spans="16:16" x14ac:dyDescent="0.25">
      <c r="P150" s="1040"/>
    </row>
    <row r="151" spans="16:16" x14ac:dyDescent="0.25">
      <c r="P151" s="1040"/>
    </row>
    <row r="152" spans="16:16" x14ac:dyDescent="0.25">
      <c r="P152" s="1040"/>
    </row>
    <row r="153" spans="16:16" x14ac:dyDescent="0.25">
      <c r="P153" s="1040"/>
    </row>
    <row r="154" spans="16:16" x14ac:dyDescent="0.25">
      <c r="P154" s="1040"/>
    </row>
    <row r="155" spans="16:16" x14ac:dyDescent="0.25">
      <c r="P155" s="1040"/>
    </row>
    <row r="156" spans="16:16" x14ac:dyDescent="0.25">
      <c r="P156" s="1040"/>
    </row>
    <row r="157" spans="16:16" x14ac:dyDescent="0.25">
      <c r="P157" s="1040"/>
    </row>
    <row r="158" spans="16:16" x14ac:dyDescent="0.25">
      <c r="P158" s="1040"/>
    </row>
    <row r="159" spans="16:16" x14ac:dyDescent="0.25">
      <c r="P159" s="1040"/>
    </row>
    <row r="160" spans="16:16" x14ac:dyDescent="0.25">
      <c r="P160" s="1040"/>
    </row>
    <row r="161" spans="16:16" x14ac:dyDescent="0.25">
      <c r="P161" s="1040"/>
    </row>
    <row r="162" spans="16:16" x14ac:dyDescent="0.25">
      <c r="P162" s="1040"/>
    </row>
    <row r="163" spans="16:16" x14ac:dyDescent="0.25">
      <c r="P163" s="1040"/>
    </row>
    <row r="164" spans="16:16" x14ac:dyDescent="0.25">
      <c r="P164" s="1040"/>
    </row>
    <row r="165" spans="16:16" x14ac:dyDescent="0.25">
      <c r="P165" s="1040"/>
    </row>
    <row r="166" spans="16:16" x14ac:dyDescent="0.25">
      <c r="P166" s="1040"/>
    </row>
    <row r="167" spans="16:16" x14ac:dyDescent="0.25">
      <c r="P167" s="1040"/>
    </row>
    <row r="168" spans="16:16" x14ac:dyDescent="0.25">
      <c r="P168" s="1040"/>
    </row>
    <row r="169" spans="16:16" x14ac:dyDescent="0.25">
      <c r="P169" s="1040"/>
    </row>
    <row r="170" spans="16:16" x14ac:dyDescent="0.25">
      <c r="P170" s="1040"/>
    </row>
    <row r="171" spans="16:16" x14ac:dyDescent="0.25">
      <c r="P171" s="1040"/>
    </row>
    <row r="172" spans="16:16" x14ac:dyDescent="0.25">
      <c r="P172" s="1040"/>
    </row>
    <row r="173" spans="16:16" x14ac:dyDescent="0.25">
      <c r="P173" s="1040"/>
    </row>
    <row r="174" spans="16:16" x14ac:dyDescent="0.25">
      <c r="P174" s="1040"/>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03BA-D62D-46C4-857F-C217F34F406B}">
  <dimension ref="A1:BU148"/>
  <sheetViews>
    <sheetView zoomScale="49" zoomScaleNormal="49" workbookViewId="0">
      <pane xSplit="1" ySplit="4" topLeftCell="B5" activePane="bottomRight" state="frozen"/>
      <selection pane="topRight" activeCell="B1" sqref="B1"/>
      <selection pane="bottomLeft" activeCell="A5" sqref="A5"/>
      <selection pane="bottomRight" activeCell="R4" sqref="R4"/>
    </sheetView>
  </sheetViews>
  <sheetFormatPr defaultColWidth="9.109375" defaultRowHeight="13.2" x14ac:dyDescent="0.25"/>
  <cols>
    <col min="1" max="1" width="3.33203125" style="642" customWidth="1"/>
    <col min="2" max="2" width="41.109375" style="642" customWidth="1"/>
    <col min="3" max="3" width="21.6640625" style="642" customWidth="1"/>
    <col min="4" max="6" width="11.44140625" style="642" customWidth="1"/>
    <col min="7" max="7" width="12.88671875" style="642" customWidth="1"/>
    <col min="8" max="8" width="13.33203125" style="642" customWidth="1"/>
    <col min="9" max="12" width="11.44140625" style="642" customWidth="1"/>
    <col min="13" max="14" width="11.44140625" style="781" customWidth="1"/>
    <col min="15" max="15" width="13.33203125" style="781" customWidth="1"/>
    <col min="16" max="16" width="14.6640625" style="781" customWidth="1"/>
    <col min="17" max="17" width="11.44140625" style="781" customWidth="1"/>
    <col min="18" max="18" width="14.5546875" style="781" customWidth="1"/>
    <col min="19" max="20" width="16.6640625" style="642" customWidth="1"/>
    <col min="21" max="21" width="19" style="642" customWidth="1"/>
    <col min="22" max="22" width="17.44140625" style="642" customWidth="1"/>
    <col min="23" max="23" width="17.33203125" style="642" customWidth="1"/>
    <col min="24" max="24" width="18.5546875" style="642" customWidth="1"/>
    <col min="25" max="25" width="13.44140625" style="642" customWidth="1"/>
    <col min="26" max="26" width="17.6640625" style="642" customWidth="1"/>
    <col min="27" max="27" width="22" style="642" customWidth="1"/>
    <col min="28" max="28" width="0.6640625" style="642" customWidth="1"/>
    <col min="29" max="29" width="15.109375" style="642" hidden="1" customWidth="1"/>
    <col min="30" max="30" width="15.44140625" style="642" hidden="1" customWidth="1"/>
    <col min="31" max="31" width="0.109375" style="642" hidden="1" customWidth="1"/>
    <col min="32" max="32" width="13.109375" style="642" hidden="1" customWidth="1"/>
    <col min="33" max="36" width="0.109375" style="642" hidden="1" customWidth="1"/>
    <col min="37" max="37" width="0.33203125" style="642" hidden="1" customWidth="1"/>
    <col min="38" max="38" width="12.6640625" style="642" hidden="1" customWidth="1"/>
    <col min="39" max="39" width="0.33203125" style="642" hidden="1" customWidth="1"/>
    <col min="40" max="40" width="0.44140625" style="642" hidden="1" customWidth="1"/>
    <col min="41" max="41" width="0.21875" style="642" hidden="1" customWidth="1"/>
    <col min="42" max="42" width="10.5546875" style="642" hidden="1" customWidth="1"/>
    <col min="43" max="43" width="7.109375" style="642" hidden="1" customWidth="1"/>
    <col min="44" max="45" width="0.109375" style="642" hidden="1" customWidth="1"/>
    <col min="46" max="46" width="0.33203125" style="642" hidden="1" customWidth="1"/>
    <col min="47" max="47" width="13.33203125" style="642" hidden="1" customWidth="1"/>
    <col min="48" max="48" width="0.44140625" style="642" hidden="1" customWidth="1"/>
    <col min="49" max="49" width="8.88671875" style="642" hidden="1" customWidth="1"/>
    <col min="50" max="50" width="0.109375" style="642" hidden="1" customWidth="1"/>
    <col min="51" max="51" width="13.109375" style="642" hidden="1" customWidth="1"/>
    <col min="52" max="52" width="0.5546875" style="642" hidden="1" customWidth="1"/>
    <col min="53" max="53" width="0.109375" style="642" hidden="1" customWidth="1"/>
    <col min="54" max="54" width="5.6640625" style="642" customWidth="1"/>
    <col min="55" max="55" width="72.33203125" style="642" customWidth="1"/>
    <col min="56" max="56" width="11.6640625" style="642" customWidth="1"/>
    <col min="57" max="16384" width="9.109375" style="642"/>
  </cols>
  <sheetData>
    <row r="1" spans="2:73" s="1156" customFormat="1" x14ac:dyDescent="0.25">
      <c r="B1" s="1155">
        <v>1</v>
      </c>
      <c r="M1" s="1157"/>
      <c r="N1" s="1158">
        <v>1</v>
      </c>
      <c r="O1" s="1158">
        <v>2</v>
      </c>
      <c r="P1" s="1159">
        <v>3</v>
      </c>
      <c r="Q1" s="1160">
        <v>4</v>
      </c>
      <c r="R1" s="1160">
        <v>5</v>
      </c>
      <c r="S1" s="1160">
        <v>6</v>
      </c>
      <c r="T1" s="1160">
        <v>7</v>
      </c>
      <c r="U1" s="1160">
        <v>8</v>
      </c>
      <c r="V1" s="1160">
        <v>9</v>
      </c>
      <c r="W1" s="1160">
        <v>10</v>
      </c>
      <c r="X1" s="1160">
        <v>11</v>
      </c>
      <c r="Y1" s="1160">
        <v>12</v>
      </c>
      <c r="Z1" s="1160">
        <v>13</v>
      </c>
      <c r="AA1" s="1160">
        <v>14</v>
      </c>
      <c r="AB1" s="1160">
        <v>15</v>
      </c>
      <c r="AC1" s="1160">
        <v>16</v>
      </c>
      <c r="AD1" s="1160">
        <v>17</v>
      </c>
      <c r="AE1" s="1160">
        <v>18</v>
      </c>
      <c r="AF1" s="1160">
        <v>19</v>
      </c>
      <c r="AG1" s="1160">
        <v>20</v>
      </c>
      <c r="AH1" s="1160">
        <v>21</v>
      </c>
      <c r="AI1" s="1160">
        <v>22</v>
      </c>
      <c r="AJ1" s="1160">
        <v>23</v>
      </c>
      <c r="AK1" s="1160">
        <v>24</v>
      </c>
      <c r="AL1" s="1160">
        <v>25</v>
      </c>
      <c r="AM1" s="1160">
        <v>26</v>
      </c>
      <c r="AN1" s="1160">
        <v>27</v>
      </c>
      <c r="AO1" s="1160">
        <v>28</v>
      </c>
      <c r="AP1" s="1160">
        <v>29</v>
      </c>
      <c r="AQ1" s="1160">
        <v>30</v>
      </c>
      <c r="AR1" s="1160">
        <v>31</v>
      </c>
      <c r="AS1" s="1160">
        <v>32</v>
      </c>
      <c r="AT1" s="1160">
        <v>33</v>
      </c>
      <c r="AU1" s="1160">
        <v>34</v>
      </c>
      <c r="AV1" s="1160">
        <v>35</v>
      </c>
      <c r="AW1" s="1160">
        <v>36</v>
      </c>
      <c r="AX1" s="1160">
        <v>37</v>
      </c>
      <c r="AY1" s="1160">
        <v>38</v>
      </c>
      <c r="AZ1" s="1160">
        <v>39</v>
      </c>
      <c r="BA1" s="1160">
        <v>40</v>
      </c>
    </row>
    <row r="2" spans="2:73" s="643" customFormat="1" x14ac:dyDescent="0.25">
      <c r="C2" s="643" t="str">
        <f t="shared" ref="C2:BA2" ca="1" si="0">IF(TODAY()&lt;C3,"Proj","")</f>
        <v/>
      </c>
      <c r="D2" s="1161" t="str">
        <f t="shared" ca="1" si="0"/>
        <v/>
      </c>
      <c r="F2" s="643" t="str">
        <f t="shared" ca="1" si="0"/>
        <v/>
      </c>
      <c r="G2" s="643" t="str">
        <f t="shared" ca="1" si="0"/>
        <v/>
      </c>
      <c r="H2" s="643" t="str">
        <f t="shared" ca="1" si="0"/>
        <v/>
      </c>
      <c r="I2" s="643" t="str">
        <f t="shared" ca="1" si="0"/>
        <v/>
      </c>
      <c r="J2" s="643" t="str">
        <f t="shared" ca="1" si="0"/>
        <v/>
      </c>
      <c r="K2" s="643" t="str">
        <f t="shared" ca="1" si="0"/>
        <v/>
      </c>
      <c r="L2" s="643" t="str">
        <f t="shared" ca="1" si="0"/>
        <v/>
      </c>
      <c r="M2" s="643" t="str">
        <f t="shared" ca="1" si="0"/>
        <v/>
      </c>
      <c r="N2" s="1162" t="str">
        <f t="shared" ca="1" si="0"/>
        <v/>
      </c>
      <c r="O2" s="1162" t="str">
        <f t="shared" ca="1" si="0"/>
        <v/>
      </c>
      <c r="P2" s="1163" t="str">
        <f t="shared" ca="1" si="0"/>
        <v/>
      </c>
      <c r="Q2" s="1164" t="str">
        <f t="shared" ca="1" si="0"/>
        <v/>
      </c>
      <c r="R2" s="1164" t="str">
        <f t="shared" ca="1" si="0"/>
        <v/>
      </c>
      <c r="S2" s="1164" t="str">
        <f t="shared" ca="1" si="0"/>
        <v/>
      </c>
      <c r="T2" s="1164" t="str">
        <f t="shared" ca="1" si="0"/>
        <v>Proj</v>
      </c>
      <c r="U2" s="1164" t="str">
        <f t="shared" ca="1" si="0"/>
        <v>Proj</v>
      </c>
      <c r="V2" s="1164" t="str">
        <f t="shared" ca="1" si="0"/>
        <v>Proj</v>
      </c>
      <c r="W2" s="1164" t="str">
        <f t="shared" ca="1" si="0"/>
        <v>Proj</v>
      </c>
      <c r="X2" s="1164" t="str">
        <f t="shared" ca="1" si="0"/>
        <v>Proj</v>
      </c>
      <c r="Y2" s="1164" t="str">
        <f t="shared" ca="1" si="0"/>
        <v>Proj</v>
      </c>
      <c r="Z2" s="1164" t="str">
        <f t="shared" ca="1" si="0"/>
        <v>Proj</v>
      </c>
      <c r="AA2" s="1164" t="str">
        <f t="shared" ca="1" si="0"/>
        <v>Proj</v>
      </c>
      <c r="AB2" s="1164" t="str">
        <f t="shared" ca="1" si="0"/>
        <v>Proj</v>
      </c>
      <c r="AC2" s="1164" t="str">
        <f t="shared" ca="1" si="0"/>
        <v>Proj</v>
      </c>
      <c r="AD2" s="1164" t="str">
        <f t="shared" ca="1" si="0"/>
        <v>Proj</v>
      </c>
      <c r="AE2" s="1164" t="str">
        <f t="shared" ca="1" si="0"/>
        <v>Proj</v>
      </c>
      <c r="AF2" s="1164" t="str">
        <f t="shared" ca="1" si="0"/>
        <v>Proj</v>
      </c>
      <c r="AG2" s="1164" t="str">
        <f t="shared" ca="1" si="0"/>
        <v>Proj</v>
      </c>
      <c r="AH2" s="1164" t="str">
        <f t="shared" ca="1" si="0"/>
        <v>Proj</v>
      </c>
      <c r="AI2" s="1164" t="str">
        <f t="shared" ca="1" si="0"/>
        <v>Proj</v>
      </c>
      <c r="AJ2" s="1164" t="str">
        <f t="shared" ca="1" si="0"/>
        <v>Proj</v>
      </c>
      <c r="AK2" s="1164" t="str">
        <f t="shared" ca="1" si="0"/>
        <v>Proj</v>
      </c>
      <c r="AL2" s="1164" t="str">
        <f t="shared" ca="1" si="0"/>
        <v>Proj</v>
      </c>
      <c r="AM2" s="1164" t="str">
        <f t="shared" ca="1" si="0"/>
        <v>Proj</v>
      </c>
      <c r="AN2" s="1164" t="str">
        <f t="shared" ca="1" si="0"/>
        <v>Proj</v>
      </c>
      <c r="AO2" s="1164" t="str">
        <f t="shared" ca="1" si="0"/>
        <v>Proj</v>
      </c>
      <c r="AP2" s="1164" t="str">
        <f t="shared" ca="1" si="0"/>
        <v>Proj</v>
      </c>
      <c r="AQ2" s="1164" t="str">
        <f t="shared" ca="1" si="0"/>
        <v>Proj</v>
      </c>
      <c r="AR2" s="1164" t="str">
        <f t="shared" ca="1" si="0"/>
        <v>Proj</v>
      </c>
      <c r="AS2" s="1164" t="str">
        <f t="shared" ca="1" si="0"/>
        <v>Proj</v>
      </c>
      <c r="AT2" s="1164" t="str">
        <f t="shared" ca="1" si="0"/>
        <v>Proj</v>
      </c>
      <c r="AU2" s="1164" t="str">
        <f t="shared" ca="1" si="0"/>
        <v>Proj</v>
      </c>
      <c r="AV2" s="1164" t="str">
        <f t="shared" ca="1" si="0"/>
        <v>Proj</v>
      </c>
      <c r="AW2" s="1164" t="str">
        <f t="shared" ca="1" si="0"/>
        <v>Proj</v>
      </c>
      <c r="AX2" s="1164" t="str">
        <f t="shared" ca="1" si="0"/>
        <v>Proj</v>
      </c>
      <c r="AY2" s="1164" t="str">
        <f t="shared" ca="1" si="0"/>
        <v>Proj</v>
      </c>
      <c r="AZ2" s="1164" t="str">
        <f t="shared" ca="1" si="0"/>
        <v>Proj</v>
      </c>
      <c r="BA2" s="1164" t="str">
        <f t="shared" ca="1" si="0"/>
        <v>Proj</v>
      </c>
    </row>
    <row r="3" spans="2:73" s="643" customFormat="1" ht="13.8" thickBot="1" x14ac:dyDescent="0.3">
      <c r="B3" s="1165"/>
      <c r="C3" s="1165"/>
      <c r="D3" s="1166">
        <v>40178</v>
      </c>
      <c r="E3" s="1167">
        <f t="shared" ref="E3:Q3" si="1">DATE(YEAR(D3),MONTH(D3)+13,0)</f>
        <v>40543</v>
      </c>
      <c r="F3" s="1167">
        <f t="shared" si="1"/>
        <v>40908</v>
      </c>
      <c r="G3" s="1167">
        <f t="shared" si="1"/>
        <v>41274</v>
      </c>
      <c r="H3" s="1167">
        <f t="shared" si="1"/>
        <v>41639</v>
      </c>
      <c r="I3" s="1167">
        <f t="shared" si="1"/>
        <v>42004</v>
      </c>
      <c r="J3" s="1167">
        <f t="shared" si="1"/>
        <v>42369</v>
      </c>
      <c r="K3" s="1167">
        <f t="shared" si="1"/>
        <v>42735</v>
      </c>
      <c r="L3" s="1167">
        <f t="shared" si="1"/>
        <v>43100</v>
      </c>
      <c r="M3" s="1167">
        <f t="shared" si="1"/>
        <v>43465</v>
      </c>
      <c r="N3" s="1167">
        <f t="shared" si="1"/>
        <v>43830</v>
      </c>
      <c r="O3" s="1167">
        <f t="shared" si="1"/>
        <v>44196</v>
      </c>
      <c r="P3" s="1168">
        <f t="shared" si="1"/>
        <v>44561</v>
      </c>
      <c r="Q3" s="1169">
        <f t="shared" si="1"/>
        <v>44926</v>
      </c>
      <c r="R3" s="1169">
        <f>DATE(YEAR(Q3),MONTH(Q3)+13,0)</f>
        <v>45291</v>
      </c>
      <c r="S3" s="1169">
        <f t="shared" ref="S3:BA3" si="2">DATE(YEAR(R3),MONTH(R3)+13,0)</f>
        <v>45657</v>
      </c>
      <c r="T3" s="1169">
        <f t="shared" si="2"/>
        <v>46022</v>
      </c>
      <c r="U3" s="1169">
        <f t="shared" si="2"/>
        <v>46387</v>
      </c>
      <c r="V3" s="1169">
        <f t="shared" si="2"/>
        <v>46752</v>
      </c>
      <c r="W3" s="1169">
        <f t="shared" si="2"/>
        <v>47118</v>
      </c>
      <c r="X3" s="1169">
        <f t="shared" si="2"/>
        <v>47483</v>
      </c>
      <c r="Y3" s="1169">
        <f t="shared" si="2"/>
        <v>47848</v>
      </c>
      <c r="Z3" s="1169">
        <f t="shared" si="2"/>
        <v>48213</v>
      </c>
      <c r="AA3" s="1169">
        <f t="shared" si="2"/>
        <v>48579</v>
      </c>
      <c r="AB3" s="1169">
        <f t="shared" si="2"/>
        <v>48944</v>
      </c>
      <c r="AC3" s="1169">
        <f t="shared" si="2"/>
        <v>49309</v>
      </c>
      <c r="AD3" s="1169">
        <f t="shared" si="2"/>
        <v>49674</v>
      </c>
      <c r="AE3" s="1169">
        <f t="shared" si="2"/>
        <v>50040</v>
      </c>
      <c r="AF3" s="1169">
        <f t="shared" si="2"/>
        <v>50405</v>
      </c>
      <c r="AG3" s="1169">
        <f t="shared" si="2"/>
        <v>50770</v>
      </c>
      <c r="AH3" s="1169">
        <f t="shared" si="2"/>
        <v>51135</v>
      </c>
      <c r="AI3" s="1169">
        <f t="shared" si="2"/>
        <v>51501</v>
      </c>
      <c r="AJ3" s="1169">
        <f t="shared" si="2"/>
        <v>51866</v>
      </c>
      <c r="AK3" s="1169">
        <f t="shared" si="2"/>
        <v>52231</v>
      </c>
      <c r="AL3" s="1169">
        <f t="shared" si="2"/>
        <v>52596</v>
      </c>
      <c r="AM3" s="1169">
        <f t="shared" si="2"/>
        <v>52962</v>
      </c>
      <c r="AN3" s="1169">
        <f t="shared" si="2"/>
        <v>53327</v>
      </c>
      <c r="AO3" s="1169">
        <f t="shared" si="2"/>
        <v>53692</v>
      </c>
      <c r="AP3" s="1169">
        <f t="shared" si="2"/>
        <v>54057</v>
      </c>
      <c r="AQ3" s="1169">
        <f t="shared" si="2"/>
        <v>54423</v>
      </c>
      <c r="AR3" s="1169">
        <f t="shared" si="2"/>
        <v>54788</v>
      </c>
      <c r="AS3" s="1169">
        <f t="shared" si="2"/>
        <v>55153</v>
      </c>
      <c r="AT3" s="1169">
        <f t="shared" si="2"/>
        <v>55518</v>
      </c>
      <c r="AU3" s="1169">
        <f t="shared" si="2"/>
        <v>55884</v>
      </c>
      <c r="AV3" s="1169">
        <f t="shared" si="2"/>
        <v>56249</v>
      </c>
      <c r="AW3" s="1169">
        <f t="shared" si="2"/>
        <v>56614</v>
      </c>
      <c r="AX3" s="1169">
        <f t="shared" si="2"/>
        <v>56979</v>
      </c>
      <c r="AY3" s="1169">
        <f t="shared" si="2"/>
        <v>57345</v>
      </c>
      <c r="AZ3" s="1169">
        <f t="shared" si="2"/>
        <v>57710</v>
      </c>
      <c r="BA3" s="1169">
        <f t="shared" si="2"/>
        <v>58075</v>
      </c>
      <c r="BC3" s="41" t="s">
        <v>1495</v>
      </c>
    </row>
    <row r="4" spans="2:73" s="301" customFormat="1" ht="13.8" thickTop="1" x14ac:dyDescent="0.25">
      <c r="C4" s="1170"/>
      <c r="D4" s="1171"/>
      <c r="E4" s="1171"/>
      <c r="F4" s="1171"/>
      <c r="G4" s="1171"/>
      <c r="H4" s="2356" t="s">
        <v>1538</v>
      </c>
      <c r="I4" s="2356"/>
      <c r="J4" s="1340">
        <v>0.12610028328105605</v>
      </c>
      <c r="K4" s="1340">
        <v>-3.5789674163188012E-3</v>
      </c>
      <c r="L4" s="1340">
        <v>-2.7707206740839374E-2</v>
      </c>
      <c r="M4" s="1340">
        <v>-6.3644703646669409E-2</v>
      </c>
      <c r="N4" s="1340">
        <v>4.5138828140034448E-3</v>
      </c>
      <c r="O4" s="1340">
        <v>3.7228947139249291E-2</v>
      </c>
      <c r="P4" s="1341">
        <v>0.26626816306029211</v>
      </c>
      <c r="Q4" s="1340">
        <v>2.0502580471140064E-2</v>
      </c>
      <c r="R4" s="1340">
        <v>0.27375050298400305</v>
      </c>
      <c r="S4" s="1340">
        <v>6.3131553444876864E-2</v>
      </c>
      <c r="T4" s="1340">
        <v>6.418652619369003E-2</v>
      </c>
      <c r="U4" s="1340">
        <v>4.8354072664215986E-2</v>
      </c>
      <c r="V4" s="1340">
        <v>5.8773390579758944E-2</v>
      </c>
      <c r="W4" s="1340">
        <v>3.9716983277725326E-2</v>
      </c>
      <c r="X4" s="1340">
        <v>4.1545029000872313E-2</v>
      </c>
      <c r="Y4" s="1340">
        <v>4.3423716296365544E-2</v>
      </c>
      <c r="Z4" s="1340">
        <v>4.5348036463219721E-2</v>
      </c>
      <c r="AA4" s="1171"/>
      <c r="AB4" s="1171"/>
      <c r="AC4" s="1171"/>
      <c r="AD4" s="1171"/>
      <c r="AE4" s="1171"/>
      <c r="AF4" s="1171"/>
      <c r="AG4" s="1171"/>
      <c r="AH4" s="1171"/>
      <c r="AI4" s="1171"/>
      <c r="AJ4" s="1171"/>
      <c r="AK4" s="1171"/>
      <c r="AL4" s="1171"/>
      <c r="AM4" s="1171"/>
      <c r="AN4" s="1171"/>
      <c r="AO4" s="1171"/>
      <c r="AP4" s="1171"/>
      <c r="AQ4" s="1171"/>
      <c r="AR4" s="1171"/>
      <c r="AS4" s="1171"/>
      <c r="AT4" s="1171"/>
      <c r="AU4" s="1171"/>
      <c r="AV4" s="1171"/>
      <c r="AW4" s="1171"/>
      <c r="AX4" s="1171"/>
      <c r="AY4" s="1171"/>
      <c r="AZ4" s="1171"/>
      <c r="BA4" s="1171"/>
    </row>
    <row r="5" spans="2:73" s="301" customFormat="1" x14ac:dyDescent="0.25">
      <c r="C5" s="1170"/>
      <c r="D5" s="1171"/>
      <c r="E5" s="1171"/>
      <c r="F5" s="1171"/>
      <c r="G5" s="1171"/>
      <c r="H5" s="1171"/>
      <c r="I5" s="1171"/>
      <c r="J5" s="1171"/>
      <c r="K5" s="1171"/>
      <c r="L5" s="1171"/>
      <c r="M5" s="1171"/>
      <c r="N5" s="1171"/>
      <c r="O5" s="1171"/>
      <c r="P5" s="1172"/>
      <c r="Q5" s="1171"/>
      <c r="R5" s="1171"/>
      <c r="S5" s="1171"/>
      <c r="T5" s="1171"/>
      <c r="U5" s="1171"/>
      <c r="V5" s="1171"/>
      <c r="W5" s="1171"/>
      <c r="X5" s="1171"/>
      <c r="Y5" s="1171"/>
      <c r="Z5" s="1171"/>
      <c r="AA5" s="1171"/>
      <c r="AB5" s="1171"/>
      <c r="AC5" s="1171"/>
      <c r="AD5" s="1171"/>
      <c r="AE5" s="1171"/>
      <c r="AF5" s="1171"/>
      <c r="AG5" s="1171"/>
      <c r="AH5" s="1171"/>
      <c r="AI5" s="1171"/>
      <c r="AJ5" s="1171"/>
      <c r="AK5" s="1171"/>
      <c r="AL5" s="1171"/>
      <c r="AM5" s="1171"/>
      <c r="AN5" s="1171"/>
      <c r="AO5" s="1171"/>
      <c r="AP5" s="1171"/>
      <c r="AQ5" s="1171"/>
      <c r="AR5" s="1171"/>
      <c r="AS5" s="1171"/>
      <c r="AT5" s="1171"/>
      <c r="AU5" s="1171"/>
      <c r="AV5" s="1171"/>
      <c r="AW5" s="1171"/>
      <c r="AX5" s="1171"/>
      <c r="AY5" s="1171"/>
      <c r="AZ5" s="1171"/>
      <c r="BA5" s="1171"/>
    </row>
    <row r="6" spans="2:73" s="1176" customFormat="1" ht="17.25" customHeight="1" x14ac:dyDescent="0.3">
      <c r="B6" s="1173" t="s">
        <v>1398</v>
      </c>
      <c r="C6" s="1174"/>
      <c r="D6" s="1174"/>
      <c r="E6" s="1174"/>
      <c r="F6" s="1174"/>
      <c r="G6" s="1174"/>
      <c r="H6" s="1174"/>
      <c r="I6" s="1174"/>
      <c r="J6" s="1174"/>
      <c r="K6" s="1174"/>
      <c r="L6" s="1174"/>
      <c r="M6" s="1174"/>
      <c r="N6" s="1174"/>
      <c r="O6" s="1174"/>
      <c r="P6" s="1175"/>
      <c r="Q6" s="1174"/>
      <c r="R6" s="1174"/>
      <c r="S6" s="1174"/>
      <c r="T6" s="1174"/>
      <c r="U6" s="1174"/>
      <c r="V6" s="1174"/>
      <c r="W6" s="1174"/>
      <c r="X6" s="1174"/>
      <c r="Y6" s="1174"/>
      <c r="Z6" s="1174"/>
      <c r="AA6" s="1174"/>
      <c r="AB6" s="1174"/>
      <c r="AC6" s="1174"/>
      <c r="AD6" s="1174"/>
      <c r="AE6" s="1174"/>
      <c r="AF6" s="1174"/>
      <c r="AG6" s="1174"/>
      <c r="AH6" s="1174"/>
      <c r="AI6" s="1174"/>
      <c r="AJ6" s="1174"/>
      <c r="AK6" s="1174"/>
      <c r="AL6" s="1174"/>
      <c r="AM6" s="1174"/>
      <c r="AN6" s="1174"/>
      <c r="AO6" s="1174"/>
      <c r="AP6" s="1174"/>
      <c r="AQ6" s="1174"/>
      <c r="AR6" s="1174"/>
      <c r="AS6" s="1174"/>
      <c r="AT6" s="1174"/>
      <c r="AU6" s="1174"/>
      <c r="AV6" s="1174"/>
      <c r="AW6" s="1174"/>
      <c r="AX6" s="1174"/>
      <c r="AY6" s="1174"/>
      <c r="AZ6" s="1174"/>
      <c r="BA6" s="1174"/>
    </row>
    <row r="7" spans="2:73" x14ac:dyDescent="0.25">
      <c r="M7" s="642"/>
      <c r="N7" s="642"/>
      <c r="O7" s="642"/>
      <c r="P7" s="737"/>
      <c r="Q7" s="642"/>
      <c r="R7" s="642"/>
    </row>
    <row r="8" spans="2:73" s="42" customFormat="1" x14ac:dyDescent="0.25">
      <c r="B8" s="42" t="s">
        <v>1496</v>
      </c>
      <c r="D8" s="44"/>
      <c r="E8" s="44"/>
      <c r="F8" s="44"/>
      <c r="G8" s="44"/>
      <c r="H8" s="44"/>
      <c r="I8" s="44"/>
      <c r="J8" s="1177">
        <f>SUM(J9:J11)</f>
        <v>1236.79</v>
      </c>
      <c r="K8" s="1177">
        <f t="shared" ref="K8:AB8" si="3">SUM(K9:K11)</f>
        <v>1395.76</v>
      </c>
      <c r="L8" s="1177">
        <f t="shared" si="3"/>
        <v>1404.34</v>
      </c>
      <c r="M8" s="1177">
        <f t="shared" si="3"/>
        <v>1411.69</v>
      </c>
      <c r="N8" s="1177">
        <f t="shared" si="3"/>
        <v>1277.1300000000001</v>
      </c>
      <c r="O8" s="1177">
        <f t="shared" si="3"/>
        <v>1273.31</v>
      </c>
      <c r="P8" s="1178">
        <f t="shared" si="3"/>
        <v>1573.08</v>
      </c>
      <c r="Q8" s="552">
        <f t="shared" si="3"/>
        <v>1674.6241956129609</v>
      </c>
      <c r="R8" s="552">
        <f t="shared" si="3"/>
        <v>1747.0633585486698</v>
      </c>
      <c r="S8" s="552">
        <f t="shared" si="3"/>
        <v>2205.6779275070485</v>
      </c>
      <c r="T8" s="552">
        <f t="shared" si="3"/>
        <v>2352.6624514638038</v>
      </c>
      <c r="U8" s="552">
        <f t="shared" si="3"/>
        <v>2500.2090223576433</v>
      </c>
      <c r="V8" s="552">
        <f t="shared" si="3"/>
        <v>2621.935344537902</v>
      </c>
      <c r="W8" s="552">
        <f t="shared" si="3"/>
        <v>2773.8208160693039</v>
      </c>
      <c r="X8" s="552">
        <f t="shared" si="3"/>
        <v>2880.957655097322</v>
      </c>
      <c r="Y8" s="552">
        <f t="shared" si="3"/>
        <v>2996.9379229805013</v>
      </c>
      <c r="Z8" s="552">
        <f t="shared" si="3"/>
        <v>3122.6339329848565</v>
      </c>
      <c r="AA8" s="552">
        <f t="shared" si="3"/>
        <v>3259.0079138458464</v>
      </c>
      <c r="AB8" s="1177">
        <f t="shared" si="3"/>
        <v>361.6048870568199</v>
      </c>
      <c r="AC8" s="553"/>
      <c r="AD8" s="553"/>
      <c r="AE8" s="553"/>
      <c r="AF8" s="553"/>
      <c r="AG8" s="553"/>
      <c r="AH8" s="553"/>
      <c r="AI8" s="553"/>
      <c r="AJ8" s="553"/>
      <c r="AK8" s="553"/>
      <c r="AL8" s="553"/>
      <c r="AM8" s="553"/>
      <c r="AN8" s="553"/>
      <c r="AO8" s="553"/>
      <c r="AP8" s="553"/>
      <c r="AQ8" s="553"/>
      <c r="AR8" s="553"/>
      <c r="AS8" s="553"/>
      <c r="AT8" s="553"/>
      <c r="AU8" s="553"/>
      <c r="AV8" s="553"/>
      <c r="AW8" s="553"/>
      <c r="AX8" s="553"/>
      <c r="AY8" s="553"/>
      <c r="AZ8" s="553"/>
      <c r="BA8" s="553"/>
    </row>
    <row r="9" spans="2:73" s="42" customFormat="1" ht="12.75" customHeight="1" x14ac:dyDescent="0.25">
      <c r="B9" s="147" t="s">
        <v>1497</v>
      </c>
      <c r="H9" s="124"/>
      <c r="I9" s="124"/>
      <c r="J9" s="204">
        <f>'Mảng dược phẩm'!M30</f>
        <v>1119.03</v>
      </c>
      <c r="K9" s="204">
        <f>'Mảng dược phẩm'!N30</f>
        <v>1260.1400000000001</v>
      </c>
      <c r="L9" s="204">
        <f>'Mảng dược phẩm'!O30</f>
        <v>1255.6300000000001</v>
      </c>
      <c r="M9" s="204">
        <f>'Mảng dược phẩm'!P30</f>
        <v>1220.8399999999999</v>
      </c>
      <c r="N9" s="204">
        <f>'Mảng dược phẩm'!Q30</f>
        <v>1143.1400000000001</v>
      </c>
      <c r="O9" s="204">
        <f>'Mảng dược phẩm'!R30</f>
        <v>1148.3</v>
      </c>
      <c r="P9" s="1179">
        <f>'Mảng dược phẩm'!S30</f>
        <v>1191.05</v>
      </c>
      <c r="Q9" s="552">
        <f>'Mảng dược phẩm'!T30</f>
        <v>1508.1886956129608</v>
      </c>
      <c r="R9" s="552">
        <f>'Mảng dược phẩm'!U30</f>
        <v>1539.1104557104293</v>
      </c>
      <c r="S9" s="552">
        <f>'Mảng dược phẩm'!V30</f>
        <v>1960.4427171090974</v>
      </c>
      <c r="T9" s="552">
        <f>'Mảng dược phẩm'!W30</f>
        <v>2084.20851127989</v>
      </c>
      <c r="U9" s="552">
        <f>'Mảng dược phẩm'!X30</f>
        <v>2217.9866154822685</v>
      </c>
      <c r="V9" s="552">
        <f>'Mảng dược phẩm'!Y30</f>
        <v>2325.2353014555565</v>
      </c>
      <c r="W9" s="552">
        <f>'Mảng dược phẩm'!Z30</f>
        <v>2461.8972640178476</v>
      </c>
      <c r="X9" s="552">
        <f>'Mảng dược phẩm'!AA30</f>
        <v>2559.6763964843221</v>
      </c>
      <c r="Y9" s="552">
        <f>'Mảng dược phẩm'!AB30</f>
        <v>2666.0182266091115</v>
      </c>
      <c r="Z9" s="552">
        <f>'Mảng dược phẩm'!AC30</f>
        <v>2781.7866457223249</v>
      </c>
      <c r="AA9" s="552">
        <f>'Mảng dược phẩm'!AD30</f>
        <v>2907.9352079654386</v>
      </c>
      <c r="AB9" s="204">
        <f>'Mảng dược phẩm'!AE30</f>
        <v>0</v>
      </c>
      <c r="AC9" s="1181"/>
      <c r="AD9" s="1181"/>
      <c r="AE9" s="1181"/>
      <c r="AF9" s="1181"/>
      <c r="AG9" s="1181"/>
      <c r="AH9" s="1181"/>
      <c r="AI9" s="1181"/>
      <c r="AJ9" s="1181"/>
      <c r="AK9" s="1181"/>
      <c r="AL9" s="1181"/>
      <c r="AM9" s="1181"/>
      <c r="AN9" s="1181"/>
      <c r="AO9" s="1181"/>
      <c r="AP9" s="1181"/>
      <c r="AQ9" s="1181"/>
      <c r="AR9" s="1181"/>
      <c r="AS9" s="1181"/>
      <c r="AT9" s="1181"/>
      <c r="AU9" s="1181"/>
      <c r="AV9" s="1181"/>
      <c r="AW9" s="1181"/>
      <c r="AX9" s="1181"/>
      <c r="AY9" s="1181"/>
      <c r="AZ9" s="1181"/>
      <c r="BA9" s="1181"/>
      <c r="BC9" s="1182"/>
      <c r="BD9" s="1182"/>
      <c r="BE9" s="1182"/>
      <c r="BF9" s="1182"/>
      <c r="BG9" s="1182"/>
      <c r="BH9" s="1182"/>
      <c r="BI9" s="1182"/>
      <c r="BJ9" s="1182"/>
      <c r="BK9" s="1182"/>
      <c r="BL9" s="1182"/>
      <c r="BM9" s="1182"/>
      <c r="BN9" s="1182"/>
      <c r="BO9" s="1182"/>
      <c r="BP9" s="1182"/>
      <c r="BQ9" s="1182"/>
      <c r="BR9" s="1182"/>
      <c r="BS9" s="1182"/>
      <c r="BT9" s="1182"/>
      <c r="BU9" s="1182"/>
    </row>
    <row r="10" spans="2:73" s="42" customFormat="1" ht="12.75" customHeight="1" x14ac:dyDescent="0.25">
      <c r="B10" s="147" t="s">
        <v>1498</v>
      </c>
      <c r="H10" s="124"/>
      <c r="I10" s="124"/>
      <c r="J10" s="204">
        <f>'Mảng thiết bị y tế'!J11</f>
        <v>106.11</v>
      </c>
      <c r="K10" s="204">
        <f>'Mảng thiết bị y tế'!K11</f>
        <v>125.36</v>
      </c>
      <c r="L10" s="204">
        <f>'Mảng thiết bị y tế'!L11</f>
        <v>132.88999999999999</v>
      </c>
      <c r="M10" s="204">
        <f>'Mảng thiết bị y tế'!M11</f>
        <v>180.17000000000002</v>
      </c>
      <c r="N10" s="204">
        <f>'Mảng thiết bị y tế'!N11</f>
        <v>118.87</v>
      </c>
      <c r="O10" s="204">
        <f>'Mảng thiết bị y tế'!O11</f>
        <v>108.66</v>
      </c>
      <c r="P10" s="1179">
        <f>'Mảng thiết bị y tế'!P11</f>
        <v>367.45</v>
      </c>
      <c r="Q10" s="552">
        <f>'Mảng thiết bị y tế'!Q11</f>
        <v>152.7116666666667</v>
      </c>
      <c r="R10" s="552">
        <f>'Mảng thiết bị y tế'!R11</f>
        <v>192.56621352417793</v>
      </c>
      <c r="S10" s="552">
        <f>'Mảng thiết bị y tế'!S11</f>
        <v>228.92531972504474</v>
      </c>
      <c r="T10" s="552">
        <f>'Mảng thiết bị y tế'!T11</f>
        <v>251.16545607063298</v>
      </c>
      <c r="U10" s="552">
        <f>'Mảng thiết bị y tế'!U11</f>
        <v>263.89661371529746</v>
      </c>
      <c r="V10" s="552">
        <f>'Mảng thiết bị y tế'!V11</f>
        <v>277.27470233266314</v>
      </c>
      <c r="W10" s="552">
        <f>'Mảng thiết bị y tế'!W11</f>
        <v>291.33269085679314</v>
      </c>
      <c r="X10" s="552">
        <f>'Mảng thiết bị y tế'!X11</f>
        <v>300.07267158249692</v>
      </c>
      <c r="Y10" s="552">
        <f>'Mảng thiết bị y tế'!Y11</f>
        <v>309.07485172997184</v>
      </c>
      <c r="Z10" s="552">
        <f>'Mảng thiết bị y tế'!Z11</f>
        <v>318.34709728187096</v>
      </c>
      <c r="AA10" s="552">
        <f>'Mảng thiết bị y tế'!AA11</f>
        <v>327.89751020032713</v>
      </c>
      <c r="AB10" s="204">
        <f>'Mảng thiết bị y tế'!AB11</f>
        <v>337.73443550633698</v>
      </c>
      <c r="AC10" s="204">
        <f>'Mảng thiết bị y tế'!AC11</f>
        <v>0</v>
      </c>
      <c r="AD10" s="204">
        <f>'Mảng thiết bị y tế'!AD11</f>
        <v>0</v>
      </c>
      <c r="AE10" s="204">
        <f>'Mảng thiết bị y tế'!AE11</f>
        <v>0</v>
      </c>
      <c r="AF10" s="204">
        <f>'Mảng thiết bị y tế'!AF11</f>
        <v>0</v>
      </c>
      <c r="AG10" s="204">
        <f>'Mảng thiết bị y tế'!AG11</f>
        <v>0</v>
      </c>
      <c r="AH10" s="204">
        <f>'Mảng thiết bị y tế'!AH11</f>
        <v>0</v>
      </c>
      <c r="AI10" s="204">
        <f>'Mảng thiết bị y tế'!AI11</f>
        <v>0</v>
      </c>
      <c r="AJ10" s="204">
        <f>'Mảng thiết bị y tế'!AJ11</f>
        <v>0</v>
      </c>
      <c r="AK10" s="204">
        <f>'Mảng thiết bị y tế'!AK11</f>
        <v>0</v>
      </c>
      <c r="AL10" s="204">
        <f>'Mảng thiết bị y tế'!AL11</f>
        <v>0</v>
      </c>
      <c r="AM10" s="204">
        <f>'Mảng thiết bị y tế'!AM11</f>
        <v>0</v>
      </c>
      <c r="AN10" s="204">
        <f>'Mảng thiết bị y tế'!AN11</f>
        <v>0</v>
      </c>
      <c r="AO10" s="204">
        <f>'Mảng thiết bị y tế'!AO11</f>
        <v>0</v>
      </c>
      <c r="AP10" s="204">
        <f>'Mảng thiết bị y tế'!AP11</f>
        <v>0</v>
      </c>
      <c r="AQ10" s="204">
        <f>'Mảng thiết bị y tế'!AQ11</f>
        <v>0</v>
      </c>
      <c r="AR10" s="204">
        <f>'Mảng thiết bị y tế'!AR11</f>
        <v>0</v>
      </c>
      <c r="AS10" s="204">
        <f>'Mảng thiết bị y tế'!AS11</f>
        <v>0</v>
      </c>
      <c r="AT10" s="204">
        <f>'Mảng thiết bị y tế'!AT11</f>
        <v>0</v>
      </c>
      <c r="AU10" s="204">
        <f>'Mảng thiết bị y tế'!AU11</f>
        <v>0</v>
      </c>
      <c r="AV10" s="204">
        <f>'Mảng thiết bị y tế'!AV11</f>
        <v>0</v>
      </c>
      <c r="AW10" s="204">
        <f>'Mảng thiết bị y tế'!AW11</f>
        <v>0</v>
      </c>
      <c r="AX10" s="204">
        <f>'Mảng thiết bị y tế'!AX11</f>
        <v>0</v>
      </c>
      <c r="AY10" s="204"/>
      <c r="AZ10" s="204"/>
      <c r="BA10" s="204"/>
    </row>
    <row r="11" spans="2:73" s="42" customFormat="1" ht="12.75" customHeight="1" x14ac:dyDescent="0.25">
      <c r="B11" s="147" t="s">
        <v>1499</v>
      </c>
      <c r="H11" s="1183"/>
      <c r="I11" s="1183"/>
      <c r="J11" s="1184">
        <f>'Mảng thiết bị y tế'!J10</f>
        <v>11.65</v>
      </c>
      <c r="K11" s="1184">
        <f>'Mảng thiết bị y tế'!K10</f>
        <v>10.26</v>
      </c>
      <c r="L11" s="1184">
        <f>'Mảng thiết bị y tế'!L10</f>
        <v>15.82</v>
      </c>
      <c r="M11" s="1184">
        <f>'Mảng thiết bị y tế'!M10</f>
        <v>10.68</v>
      </c>
      <c r="N11" s="1184">
        <f>'Mảng thiết bị y tế'!N10</f>
        <v>15.120000000000001</v>
      </c>
      <c r="O11" s="1184">
        <f>'Mảng thiết bị y tế'!O10</f>
        <v>16.349999999999998</v>
      </c>
      <c r="P11" s="1330">
        <f>'Mảng thiết bị y tế'!P10</f>
        <v>14.58</v>
      </c>
      <c r="Q11" s="552">
        <f>'Mảng thiết bị y tế'!Q10</f>
        <v>13.723833333333332</v>
      </c>
      <c r="R11" s="552">
        <f>'Mảng thiết bị y tế'!R10</f>
        <v>15.386689314062572</v>
      </c>
      <c r="S11" s="552">
        <f>'Mảng thiết bị y tế'!S10</f>
        <v>16.309890672906327</v>
      </c>
      <c r="T11" s="552">
        <f>'Mảng thiết bị y tế'!T10</f>
        <v>17.288484113280706</v>
      </c>
      <c r="U11" s="552">
        <f>'Mảng thiết bị y tế'!U10</f>
        <v>18.325793160077549</v>
      </c>
      <c r="V11" s="552">
        <f>'Mảng thiết bị y tế'!V10</f>
        <v>19.425340749682203</v>
      </c>
      <c r="W11" s="552">
        <f>'Mảng thiết bị y tế'!W10</f>
        <v>20.590861194663137</v>
      </c>
      <c r="X11" s="552">
        <f>'Mảng thiết bị y tế'!X10</f>
        <v>21.208587030503033</v>
      </c>
      <c r="Y11" s="552">
        <f>'Mảng thiết bị y tế'!Y10</f>
        <v>21.844844641418124</v>
      </c>
      <c r="Z11" s="552">
        <f>'Mảng thiết bị y tế'!Z10</f>
        <v>22.500189980660668</v>
      </c>
      <c r="AA11" s="552">
        <f>'Mảng thiết bị y tế'!AA10</f>
        <v>23.175195680080488</v>
      </c>
      <c r="AB11" s="1184">
        <f>'Mảng thiết bị y tế'!AB10</f>
        <v>23.870451550482905</v>
      </c>
      <c r="AC11" s="1185"/>
      <c r="AD11" s="1185"/>
      <c r="AE11" s="1185"/>
      <c r="AF11" s="1185"/>
      <c r="AG11" s="1185"/>
      <c r="AH11" s="1185"/>
      <c r="AI11" s="1185"/>
      <c r="AJ11" s="1185"/>
      <c r="AK11" s="1185"/>
      <c r="AL11" s="1185"/>
      <c r="AM11" s="1185"/>
      <c r="AN11" s="1185"/>
      <c r="AO11" s="1185"/>
      <c r="AP11" s="1185"/>
      <c r="AQ11" s="1185"/>
      <c r="AR11" s="1185"/>
      <c r="AS11" s="1185"/>
      <c r="AT11" s="1185"/>
      <c r="AU11" s="1185"/>
      <c r="AV11" s="1185"/>
      <c r="AW11" s="1185"/>
      <c r="AX11" s="1185"/>
      <c r="AY11" s="1185"/>
      <c r="AZ11" s="1185"/>
      <c r="BA11" s="1185"/>
    </row>
    <row r="12" spans="2:73" s="226" customFormat="1" x14ac:dyDescent="0.25">
      <c r="B12" s="1186" t="s">
        <v>1500</v>
      </c>
      <c r="C12" s="1186"/>
      <c r="D12" s="1187"/>
      <c r="E12" s="1187"/>
      <c r="F12" s="1187"/>
      <c r="G12" s="1187"/>
      <c r="H12" s="1187"/>
      <c r="I12" s="1187"/>
      <c r="J12" s="1188">
        <f>IF('IS Raw'!J17,'IS Raw'!J17/'Consol. Rev.'!$B$1,'Consol. Rev.'!J8)</f>
        <v>1225.068036933</v>
      </c>
      <c r="K12" s="1188">
        <f>IF('IS Raw'!K17,'IS Raw'!K17/'Consol. Rev.'!$B$1,'Consol. Rev.'!K8)</f>
        <v>1384.901834538</v>
      </c>
      <c r="L12" s="1188">
        <f>IF('IS Raw'!L17,'IS Raw'!L17/'Consol. Rev.'!$B$1,'Consol. Rev.'!L8)</f>
        <v>1388.227398407</v>
      </c>
      <c r="M12" s="1188">
        <f>IF('IS Raw'!M17,'IS Raw'!M17/'Consol. Rev.'!$B$1,'Consol. Rev.'!M8)</f>
        <v>1401.0243162510001</v>
      </c>
      <c r="N12" s="1188">
        <f>IF('IS Raw'!N17,'IS Raw'!N17/'Consol. Rev.'!$B$1,'Consol. Rev.'!N8)</f>
        <v>1261.729021484</v>
      </c>
      <c r="O12" s="1188">
        <f>IF('IS Raw'!O17,'IS Raw'!O17/'Consol. Rev.'!$B$1,'Consol. Rev.'!O8)</f>
        <v>1256.952371543</v>
      </c>
      <c r="P12" s="1189">
        <f>IF('IS Raw'!P17,'IS Raw'!P17/'Consol. Rev.'!$B$1,'Consol. Rev.'!P8)</f>
        <v>1558.5043332830001</v>
      </c>
      <c r="Q12" s="1326">
        <f>IF('IS Raw'!Q17,'IS Raw'!Q17/'Consol. Rev.'!$B$1,'Consol. Rev.'!Q8)</f>
        <v>1674.6241956129609</v>
      </c>
      <c r="R12" s="1326">
        <f>IF('IS Raw'!R17,'IS Raw'!R17/'Consol. Rev.'!$B$1,'Consol. Rev.'!R8)</f>
        <v>1747.0633585486698</v>
      </c>
      <c r="S12" s="1326">
        <f>IF('IS Raw'!S17,'IS Raw'!S17/'Consol. Rev.'!$B$1,'Consol. Rev.'!S8)</f>
        <v>2205.6779275070485</v>
      </c>
      <c r="T12" s="1326">
        <f>IF('IS Raw'!T17,'IS Raw'!T17/'Consol. Rev.'!$B$1,'Consol. Rev.'!T8)</f>
        <v>2352.6624514638038</v>
      </c>
      <c r="U12" s="1326">
        <f>IF('IS Raw'!U17,'IS Raw'!U17/'Consol. Rev.'!$B$1,'Consol. Rev.'!U8)</f>
        <v>2500.2090223576433</v>
      </c>
      <c r="V12" s="1326">
        <f>IF('IS Raw'!V17,'IS Raw'!V17/'Consol. Rev.'!$B$1,'Consol. Rev.'!V8)</f>
        <v>2621.935344537902</v>
      </c>
      <c r="W12" s="1326">
        <f>IF('IS Raw'!W17,'IS Raw'!W17/'Consol. Rev.'!$B$1,'Consol. Rev.'!W8)</f>
        <v>2773.8208160693039</v>
      </c>
      <c r="X12" s="1326">
        <f>IF('IS Raw'!X17,'IS Raw'!X17/'Consol. Rev.'!$B$1,'Consol. Rev.'!X8)</f>
        <v>2880.957655097322</v>
      </c>
      <c r="Y12" s="1326">
        <f>IF('IS Raw'!Y17,'IS Raw'!Y17/'Consol. Rev.'!$B$1,'Consol. Rev.'!Y8)</f>
        <v>2996.9379229805013</v>
      </c>
      <c r="Z12" s="1326">
        <f>IF('IS Raw'!Z17,'IS Raw'!Z17/'Consol. Rev.'!$B$1,'Consol. Rev.'!Z8)</f>
        <v>3122.6339329848565</v>
      </c>
      <c r="AA12" s="1326">
        <f>IF('IS Raw'!AA17,'IS Raw'!AA17/'Consol. Rev.'!$B$1,'Consol. Rev.'!AA8)</f>
        <v>3259.0079138458464</v>
      </c>
      <c r="AB12" s="1190"/>
      <c r="AC12" s="1190"/>
      <c r="AD12" s="1190"/>
      <c r="AE12" s="1190"/>
      <c r="AF12" s="1190"/>
      <c r="AG12" s="1190"/>
      <c r="AH12" s="1190"/>
      <c r="AI12" s="1190"/>
      <c r="AJ12" s="1190"/>
      <c r="AK12" s="1190"/>
      <c r="AL12" s="1190"/>
      <c r="AM12" s="1190"/>
      <c r="AN12" s="1190"/>
      <c r="AO12" s="1190"/>
      <c r="AP12" s="1190"/>
      <c r="AQ12" s="1190"/>
      <c r="AR12" s="1190"/>
      <c r="AS12" s="1190"/>
      <c r="AT12" s="1190"/>
      <c r="AU12" s="1190"/>
      <c r="AV12" s="1190"/>
      <c r="AW12" s="1190"/>
      <c r="AX12" s="1190"/>
      <c r="AY12" s="1190"/>
      <c r="AZ12" s="1190"/>
      <c r="BA12" s="1190"/>
    </row>
    <row r="13" spans="2:73" x14ac:dyDescent="0.25">
      <c r="H13" s="1191"/>
      <c r="I13" s="1191"/>
      <c r="J13" s="1191"/>
      <c r="K13" s="1191"/>
      <c r="L13" s="1191"/>
      <c r="M13" s="1191"/>
      <c r="N13" s="1192"/>
      <c r="O13" s="1192"/>
      <c r="P13" s="1193"/>
      <c r="Q13" s="1192"/>
      <c r="R13" s="1192"/>
      <c r="S13" s="1192"/>
      <c r="T13" s="1192"/>
      <c r="U13" s="1192"/>
      <c r="V13" s="1192"/>
      <c r="W13" s="1192"/>
      <c r="X13" s="1192"/>
      <c r="Y13" s="1192"/>
      <c r="Z13" s="1192"/>
      <c r="AA13" s="1192"/>
      <c r="AB13" s="1192"/>
      <c r="AC13" s="1192"/>
      <c r="AD13" s="1192"/>
      <c r="AE13" s="1192"/>
      <c r="AF13" s="1192"/>
      <c r="AG13" s="1192"/>
      <c r="AH13" s="1192"/>
      <c r="AI13" s="1192"/>
      <c r="AJ13" s="1192"/>
      <c r="AK13" s="1192"/>
      <c r="AL13" s="1192"/>
      <c r="AM13" s="1192"/>
      <c r="AN13" s="1192"/>
      <c r="AO13" s="1192"/>
      <c r="AP13" s="1192"/>
      <c r="AQ13" s="1192"/>
      <c r="AR13" s="1192"/>
      <c r="AS13" s="1192"/>
      <c r="AT13" s="1192"/>
      <c r="AU13" s="1192"/>
      <c r="AV13" s="1192"/>
      <c r="AW13" s="1192"/>
      <c r="AX13" s="1192"/>
      <c r="AY13" s="1192"/>
      <c r="AZ13" s="1192"/>
      <c r="BA13" s="1192"/>
    </row>
    <row r="14" spans="2:73" s="29" customFormat="1" x14ac:dyDescent="0.25">
      <c r="B14" s="42" t="s">
        <v>1501</v>
      </c>
      <c r="C14" s="42"/>
      <c r="D14" s="1182" t="str">
        <f t="shared" ref="D14:I16" si="4">IFERROR(D8/C8-1," ")</f>
        <v xml:space="preserve"> </v>
      </c>
      <c r="E14" s="1182" t="str">
        <f t="shared" si="4"/>
        <v xml:space="preserve"> </v>
      </c>
      <c r="F14" s="1182" t="str">
        <f t="shared" si="4"/>
        <v xml:space="preserve"> </v>
      </c>
      <c r="G14" s="1182" t="str">
        <f t="shared" si="4"/>
        <v xml:space="preserve"> </v>
      </c>
      <c r="H14" s="1182" t="str">
        <f t="shared" si="4"/>
        <v xml:space="preserve"> </v>
      </c>
      <c r="I14" s="1182" t="str">
        <f t="shared" si="4"/>
        <v xml:space="preserve"> </v>
      </c>
      <c r="J14" s="1182"/>
      <c r="K14" s="1182">
        <f>K8/J8-1</f>
        <v>0.12853435102159616</v>
      </c>
      <c r="L14" s="1182">
        <f t="shared" ref="L14:AA17" si="5">L8/K8-1</f>
        <v>6.1471886284174548E-3</v>
      </c>
      <c r="M14" s="1182">
        <f t="shared" si="5"/>
        <v>5.233775296580756E-3</v>
      </c>
      <c r="N14" s="1182">
        <f t="shared" si="5"/>
        <v>-9.5318377264130172E-2</v>
      </c>
      <c r="O14" s="1182">
        <f t="shared" si="5"/>
        <v>-2.9910815656981615E-3</v>
      </c>
      <c r="P14" s="1194">
        <f t="shared" si="5"/>
        <v>0.2354257800535613</v>
      </c>
      <c r="Q14" s="1327">
        <f t="shared" si="5"/>
        <v>6.4551196133038946E-2</v>
      </c>
      <c r="R14" s="1327">
        <f t="shared" si="5"/>
        <v>4.3256966623006488E-2</v>
      </c>
      <c r="S14" s="1327">
        <f t="shared" si="5"/>
        <v>0.26250597421913846</v>
      </c>
      <c r="T14" s="1327">
        <f t="shared" si="5"/>
        <v>6.6639159835490291E-2</v>
      </c>
      <c r="U14" s="1327">
        <f t="shared" si="5"/>
        <v>6.2714721698404974E-2</v>
      </c>
      <c r="V14" s="1327">
        <f t="shared" si="5"/>
        <v>4.8686458248788034E-2</v>
      </c>
      <c r="W14" s="1327">
        <f t="shared" si="5"/>
        <v>5.7928763135908223E-2</v>
      </c>
      <c r="X14" s="1327">
        <f t="shared" si="5"/>
        <v>3.8624282580674629E-2</v>
      </c>
      <c r="Y14" s="1327">
        <f t="shared" si="5"/>
        <v>4.0257539946126464E-2</v>
      </c>
      <c r="Z14" s="1327">
        <f t="shared" si="5"/>
        <v>4.1941479348143629E-2</v>
      </c>
      <c r="AA14" s="1327">
        <f t="shared" si="5"/>
        <v>4.3672740317221015E-2</v>
      </c>
      <c r="AB14" s="1195"/>
      <c r="AC14" s="1195"/>
      <c r="AD14" s="1195"/>
      <c r="AE14" s="1195"/>
      <c r="AF14" s="1195"/>
      <c r="AG14" s="1195"/>
      <c r="AH14" s="1195"/>
      <c r="AI14" s="1195"/>
      <c r="AJ14" s="1195"/>
      <c r="AK14" s="1195"/>
      <c r="AL14" s="1195"/>
      <c r="AM14" s="1195"/>
      <c r="AN14" s="1195"/>
      <c r="AO14" s="1195"/>
      <c r="AP14" s="1195"/>
      <c r="AQ14" s="1195"/>
      <c r="AR14" s="1195"/>
      <c r="AS14" s="1195"/>
      <c r="AT14" s="1195"/>
      <c r="AU14" s="1195"/>
      <c r="AV14" s="1195"/>
      <c r="AW14" s="1195"/>
      <c r="AX14" s="1195"/>
      <c r="AY14" s="1195"/>
      <c r="AZ14" s="1195"/>
      <c r="BA14" s="1195"/>
    </row>
    <row r="15" spans="2:73" s="29" customFormat="1" x14ac:dyDescent="0.25">
      <c r="B15" s="147" t="s">
        <v>1497</v>
      </c>
      <c r="C15" s="42"/>
      <c r="D15" s="196" t="str">
        <f t="shared" si="4"/>
        <v xml:space="preserve"> </v>
      </c>
      <c r="E15" s="196" t="str">
        <f t="shared" si="4"/>
        <v xml:space="preserve"> </v>
      </c>
      <c r="F15" s="196" t="str">
        <f t="shared" si="4"/>
        <v xml:space="preserve"> </v>
      </c>
      <c r="G15" s="196" t="str">
        <f t="shared" si="4"/>
        <v xml:space="preserve"> </v>
      </c>
      <c r="H15" s="196" t="str">
        <f t="shared" si="4"/>
        <v xml:space="preserve"> </v>
      </c>
      <c r="I15" s="196" t="str">
        <f t="shared" si="4"/>
        <v xml:space="preserve"> </v>
      </c>
      <c r="J15" s="196"/>
      <c r="K15" s="1182">
        <f t="shared" ref="K15:Z17" si="6">K9/J9-1</f>
        <v>0.12610028328105605</v>
      </c>
      <c r="L15" s="1182">
        <f t="shared" si="6"/>
        <v>-3.5789674163188012E-3</v>
      </c>
      <c r="M15" s="1182">
        <f t="shared" si="6"/>
        <v>-2.7707206740839374E-2</v>
      </c>
      <c r="N15" s="1182">
        <f t="shared" si="6"/>
        <v>-6.3644703646669409E-2</v>
      </c>
      <c r="O15" s="1182">
        <f t="shared" si="6"/>
        <v>4.5138828140034448E-3</v>
      </c>
      <c r="P15" s="1194">
        <f t="shared" si="6"/>
        <v>3.7228947139249291E-2</v>
      </c>
      <c r="Q15" s="1327">
        <f t="shared" si="6"/>
        <v>0.26626816306029211</v>
      </c>
      <c r="R15" s="1327">
        <f t="shared" si="6"/>
        <v>2.0502580471140064E-2</v>
      </c>
      <c r="S15" s="1327">
        <f t="shared" si="6"/>
        <v>0.27375050298400305</v>
      </c>
      <c r="T15" s="1327">
        <f t="shared" si="6"/>
        <v>6.3131553444876864E-2</v>
      </c>
      <c r="U15" s="1327">
        <f t="shared" si="6"/>
        <v>6.418652619369003E-2</v>
      </c>
      <c r="V15" s="1327">
        <f t="shared" si="6"/>
        <v>4.8354072664215986E-2</v>
      </c>
      <c r="W15" s="1327">
        <f t="shared" si="6"/>
        <v>5.8773390579758944E-2</v>
      </c>
      <c r="X15" s="1327">
        <f t="shared" si="6"/>
        <v>3.9716983277725326E-2</v>
      </c>
      <c r="Y15" s="1327">
        <f t="shared" si="6"/>
        <v>4.1545029000872313E-2</v>
      </c>
      <c r="Z15" s="1327">
        <f t="shared" si="6"/>
        <v>4.3423716296365544E-2</v>
      </c>
      <c r="AA15" s="1327">
        <f t="shared" si="5"/>
        <v>4.5348036463219721E-2</v>
      </c>
      <c r="AB15" s="206"/>
      <c r="AC15" s="206"/>
      <c r="AD15" s="206"/>
      <c r="AE15" s="206"/>
      <c r="AF15" s="206"/>
      <c r="AG15" s="206"/>
      <c r="AH15" s="206"/>
      <c r="AI15" s="206"/>
      <c r="AJ15" s="206"/>
      <c r="AK15" s="206"/>
      <c r="AL15" s="206"/>
      <c r="AM15" s="206"/>
      <c r="AN15" s="206"/>
      <c r="AO15" s="206"/>
      <c r="AP15" s="206"/>
      <c r="AQ15" s="206"/>
      <c r="AR15" s="206"/>
      <c r="AS15" s="206"/>
      <c r="AT15" s="206"/>
      <c r="AU15" s="206"/>
      <c r="AV15" s="206"/>
      <c r="AW15" s="206"/>
      <c r="AX15" s="206"/>
      <c r="AY15" s="206"/>
      <c r="AZ15" s="206"/>
      <c r="BA15" s="206"/>
    </row>
    <row r="16" spans="2:73" s="29" customFormat="1" x14ac:dyDescent="0.25">
      <c r="B16" s="147" t="s">
        <v>1498</v>
      </c>
      <c r="C16" s="42"/>
      <c r="D16" s="196" t="str">
        <f t="shared" si="4"/>
        <v xml:space="preserve"> </v>
      </c>
      <c r="E16" s="196" t="str">
        <f t="shared" si="4"/>
        <v xml:space="preserve"> </v>
      </c>
      <c r="F16" s="196" t="str">
        <f t="shared" si="4"/>
        <v xml:space="preserve"> </v>
      </c>
      <c r="G16" s="196" t="str">
        <f t="shared" si="4"/>
        <v xml:space="preserve"> </v>
      </c>
      <c r="H16" s="196" t="str">
        <f t="shared" si="4"/>
        <v xml:space="preserve"> </v>
      </c>
      <c r="I16" s="196" t="str">
        <f t="shared" si="4"/>
        <v xml:space="preserve"> </v>
      </c>
      <c r="J16" s="196"/>
      <c r="K16" s="1182">
        <f t="shared" si="6"/>
        <v>0.18141551220431618</v>
      </c>
      <c r="L16" s="1182">
        <f t="shared" si="6"/>
        <v>6.0067007019782848E-2</v>
      </c>
      <c r="M16" s="1182">
        <f t="shared" si="6"/>
        <v>0.35578297840319095</v>
      </c>
      <c r="N16" s="1182">
        <f t="shared" si="6"/>
        <v>-0.34023422323361274</v>
      </c>
      <c r="O16" s="1182">
        <f t="shared" si="6"/>
        <v>-8.5892151089425495E-2</v>
      </c>
      <c r="P16" s="1194">
        <f t="shared" si="6"/>
        <v>2.3816491809313454</v>
      </c>
      <c r="Q16" s="1327">
        <f t="shared" si="6"/>
        <v>-0.5844015058738149</v>
      </c>
      <c r="R16" s="1327">
        <f t="shared" si="6"/>
        <v>0.26097905764137996</v>
      </c>
      <c r="S16" s="1327">
        <f t="shared" si="6"/>
        <v>0.18881352826881903</v>
      </c>
      <c r="T16" s="1327">
        <f t="shared" si="6"/>
        <v>9.7150181431657323E-2</v>
      </c>
      <c r="U16" s="1327">
        <f t="shared" si="6"/>
        <v>5.0688330488744437E-2</v>
      </c>
      <c r="V16" s="1327">
        <f t="shared" si="6"/>
        <v>5.0694430781133448E-2</v>
      </c>
      <c r="W16" s="1327">
        <f t="shared" si="6"/>
        <v>5.0700581069468731E-2</v>
      </c>
      <c r="X16" s="1327">
        <f t="shared" si="6"/>
        <v>3.0000000000000027E-2</v>
      </c>
      <c r="Y16" s="1327">
        <f t="shared" si="6"/>
        <v>3.0000000000000027E-2</v>
      </c>
      <c r="Z16" s="1327">
        <f t="shared" si="6"/>
        <v>2.9999999999999805E-2</v>
      </c>
      <c r="AA16" s="1327">
        <f t="shared" si="5"/>
        <v>3.0000000000000249E-2</v>
      </c>
      <c r="AB16" s="206"/>
      <c r="AC16" s="206"/>
      <c r="AD16" s="206"/>
      <c r="AE16" s="206"/>
      <c r="AF16" s="206"/>
      <c r="AG16" s="206"/>
      <c r="AH16" s="206"/>
      <c r="AI16" s="206"/>
      <c r="AJ16" s="206"/>
      <c r="AK16" s="206"/>
      <c r="AL16" s="206"/>
      <c r="AM16" s="206"/>
      <c r="AN16" s="206"/>
      <c r="AO16" s="206"/>
      <c r="AP16" s="206"/>
      <c r="AQ16" s="206"/>
      <c r="AR16" s="206"/>
      <c r="AS16" s="206"/>
      <c r="AT16" s="206"/>
      <c r="AU16" s="206"/>
      <c r="AV16" s="206"/>
      <c r="AW16" s="206"/>
      <c r="AX16" s="206"/>
      <c r="AY16" s="206"/>
      <c r="AZ16" s="206"/>
      <c r="BA16" s="206"/>
    </row>
    <row r="17" spans="2:53" s="29" customFormat="1" x14ac:dyDescent="0.25">
      <c r="B17" s="147" t="s">
        <v>1499</v>
      </c>
      <c r="C17" s="42"/>
      <c r="D17" s="1197"/>
      <c r="E17" s="1197"/>
      <c r="F17" s="1197"/>
      <c r="G17" s="1197"/>
      <c r="H17" s="1197"/>
      <c r="I17" s="1197"/>
      <c r="J17" s="196"/>
      <c r="K17" s="1182">
        <f t="shared" si="6"/>
        <v>-0.11931330472103008</v>
      </c>
      <c r="L17" s="1182">
        <f t="shared" si="6"/>
        <v>0.54191033138401568</v>
      </c>
      <c r="M17" s="1182">
        <f t="shared" si="6"/>
        <v>-0.32490518331226304</v>
      </c>
      <c r="N17" s="1182">
        <f t="shared" si="6"/>
        <v>0.41573033707865181</v>
      </c>
      <c r="O17" s="1182">
        <f t="shared" si="6"/>
        <v>8.134920634920606E-2</v>
      </c>
      <c r="P17" s="1194">
        <f t="shared" si="6"/>
        <v>-0.10825688073394479</v>
      </c>
      <c r="Q17" s="1327">
        <f t="shared" si="6"/>
        <v>-5.8721993598536915E-2</v>
      </c>
      <c r="R17" s="1327">
        <f t="shared" si="6"/>
        <v>0.12116556215313312</v>
      </c>
      <c r="S17" s="1327">
        <f t="shared" si="6"/>
        <v>6.0000000000000053E-2</v>
      </c>
      <c r="T17" s="1327">
        <f t="shared" si="6"/>
        <v>6.0000000000000053E-2</v>
      </c>
      <c r="U17" s="1327">
        <f t="shared" si="6"/>
        <v>6.0000000000000053E-2</v>
      </c>
      <c r="V17" s="1327">
        <f t="shared" si="6"/>
        <v>6.0000000000000053E-2</v>
      </c>
      <c r="W17" s="1327">
        <f t="shared" si="6"/>
        <v>6.0000000000000053E-2</v>
      </c>
      <c r="X17" s="1327">
        <f t="shared" si="6"/>
        <v>3.0000000000000027E-2</v>
      </c>
      <c r="Y17" s="1327">
        <f t="shared" si="6"/>
        <v>3.0000000000000027E-2</v>
      </c>
      <c r="Z17" s="1327">
        <f t="shared" si="6"/>
        <v>3.0000000000000027E-2</v>
      </c>
      <c r="AA17" s="1327">
        <f t="shared" si="5"/>
        <v>3.0000000000000027E-2</v>
      </c>
      <c r="AB17" s="206"/>
      <c r="AC17" s="206"/>
      <c r="AD17" s="206"/>
      <c r="AE17" s="206"/>
      <c r="AF17" s="206"/>
      <c r="AG17" s="206"/>
      <c r="AH17" s="206"/>
      <c r="AI17" s="206"/>
      <c r="AJ17" s="206"/>
      <c r="AK17" s="206"/>
      <c r="AL17" s="206"/>
      <c r="AM17" s="206"/>
      <c r="AN17" s="206"/>
      <c r="AO17" s="206"/>
      <c r="AP17" s="206"/>
      <c r="AQ17" s="206"/>
      <c r="AR17" s="206"/>
      <c r="AS17" s="206"/>
      <c r="AT17" s="206"/>
      <c r="AU17" s="206"/>
      <c r="AV17" s="206"/>
      <c r="AW17" s="206"/>
      <c r="AX17" s="206"/>
      <c r="AY17" s="206"/>
      <c r="AZ17" s="206"/>
      <c r="BA17" s="206"/>
    </row>
    <row r="18" spans="2:53" s="780" customFormat="1" x14ac:dyDescent="0.25">
      <c r="B18" s="1186" t="s">
        <v>1502</v>
      </c>
      <c r="C18" s="1186"/>
      <c r="D18" s="1198" t="str">
        <f t="shared" ref="D18:I18" si="7">IFERROR(D12/C12-1," ")</f>
        <v xml:space="preserve"> </v>
      </c>
      <c r="E18" s="1198" t="str">
        <f t="shared" si="7"/>
        <v xml:space="preserve"> </v>
      </c>
      <c r="F18" s="1198" t="str">
        <f t="shared" si="7"/>
        <v xml:space="preserve"> </v>
      </c>
      <c r="G18" s="1198" t="str">
        <f t="shared" si="7"/>
        <v xml:space="preserve"> </v>
      </c>
      <c r="H18" s="1198" t="str">
        <f t="shared" si="7"/>
        <v xml:space="preserve"> </v>
      </c>
      <c r="I18" s="1198" t="str">
        <f t="shared" si="7"/>
        <v xml:space="preserve"> </v>
      </c>
      <c r="J18" s="1198"/>
      <c r="K18" s="1198">
        <f>K12/J12-1</f>
        <v>0.13046932316114401</v>
      </c>
      <c r="L18" s="1198">
        <f t="shared" ref="L18:AA18" si="8">L12/K12-1</f>
        <v>2.4012993456026255E-3</v>
      </c>
      <c r="M18" s="1198">
        <f t="shared" si="8"/>
        <v>9.2181712150938289E-3</v>
      </c>
      <c r="N18" s="1198">
        <f t="shared" si="8"/>
        <v>-9.9423895182447874E-2</v>
      </c>
      <c r="O18" s="1198">
        <f t="shared" si="8"/>
        <v>-3.7857969973471572E-3</v>
      </c>
      <c r="P18" s="1331">
        <f t="shared" si="8"/>
        <v>0.23990723003276826</v>
      </c>
      <c r="Q18" s="1328">
        <f t="shared" si="8"/>
        <v>7.4507243804291301E-2</v>
      </c>
      <c r="R18" s="1328">
        <f t="shared" si="8"/>
        <v>4.3256966623006488E-2</v>
      </c>
      <c r="S18" s="1328">
        <f t="shared" si="8"/>
        <v>0.26250597421913846</v>
      </c>
      <c r="T18" s="1328">
        <f t="shared" si="8"/>
        <v>6.6639159835490291E-2</v>
      </c>
      <c r="U18" s="1328">
        <f t="shared" si="8"/>
        <v>6.2714721698404974E-2</v>
      </c>
      <c r="V18" s="1328">
        <f t="shared" si="8"/>
        <v>4.8686458248788034E-2</v>
      </c>
      <c r="W18" s="1328">
        <f t="shared" si="8"/>
        <v>5.7928763135908223E-2</v>
      </c>
      <c r="X18" s="1328">
        <f t="shared" si="8"/>
        <v>3.8624282580674629E-2</v>
      </c>
      <c r="Y18" s="1328">
        <f t="shared" si="8"/>
        <v>4.0257539946126464E-2</v>
      </c>
      <c r="Z18" s="1328">
        <f t="shared" si="8"/>
        <v>4.1941479348143629E-2</v>
      </c>
      <c r="AA18" s="1328">
        <f t="shared" si="8"/>
        <v>4.3672740317221015E-2</v>
      </c>
      <c r="AB18" s="1200"/>
      <c r="AC18" s="1200"/>
      <c r="AD18" s="1200"/>
      <c r="AE18" s="1200"/>
      <c r="AF18" s="1200"/>
      <c r="AG18" s="1200"/>
      <c r="AH18" s="1200"/>
      <c r="AI18" s="1200"/>
      <c r="AJ18" s="1200"/>
      <c r="AK18" s="1200"/>
      <c r="AL18" s="1200"/>
      <c r="AM18" s="1200"/>
      <c r="AN18" s="1200"/>
      <c r="AO18" s="1200"/>
      <c r="AP18" s="1200"/>
      <c r="AQ18" s="1200"/>
      <c r="AR18" s="1200"/>
      <c r="AS18" s="1200"/>
      <c r="AT18" s="1200"/>
      <c r="AU18" s="1200"/>
      <c r="AV18" s="1200"/>
      <c r="AW18" s="1200"/>
      <c r="AX18" s="1200"/>
      <c r="AY18" s="1200"/>
      <c r="AZ18" s="1200"/>
      <c r="BA18" s="1200"/>
    </row>
    <row r="19" spans="2:53" x14ac:dyDescent="0.25">
      <c r="G19" s="1201"/>
      <c r="H19" s="1201"/>
      <c r="I19" s="1201"/>
      <c r="M19" s="642"/>
      <c r="N19" s="642"/>
      <c r="O19" s="642"/>
      <c r="P19" s="737"/>
      <c r="Q19" s="642"/>
      <c r="R19" s="642"/>
    </row>
    <row r="20" spans="2:53" x14ac:dyDescent="0.25">
      <c r="G20" s="1201"/>
      <c r="H20" s="1201"/>
      <c r="I20" s="1201"/>
      <c r="M20" s="642"/>
      <c r="N20" s="642"/>
      <c r="O20" s="642"/>
      <c r="P20" s="737"/>
      <c r="Q20" s="642"/>
      <c r="R20" s="642"/>
    </row>
    <row r="21" spans="2:53" s="1176" customFormat="1" ht="15" customHeight="1" x14ac:dyDescent="0.3">
      <c r="B21" s="1173" t="s">
        <v>405</v>
      </c>
      <c r="C21" s="1174"/>
      <c r="D21" s="1174"/>
      <c r="E21" s="1174"/>
      <c r="F21" s="1174"/>
      <c r="G21" s="1174"/>
      <c r="H21" s="1174"/>
      <c r="I21" s="1174"/>
      <c r="J21" s="1174"/>
      <c r="K21" s="1174"/>
      <c r="L21" s="1174"/>
      <c r="M21" s="1174"/>
      <c r="N21" s="1174"/>
      <c r="O21" s="1174"/>
      <c r="P21" s="1175"/>
      <c r="Q21" s="1174"/>
      <c r="R21" s="1174"/>
      <c r="S21" s="1174"/>
      <c r="T21" s="1174"/>
      <c r="U21" s="1174"/>
      <c r="V21" s="1174"/>
      <c r="W21" s="1174"/>
      <c r="X21" s="1174"/>
      <c r="Y21" s="1174"/>
      <c r="Z21" s="1174"/>
      <c r="AA21" s="1174"/>
      <c r="AB21" s="1174"/>
      <c r="AC21" s="1174"/>
      <c r="AD21" s="1174"/>
      <c r="AE21" s="1174"/>
      <c r="AF21" s="1174"/>
      <c r="AG21" s="1174"/>
      <c r="AH21" s="1174"/>
      <c r="AI21" s="1174"/>
      <c r="AJ21" s="1174"/>
      <c r="AK21" s="1174"/>
      <c r="AL21" s="1174"/>
      <c r="AM21" s="1174"/>
      <c r="AN21" s="1174"/>
      <c r="AO21" s="1174"/>
      <c r="AP21" s="1174"/>
      <c r="AQ21" s="1174"/>
      <c r="AR21" s="1174"/>
      <c r="AS21" s="1174"/>
      <c r="AT21" s="1174"/>
      <c r="AU21" s="1174"/>
      <c r="AV21" s="1174"/>
      <c r="AW21" s="1174"/>
      <c r="AX21" s="1174"/>
      <c r="AY21" s="1174"/>
      <c r="AZ21" s="1174"/>
      <c r="BA21" s="1174"/>
    </row>
    <row r="22" spans="2:53" x14ac:dyDescent="0.25">
      <c r="B22" s="1051"/>
      <c r="M22" s="642"/>
      <c r="N22" s="642"/>
      <c r="O22" s="642"/>
      <c r="P22" s="737"/>
      <c r="Q22" s="642"/>
      <c r="R22" s="642"/>
    </row>
    <row r="23" spans="2:53" s="29" customFormat="1" ht="17.25" customHeight="1" x14ac:dyDescent="0.25">
      <c r="B23" s="1202" t="s">
        <v>1503</v>
      </c>
      <c r="D23" s="117"/>
      <c r="E23" s="117"/>
      <c r="F23" s="117"/>
      <c r="G23" s="117"/>
      <c r="H23" s="117"/>
      <c r="I23" s="117"/>
      <c r="J23" s="1203">
        <f>SUM(J25:J27)</f>
        <v>773.07692048900003</v>
      </c>
      <c r="K23" s="1203">
        <f t="shared" ref="K23:AB23" si="9">SUM(K25:K27)</f>
        <v>875.70243685100002</v>
      </c>
      <c r="L23" s="1203">
        <f t="shared" si="9"/>
        <v>897.55493153600003</v>
      </c>
      <c r="M23" s="1203">
        <f t="shared" si="9"/>
        <v>972.89627893099998</v>
      </c>
      <c r="N23" s="1203">
        <f t="shared" si="9"/>
        <v>846.93308036400003</v>
      </c>
      <c r="O23" s="1203">
        <f t="shared" si="9"/>
        <v>765.81309361799993</v>
      </c>
      <c r="P23" s="1204">
        <f t="shared" si="9"/>
        <v>935.93871315199999</v>
      </c>
      <c r="Q23" s="1334">
        <f t="shared" si="9"/>
        <v>1012.6251940072838</v>
      </c>
      <c r="R23" s="1334">
        <f t="shared" si="9"/>
        <v>1068.8092083292872</v>
      </c>
      <c r="S23" s="1334">
        <f t="shared" si="9"/>
        <v>1296.3681791200668</v>
      </c>
      <c r="T23" s="1334">
        <f t="shared" si="9"/>
        <v>1357.3298826322605</v>
      </c>
      <c r="U23" s="1334">
        <f t="shared" si="9"/>
        <v>1410.7837820808772</v>
      </c>
      <c r="V23" s="1334">
        <f t="shared" si="9"/>
        <v>1465.7026623117556</v>
      </c>
      <c r="W23" s="1334">
        <f t="shared" si="9"/>
        <v>1532.2327524787643</v>
      </c>
      <c r="X23" s="1334">
        <f t="shared" si="9"/>
        <v>1590.3549921054873</v>
      </c>
      <c r="Y23" s="1334">
        <f t="shared" si="9"/>
        <v>1653.0812476685103</v>
      </c>
      <c r="Z23" s="1334">
        <f t="shared" si="9"/>
        <v>1720.8580712685739</v>
      </c>
      <c r="AA23" s="1334">
        <f t="shared" si="9"/>
        <v>1794.1778019605242</v>
      </c>
      <c r="AB23" s="1334">
        <f t="shared" si="9"/>
        <v>326.10804253428176</v>
      </c>
      <c r="AC23" s="1206"/>
      <c r="AD23" s="1206"/>
      <c r="AE23" s="1206"/>
      <c r="AF23" s="1206"/>
      <c r="AG23" s="1206"/>
      <c r="AH23" s="1206"/>
      <c r="AI23" s="1206"/>
      <c r="AJ23" s="1206"/>
      <c r="AK23" s="1206"/>
      <c r="AL23" s="1206"/>
      <c r="AM23" s="1206"/>
      <c r="AN23" s="1206"/>
      <c r="AO23" s="1206"/>
      <c r="AP23" s="1206"/>
      <c r="AQ23" s="1206"/>
      <c r="AR23" s="1206"/>
      <c r="AS23" s="1206"/>
      <c r="AT23" s="1206"/>
      <c r="AU23" s="1206"/>
      <c r="AV23" s="1206"/>
      <c r="AW23" s="1206"/>
      <c r="AX23" s="1206"/>
      <c r="AY23" s="1206"/>
      <c r="AZ23" s="1206"/>
      <c r="BA23" s="1206"/>
    </row>
    <row r="24" spans="2:53" s="270" customFormat="1" x14ac:dyDescent="0.25">
      <c r="B24" s="1207" t="s">
        <v>1471</v>
      </c>
      <c r="C24" s="289"/>
      <c r="D24" s="1208"/>
      <c r="E24" s="1208"/>
      <c r="F24" s="1208"/>
      <c r="G24" s="1208"/>
      <c r="H24" s="1208"/>
      <c r="I24" s="1208"/>
      <c r="J24" s="1208">
        <f>J23/J8</f>
        <v>0.62506724705811012</v>
      </c>
      <c r="K24" s="1208">
        <f t="shared" ref="K24:P24" si="10">K23/K8</f>
        <v>0.62740187199160313</v>
      </c>
      <c r="L24" s="1208">
        <f t="shared" si="10"/>
        <v>0.63912936435336176</v>
      </c>
      <c r="M24" s="1208">
        <f t="shared" si="10"/>
        <v>0.68917133289249055</v>
      </c>
      <c r="N24" s="1208">
        <f t="shared" si="10"/>
        <v>0.66315338326090523</v>
      </c>
      <c r="O24" s="1208">
        <f t="shared" si="10"/>
        <v>0.60143491657019887</v>
      </c>
      <c r="P24" s="1209">
        <f t="shared" si="10"/>
        <v>0.59497210132478962</v>
      </c>
      <c r="Q24" s="1335">
        <f t="shared" ref="Q24" si="11">Q23/Q8</f>
        <v>0.60468802293677215</v>
      </c>
      <c r="R24" s="1335">
        <f t="shared" ref="R24" si="12">R23/R8</f>
        <v>0.6117747264856922</v>
      </c>
      <c r="S24" s="1335">
        <f t="shared" ref="S24" si="13">S23/S8</f>
        <v>0.58774137554401584</v>
      </c>
      <c r="T24" s="1335">
        <f t="shared" ref="T24" si="14">T23/T8</f>
        <v>0.57693354258607854</v>
      </c>
      <c r="U24" s="1335">
        <f t="shared" ref="U24" si="15">U23/U8</f>
        <v>0.56426633512046864</v>
      </c>
      <c r="V24" s="1335">
        <f t="shared" ref="V24" si="16">V23/V8</f>
        <v>0.55901556282276499</v>
      </c>
      <c r="W24" s="1335">
        <f t="shared" ref="W24" si="17">W23/W8</f>
        <v>0.55239067484180326</v>
      </c>
      <c r="X24" s="1335">
        <f t="shared" ref="X24" si="18">X23/X8</f>
        <v>0.55202303626075455</v>
      </c>
      <c r="Y24" s="1335">
        <f t="shared" ref="Y24" si="19">Y23/Y8</f>
        <v>0.551590086332017</v>
      </c>
      <c r="Z24" s="1335">
        <f t="shared" ref="Z24" si="20">Z23/Z8</f>
        <v>0.55109183727586153</v>
      </c>
      <c r="AA24" s="1335">
        <f t="shared" ref="AA24" si="21">AA23/AA8</f>
        <v>0.55052882637626832</v>
      </c>
      <c r="AB24" s="1335">
        <f t="shared" ref="AB24" si="22">AB23/AB8</f>
        <v>0.90183527437514854</v>
      </c>
      <c r="AC24" s="1208" t="e">
        <f t="shared" ref="AC24" si="23">AC23/AC8</f>
        <v>#DIV/0!</v>
      </c>
      <c r="AD24" s="1208" t="e">
        <f t="shared" ref="AD24" si="24">AD23/AD8</f>
        <v>#DIV/0!</v>
      </c>
      <c r="AE24" s="1208" t="e">
        <f t="shared" ref="AE24" si="25">AE23/AE8</f>
        <v>#DIV/0!</v>
      </c>
      <c r="AF24" s="1208" t="e">
        <f t="shared" ref="AF24" si="26">AF23/AF8</f>
        <v>#DIV/0!</v>
      </c>
      <c r="AG24" s="1208" t="e">
        <f t="shared" ref="AG24" si="27">AG23/AG8</f>
        <v>#DIV/0!</v>
      </c>
      <c r="AH24" s="1208" t="e">
        <f t="shared" ref="AH24" si="28">AH23/AH8</f>
        <v>#DIV/0!</v>
      </c>
      <c r="AI24" s="1208" t="e">
        <f t="shared" ref="AI24" si="29">AI23/AI8</f>
        <v>#DIV/0!</v>
      </c>
      <c r="AJ24" s="1208" t="e">
        <f t="shared" ref="AJ24" si="30">AJ23/AJ8</f>
        <v>#DIV/0!</v>
      </c>
      <c r="AK24" s="1208" t="e">
        <f t="shared" ref="AK24" si="31">AK23/AK8</f>
        <v>#DIV/0!</v>
      </c>
      <c r="AL24" s="1208" t="e">
        <f t="shared" ref="AL24" si="32">AL23/AL8</f>
        <v>#DIV/0!</v>
      </c>
      <c r="AM24" s="1208" t="e">
        <f t="shared" ref="AM24" si="33">AM23/AM8</f>
        <v>#DIV/0!</v>
      </c>
      <c r="AN24" s="1208" t="e">
        <f t="shared" ref="AN24" si="34">AN23/AN8</f>
        <v>#DIV/0!</v>
      </c>
      <c r="AO24" s="1208" t="e">
        <f t="shared" ref="AO24" si="35">AO23/AO8</f>
        <v>#DIV/0!</v>
      </c>
      <c r="AP24" s="1208" t="e">
        <f t="shared" ref="AP24" si="36">AP23/AP8</f>
        <v>#DIV/0!</v>
      </c>
      <c r="AQ24" s="1208" t="e">
        <f t="shared" ref="AQ24" si="37">AQ23/AQ8</f>
        <v>#DIV/0!</v>
      </c>
      <c r="AR24" s="1208" t="e">
        <f t="shared" ref="AR24" si="38">AR23/AR8</f>
        <v>#DIV/0!</v>
      </c>
      <c r="AS24" s="1208" t="e">
        <f t="shared" ref="AS24" si="39">AS23/AS8</f>
        <v>#DIV/0!</v>
      </c>
      <c r="AT24" s="1208" t="e">
        <f t="shared" ref="AT24" si="40">AT23/AT8</f>
        <v>#DIV/0!</v>
      </c>
      <c r="AU24" s="1208" t="e">
        <f t="shared" ref="AU24" si="41">AU23/AU8</f>
        <v>#DIV/0!</v>
      </c>
      <c r="AV24" s="1208" t="e">
        <f t="shared" ref="AV24" si="42">AV23/AV8</f>
        <v>#DIV/0!</v>
      </c>
      <c r="AW24" s="1208" t="e">
        <f t="shared" ref="AW24" si="43">AW23/AW8</f>
        <v>#DIV/0!</v>
      </c>
      <c r="AX24" s="1208" t="e">
        <f t="shared" ref="AX24" si="44">AX23/AX8</f>
        <v>#DIV/0!</v>
      </c>
      <c r="AY24" s="1208"/>
      <c r="AZ24" s="1208"/>
      <c r="BA24" s="1208"/>
    </row>
    <row r="25" spans="2:53" s="180" customFormat="1" x14ac:dyDescent="0.25">
      <c r="B25" s="147" t="s">
        <v>1497</v>
      </c>
      <c r="D25" s="1211"/>
      <c r="E25" s="1211"/>
      <c r="F25" s="1211"/>
      <c r="G25" s="118"/>
      <c r="H25" s="118"/>
      <c r="I25" s="119"/>
      <c r="J25" s="119">
        <f>'Mảng dược phẩm'!M293</f>
        <v>674.42370221199997</v>
      </c>
      <c r="K25" s="119">
        <f>'Mảng dược phẩm'!N293</f>
        <v>753.29844706400002</v>
      </c>
      <c r="L25" s="119">
        <f>'Mảng dược phẩm'!O293</f>
        <v>767.29591335400005</v>
      </c>
      <c r="M25" s="119">
        <f>'Mảng dược phẩm'!P293</f>
        <v>782.32084593499997</v>
      </c>
      <c r="N25" s="119">
        <f>'Mảng dược phẩm'!Q293</f>
        <v>728.57259607799995</v>
      </c>
      <c r="O25" s="119">
        <f>'Mảng dược phẩm'!R293</f>
        <v>669.32142736699996</v>
      </c>
      <c r="P25" s="671">
        <f>'Mảng dược phẩm'!S293</f>
        <v>597.87220246599998</v>
      </c>
      <c r="Q25" s="1336">
        <f>'Mảng dược phẩm'!T293</f>
        <v>865.08179079651836</v>
      </c>
      <c r="R25" s="1336">
        <f>'Mảng dược phẩm'!U293</f>
        <v>882.81819982644174</v>
      </c>
      <c r="S25" s="1336">
        <f>'Mảng dược phẩm'!V293</f>
        <v>1075.3196009897649</v>
      </c>
      <c r="T25" s="1336">
        <f>'Mảng dược phẩm'!W293</f>
        <v>1114.8247524024998</v>
      </c>
      <c r="U25" s="1336">
        <f>'Mảng dược phẩm'!X293</f>
        <v>1155.9815943255321</v>
      </c>
      <c r="V25" s="1336">
        <f>'Mảng dược phẩm'!Y293</f>
        <v>1197.978256093701</v>
      </c>
      <c r="W25" s="1336">
        <f>'Mảng dược phẩm'!Z293</f>
        <v>1250.9290903303681</v>
      </c>
      <c r="X25" s="1336">
        <f>'Mảng dược phẩm'!AA293</f>
        <v>1300.6122200926393</v>
      </c>
      <c r="Y25" s="1336">
        <f>'Mảng dược phẩm'!AB293</f>
        <v>1354.6461924952769</v>
      </c>
      <c r="Z25" s="1336">
        <f>'Mảng dược phẩm'!AC293</f>
        <v>1413.4699644401435</v>
      </c>
      <c r="AA25" s="1336">
        <f>'Mảng dược phẩm'!AD293</f>
        <v>1477.568051927241</v>
      </c>
      <c r="AB25" s="1336">
        <f>'Mảng dược phẩm'!AE293</f>
        <v>0</v>
      </c>
      <c r="AC25" s="119">
        <f>'Mảng dược phẩm'!AF293</f>
        <v>0</v>
      </c>
      <c r="AD25" s="119">
        <f>'Mảng dược phẩm'!AG293</f>
        <v>0</v>
      </c>
      <c r="AE25" s="119">
        <f>'Mảng dược phẩm'!AH293</f>
        <v>0</v>
      </c>
      <c r="AF25" s="119">
        <f>'Mảng dược phẩm'!AI293</f>
        <v>0</v>
      </c>
      <c r="AG25" s="119">
        <f>'Mảng dược phẩm'!AJ293</f>
        <v>0</v>
      </c>
      <c r="AH25" s="119">
        <f>'Mảng dược phẩm'!AK293</f>
        <v>0</v>
      </c>
      <c r="AI25" s="119">
        <f>'Mảng dược phẩm'!AL293</f>
        <v>0</v>
      </c>
      <c r="AJ25" s="119">
        <f>'Mảng dược phẩm'!AM293</f>
        <v>0</v>
      </c>
      <c r="AK25" s="119">
        <f>'Mảng dược phẩm'!AN293</f>
        <v>0</v>
      </c>
      <c r="AL25" s="119">
        <f>'Mảng dược phẩm'!AO293</f>
        <v>0</v>
      </c>
      <c r="AM25" s="119">
        <f>'Mảng dược phẩm'!AP293</f>
        <v>0</v>
      </c>
      <c r="AN25" s="119">
        <f>'Mảng dược phẩm'!AQ293</f>
        <v>0</v>
      </c>
      <c r="AO25" s="119">
        <f>'Mảng dược phẩm'!AR293</f>
        <v>0</v>
      </c>
      <c r="AP25" s="119">
        <f>'Mảng dược phẩm'!AS293</f>
        <v>0</v>
      </c>
      <c r="AQ25" s="119">
        <f>'Mảng dược phẩm'!AT293</f>
        <v>0</v>
      </c>
      <c r="AR25" s="119">
        <f>'Mảng dược phẩm'!AU293</f>
        <v>0</v>
      </c>
      <c r="AS25" s="119">
        <f>'Mảng dược phẩm'!AV293</f>
        <v>0</v>
      </c>
      <c r="AT25" s="119">
        <f>'Mảng dược phẩm'!AW293</f>
        <v>0</v>
      </c>
      <c r="AU25" s="119">
        <f>'Mảng dược phẩm'!AX293</f>
        <v>0</v>
      </c>
      <c r="AV25" s="119">
        <f>'Mảng dược phẩm'!AY293</f>
        <v>0</v>
      </c>
      <c r="AW25" s="119">
        <f>'Mảng dược phẩm'!AZ293</f>
        <v>0</v>
      </c>
      <c r="AX25" s="119">
        <f>'Mảng dược phẩm'!BA293</f>
        <v>0</v>
      </c>
      <c r="AY25" s="119"/>
      <c r="AZ25" s="119"/>
      <c r="BA25" s="119"/>
    </row>
    <row r="26" spans="2:53" s="180" customFormat="1" x14ac:dyDescent="0.25">
      <c r="B26" s="147" t="s">
        <v>1498</v>
      </c>
      <c r="D26" s="1212"/>
      <c r="E26" s="1212"/>
      <c r="F26" s="1212"/>
      <c r="G26" s="118"/>
      <c r="H26" s="118"/>
      <c r="I26" s="118"/>
      <c r="J26" s="119">
        <f>'Mảng thiết bị y tế'!J33</f>
        <v>88.907277527000005</v>
      </c>
      <c r="K26" s="119">
        <f>'Mảng thiết bị y tế'!K33</f>
        <v>108.55258259199999</v>
      </c>
      <c r="L26" s="119">
        <f>'Mảng thiết bị y tế'!L33</f>
        <v>113.705584153</v>
      </c>
      <c r="M26" s="119">
        <f>'Mảng thiết bị y tế'!M33</f>
        <v>179.611550403</v>
      </c>
      <c r="N26" s="119">
        <f>'Mảng thiết bị y tế'!N33</f>
        <v>104.470083816</v>
      </c>
      <c r="O26" s="119">
        <f>'Mảng thiết bị y tế'!O33</f>
        <v>83.476642029999994</v>
      </c>
      <c r="P26" s="671">
        <f>'Mảng thiết bị y tế'!P33</f>
        <v>323.75084307200001</v>
      </c>
      <c r="Q26" s="1336">
        <f>'Mảng thiết bị y tế'!Q33</f>
        <v>133.90560553858373</v>
      </c>
      <c r="R26" s="1336">
        <f>'Mảng thiết bị y tế'!R33</f>
        <v>170.70077940918316</v>
      </c>
      <c r="S26" s="1336">
        <f>'Mảng thiết bị y tế'!S33</f>
        <v>204.8409352910198</v>
      </c>
      <c r="T26" s="1336">
        <f>'Mảng thiết bị y tế'!T33</f>
        <v>225.32502882012179</v>
      </c>
      <c r="U26" s="1336">
        <f>'Mảng thiết bị y tế'!U33</f>
        <v>236.59128026112791</v>
      </c>
      <c r="V26" s="1336">
        <f>'Mảng thiết bị y tế'!V33</f>
        <v>248.4208442741843</v>
      </c>
      <c r="W26" s="1336">
        <f>'Mảng thiết bị y tế'!W33</f>
        <v>260.84188648789353</v>
      </c>
      <c r="X26" s="1336">
        <f>'Mảng thiết bị y tế'!X33</f>
        <v>268.66714308253034</v>
      </c>
      <c r="Y26" s="1336">
        <f>'Mảng thiết bị y tế'!Y33</f>
        <v>276.72715737500624</v>
      </c>
      <c r="Z26" s="1336">
        <f>'Mảng thiết bị y tế'!Z33</f>
        <v>285.02897209625644</v>
      </c>
      <c r="AA26" s="1336">
        <f>'Mảng thiết bị y tế'!AA33</f>
        <v>293.57984125914419</v>
      </c>
      <c r="AB26" s="1336">
        <f>'Mảng thiết bị y tế'!AB33</f>
        <v>302.38723649691849</v>
      </c>
      <c r="AC26" s="173"/>
      <c r="AD26" s="173"/>
      <c r="AE26" s="173"/>
      <c r="AF26" s="173"/>
      <c r="AG26" s="173"/>
      <c r="AH26" s="173"/>
      <c r="AI26" s="173"/>
      <c r="AJ26" s="173"/>
      <c r="AK26" s="173"/>
      <c r="AL26" s="173"/>
      <c r="AM26" s="173"/>
      <c r="AN26" s="173"/>
      <c r="AO26" s="173"/>
      <c r="AP26" s="173"/>
      <c r="AQ26" s="173"/>
      <c r="AR26" s="173"/>
      <c r="AS26" s="173"/>
      <c r="AT26" s="173"/>
      <c r="AU26" s="173"/>
      <c r="AV26" s="173"/>
      <c r="AW26" s="173"/>
      <c r="AX26" s="173"/>
      <c r="AY26" s="173"/>
      <c r="AZ26" s="173"/>
      <c r="BA26" s="173"/>
    </row>
    <row r="27" spans="2:53" s="180" customFormat="1" x14ac:dyDescent="0.25">
      <c r="B27" s="147" t="s">
        <v>1499</v>
      </c>
      <c r="D27" s="1212"/>
      <c r="E27" s="1212"/>
      <c r="F27" s="1212"/>
      <c r="G27" s="1212"/>
      <c r="H27" s="1212"/>
      <c r="I27" s="1212"/>
      <c r="J27" s="1213">
        <f>'Mảng thiết bị y tế'!J34</f>
        <v>9.7459407500000008</v>
      </c>
      <c r="K27" s="1213">
        <f>'Mảng thiết bị y tế'!K34</f>
        <v>13.851407195</v>
      </c>
      <c r="L27" s="1213">
        <f>'Mảng thiết bị y tế'!L34</f>
        <v>16.553434029000002</v>
      </c>
      <c r="M27" s="1213">
        <f>'Mảng thiết bị y tế'!M34</f>
        <v>10.963882592999999</v>
      </c>
      <c r="N27" s="1213">
        <f>'Mảng thiết bị y tế'!N34</f>
        <v>13.890400469999999</v>
      </c>
      <c r="O27" s="1213">
        <f>'Mảng thiết bị y tế'!O34</f>
        <v>13.015024220999999</v>
      </c>
      <c r="P27" s="1214">
        <f>'Mảng thiết bị y tế'!P34</f>
        <v>14.315667614000001</v>
      </c>
      <c r="Q27" s="1337">
        <f>'Mảng thiết bị y tế'!Q34</f>
        <v>13.637797672181655</v>
      </c>
      <c r="R27" s="1337">
        <f>'Mảng thiết bị y tế'!R34</f>
        <v>15.290229093662237</v>
      </c>
      <c r="S27" s="1337">
        <f>'Mảng thiết bị y tế'!S34</f>
        <v>16.207642839281974</v>
      </c>
      <c r="T27" s="1337">
        <f>'Mảng thiết bị y tế'!T34</f>
        <v>17.18010140963889</v>
      </c>
      <c r="U27" s="1337">
        <f>'Mảng thiết bị y tế'!U34</f>
        <v>18.210907494217224</v>
      </c>
      <c r="V27" s="1337">
        <f>'Mảng thiết bị y tế'!V34</f>
        <v>19.303561943870257</v>
      </c>
      <c r="W27" s="1337">
        <f>'Mảng thiết bị y tế'!W34</f>
        <v>20.461775660502475</v>
      </c>
      <c r="X27" s="1337">
        <f>'Mảng thiết bị y tế'!X34</f>
        <v>21.075628930317549</v>
      </c>
      <c r="Y27" s="1337">
        <f>'Mảng thiết bị y tế'!Y34</f>
        <v>21.707897798227076</v>
      </c>
      <c r="Z27" s="1337">
        <f>'Mảng thiết bị y tế'!Z34</f>
        <v>22.359134732173892</v>
      </c>
      <c r="AA27" s="1337">
        <f>'Mảng thiết bị y tế'!AA34</f>
        <v>23.029908774139109</v>
      </c>
      <c r="AB27" s="1337">
        <f>'Mảng thiết bị y tế'!AB34</f>
        <v>23.720806037363282</v>
      </c>
      <c r="AC27" s="1216"/>
      <c r="AD27" s="1216"/>
      <c r="AE27" s="1216"/>
      <c r="AF27" s="1216"/>
      <c r="AG27" s="1216"/>
      <c r="AH27" s="1216"/>
      <c r="AI27" s="1216"/>
      <c r="AJ27" s="1216"/>
      <c r="AK27" s="1216"/>
      <c r="AL27" s="1216"/>
      <c r="AM27" s="1216"/>
      <c r="AN27" s="1216"/>
      <c r="AO27" s="1216"/>
      <c r="AP27" s="1216"/>
      <c r="AQ27" s="1216"/>
      <c r="AR27" s="1216"/>
      <c r="AS27" s="1216"/>
      <c r="AT27" s="1216"/>
      <c r="AU27" s="1216"/>
      <c r="AV27" s="1216"/>
      <c r="AW27" s="1216"/>
      <c r="AX27" s="1216"/>
      <c r="AY27" s="1216"/>
      <c r="AZ27" s="1216"/>
      <c r="BA27" s="1216"/>
    </row>
    <row r="28" spans="2:53" s="1192" customFormat="1" x14ac:dyDescent="0.25">
      <c r="B28" s="1217" t="s">
        <v>1504</v>
      </c>
      <c r="C28" s="1218"/>
      <c r="D28" s="1219"/>
      <c r="E28" s="1219"/>
      <c r="F28" s="1219"/>
      <c r="G28" s="1219"/>
      <c r="H28" s="1219"/>
      <c r="I28" s="1219"/>
      <c r="J28" s="1220">
        <f>IF('IS Raw'!J21, -'IS Raw'!J21/'Consol. Rev.'!$B$1,'Consol. Rev.'!J23)</f>
        <v>773.07692048900003</v>
      </c>
      <c r="K28" s="1220">
        <f>IF('IS Raw'!K21, -'IS Raw'!K21/'Consol. Rev.'!$B$1,'Consol. Rev.'!K23)</f>
        <v>875.70243685100002</v>
      </c>
      <c r="L28" s="1220">
        <f>IF('IS Raw'!L21, -'IS Raw'!L21/'Consol. Rev.'!$B$1,'Consol. Rev.'!L23)</f>
        <v>897.55493153600003</v>
      </c>
      <c r="M28" s="1220">
        <f>IF('IS Raw'!M21, -'IS Raw'!M21/'Consol. Rev.'!$B$1,'Consol. Rev.'!M23)</f>
        <v>972.89627893099998</v>
      </c>
      <c r="N28" s="1220">
        <f>IF('IS Raw'!N21, -'IS Raw'!N21/'Consol. Rev.'!$B$1,'Consol. Rev.'!N23)</f>
        <v>846.93308036400003</v>
      </c>
      <c r="O28" s="1220">
        <f>IF('IS Raw'!O21, -'IS Raw'!O21/'Consol. Rev.'!$B$1,'Consol. Rev.'!O23)</f>
        <v>765.81309361800004</v>
      </c>
      <c r="P28" s="1221">
        <f>IF('IS Raw'!P21, -'IS Raw'!P21/'Consol. Rev.'!$B$1,'Consol. Rev.'!P23)</f>
        <v>935.938713151</v>
      </c>
      <c r="Q28" s="1338">
        <f>IF('IS Raw'!Q21, -'IS Raw'!Q21/'Consol. Rev.'!$B$1,'Consol. Rev.'!Q23)</f>
        <v>1012.6251940072838</v>
      </c>
      <c r="R28" s="1338">
        <f>IF('IS Raw'!R21, -'IS Raw'!R21/'Consol. Rev.'!$B$1,'Consol. Rev.'!R23)</f>
        <v>1068.8092083292872</v>
      </c>
      <c r="S28" s="1338">
        <f>IF('IS Raw'!S21, -'IS Raw'!S21/'Consol. Rev.'!$B$1,'Consol. Rev.'!S23)</f>
        <v>1296.3681791200668</v>
      </c>
      <c r="T28" s="1338">
        <f>IF('IS Raw'!T21, -'IS Raw'!T21/'Consol. Rev.'!$B$1,'Consol. Rev.'!T23)</f>
        <v>1357.3298826322605</v>
      </c>
      <c r="U28" s="1338">
        <f>IF('IS Raw'!U21, -'IS Raw'!U21/'Consol. Rev.'!$B$1,'Consol. Rev.'!U23)</f>
        <v>1410.7837820808772</v>
      </c>
      <c r="V28" s="1338">
        <f>IF('IS Raw'!V21, -'IS Raw'!V21/'Consol. Rev.'!$B$1,'Consol. Rev.'!V23)</f>
        <v>1465.7026623117556</v>
      </c>
      <c r="W28" s="1338">
        <f>IF('IS Raw'!W21, -'IS Raw'!W21/'Consol. Rev.'!$B$1,'Consol. Rev.'!W23)</f>
        <v>1532.2327524787643</v>
      </c>
      <c r="X28" s="1338">
        <f>IF('IS Raw'!X21, -'IS Raw'!X21/'Consol. Rev.'!$B$1,'Consol. Rev.'!X23)</f>
        <v>1590.3549921054873</v>
      </c>
      <c r="Y28" s="1338">
        <f>IF('IS Raw'!Y21, -'IS Raw'!Y21/'Consol. Rev.'!$B$1,'Consol. Rev.'!Y23)</f>
        <v>1653.0812476685103</v>
      </c>
      <c r="Z28" s="1338">
        <f>IF('IS Raw'!Z21, -'IS Raw'!Z21/'Consol. Rev.'!$B$1,'Consol. Rev.'!Z23)</f>
        <v>1720.8580712685739</v>
      </c>
      <c r="AA28" s="1338">
        <f>IF('IS Raw'!AA21, -'IS Raw'!AA21/'Consol. Rev.'!$B$1,'Consol. Rev.'!AA23)</f>
        <v>1794.1778019605242</v>
      </c>
      <c r="AB28" s="1338">
        <f>IF('IS Raw'!AB21, -'IS Raw'!AB21/'Consol. Rev.'!$B$1,'Consol. Rev.'!AB23)</f>
        <v>326.10804253428176</v>
      </c>
      <c r="AC28" s="1223"/>
      <c r="AD28" s="1223"/>
      <c r="AE28" s="1223"/>
      <c r="AF28" s="1223"/>
      <c r="AG28" s="1223"/>
      <c r="AH28" s="1223"/>
      <c r="AI28" s="1223"/>
      <c r="AJ28" s="1223"/>
      <c r="AK28" s="1223"/>
      <c r="AL28" s="1223"/>
      <c r="AM28" s="1223"/>
      <c r="AN28" s="1223"/>
      <c r="AO28" s="1223"/>
      <c r="AP28" s="1223"/>
      <c r="AQ28" s="1223"/>
      <c r="AR28" s="1223"/>
      <c r="AS28" s="1223"/>
      <c r="AT28" s="1223"/>
      <c r="AU28" s="1223"/>
      <c r="AV28" s="1223"/>
      <c r="AW28" s="1223"/>
      <c r="AX28" s="1223"/>
      <c r="AY28" s="1223"/>
      <c r="AZ28" s="1223"/>
      <c r="BA28" s="1223"/>
    </row>
    <row r="29" spans="2:53" s="1229" customFormat="1" x14ac:dyDescent="0.25">
      <c r="B29" s="1224" t="s">
        <v>1471</v>
      </c>
      <c r="C29" s="1225"/>
      <c r="D29" s="1226" t="str">
        <f>IFERROR(D28/D12," ")</f>
        <v xml:space="preserve"> </v>
      </c>
      <c r="E29" s="1226" t="str">
        <f>IFERROR(E28/E12," ")</f>
        <v xml:space="preserve"> </v>
      </c>
      <c r="F29" s="1342"/>
      <c r="G29" s="1342"/>
      <c r="H29" s="1342"/>
      <c r="I29" s="1342"/>
      <c r="J29" s="1226">
        <f>J28/J12</f>
        <v>0.63104815176177864</v>
      </c>
      <c r="K29" s="1226">
        <f t="shared" ref="K29:AX29" si="45">K28/K12</f>
        <v>0.63232094507487768</v>
      </c>
      <c r="L29" s="1226">
        <f t="shared" si="45"/>
        <v>0.64654748391074124</v>
      </c>
      <c r="M29" s="1226">
        <f t="shared" si="45"/>
        <v>0.6944178396092171</v>
      </c>
      <c r="N29" s="1226">
        <f t="shared" si="45"/>
        <v>0.6712479985344777</v>
      </c>
      <c r="O29" s="1226">
        <f t="shared" si="45"/>
        <v>0.60926182324466993</v>
      </c>
      <c r="P29" s="1227">
        <f t="shared" si="45"/>
        <v>0.60053648434806639</v>
      </c>
      <c r="Q29" s="1339">
        <f t="shared" si="45"/>
        <v>0.60468802293677215</v>
      </c>
      <c r="R29" s="1339">
        <f t="shared" si="45"/>
        <v>0.6117747264856922</v>
      </c>
      <c r="S29" s="1339">
        <f t="shared" si="45"/>
        <v>0.58774137554401584</v>
      </c>
      <c r="T29" s="1339">
        <f t="shared" si="45"/>
        <v>0.57693354258607854</v>
      </c>
      <c r="U29" s="1339">
        <f t="shared" si="45"/>
        <v>0.56426633512046864</v>
      </c>
      <c r="V29" s="1339">
        <f t="shared" si="45"/>
        <v>0.55901556282276499</v>
      </c>
      <c r="W29" s="1339">
        <f t="shared" si="45"/>
        <v>0.55239067484180326</v>
      </c>
      <c r="X29" s="1339">
        <f t="shared" si="45"/>
        <v>0.55202303626075455</v>
      </c>
      <c r="Y29" s="1339">
        <f t="shared" si="45"/>
        <v>0.551590086332017</v>
      </c>
      <c r="Z29" s="1339">
        <f t="shared" si="45"/>
        <v>0.55109183727586153</v>
      </c>
      <c r="AA29" s="1339">
        <f t="shared" si="45"/>
        <v>0.55052882637626832</v>
      </c>
      <c r="AB29" s="1339" t="e">
        <f t="shared" si="45"/>
        <v>#DIV/0!</v>
      </c>
      <c r="AC29" s="1226" t="e">
        <f t="shared" si="45"/>
        <v>#DIV/0!</v>
      </c>
      <c r="AD29" s="1226" t="e">
        <f t="shared" si="45"/>
        <v>#DIV/0!</v>
      </c>
      <c r="AE29" s="1226" t="e">
        <f t="shared" si="45"/>
        <v>#DIV/0!</v>
      </c>
      <c r="AF29" s="1226" t="e">
        <f t="shared" si="45"/>
        <v>#DIV/0!</v>
      </c>
      <c r="AG29" s="1226" t="e">
        <f t="shared" si="45"/>
        <v>#DIV/0!</v>
      </c>
      <c r="AH29" s="1226" t="e">
        <f t="shared" si="45"/>
        <v>#DIV/0!</v>
      </c>
      <c r="AI29" s="1226" t="e">
        <f t="shared" si="45"/>
        <v>#DIV/0!</v>
      </c>
      <c r="AJ29" s="1226" t="e">
        <f t="shared" si="45"/>
        <v>#DIV/0!</v>
      </c>
      <c r="AK29" s="1226" t="e">
        <f t="shared" si="45"/>
        <v>#DIV/0!</v>
      </c>
      <c r="AL29" s="1226" t="e">
        <f t="shared" si="45"/>
        <v>#DIV/0!</v>
      </c>
      <c r="AM29" s="1226" t="e">
        <f t="shared" si="45"/>
        <v>#DIV/0!</v>
      </c>
      <c r="AN29" s="1226" t="e">
        <f t="shared" si="45"/>
        <v>#DIV/0!</v>
      </c>
      <c r="AO29" s="1226" t="e">
        <f t="shared" si="45"/>
        <v>#DIV/0!</v>
      </c>
      <c r="AP29" s="1226" t="e">
        <f t="shared" si="45"/>
        <v>#DIV/0!</v>
      </c>
      <c r="AQ29" s="1226" t="e">
        <f t="shared" si="45"/>
        <v>#DIV/0!</v>
      </c>
      <c r="AR29" s="1226" t="e">
        <f t="shared" si="45"/>
        <v>#DIV/0!</v>
      </c>
      <c r="AS29" s="1226" t="e">
        <f t="shared" si="45"/>
        <v>#DIV/0!</v>
      </c>
      <c r="AT29" s="1226" t="e">
        <f t="shared" si="45"/>
        <v>#DIV/0!</v>
      </c>
      <c r="AU29" s="1226" t="e">
        <f t="shared" si="45"/>
        <v>#DIV/0!</v>
      </c>
      <c r="AV29" s="1226" t="e">
        <f t="shared" si="45"/>
        <v>#DIV/0!</v>
      </c>
      <c r="AW29" s="1226" t="e">
        <f t="shared" si="45"/>
        <v>#DIV/0!</v>
      </c>
      <c r="AX29" s="1226" t="e">
        <f t="shared" si="45"/>
        <v>#DIV/0!</v>
      </c>
      <c r="AY29" s="1226"/>
      <c r="AZ29" s="1226"/>
      <c r="BA29" s="1226"/>
    </row>
    <row r="30" spans="2:53" x14ac:dyDescent="0.25">
      <c r="F30" s="1343"/>
      <c r="G30" s="2353"/>
      <c r="H30" s="2353"/>
      <c r="I30" s="2353"/>
      <c r="J30" s="1329"/>
      <c r="K30" s="1329"/>
      <c r="L30" s="1329"/>
      <c r="M30" s="1329"/>
      <c r="N30" s="1329"/>
      <c r="O30" s="1329"/>
      <c r="P30" s="1230"/>
      <c r="S30" s="781"/>
      <c r="T30" s="781"/>
      <c r="U30" s="781"/>
      <c r="V30" s="781"/>
      <c r="W30" s="781"/>
      <c r="X30" s="781"/>
      <c r="Y30" s="781"/>
      <c r="Z30" s="781"/>
      <c r="AA30" s="781"/>
      <c r="AB30" s="781"/>
      <c r="AC30" s="781"/>
      <c r="AD30" s="781"/>
      <c r="AE30" s="781"/>
      <c r="AF30" s="781"/>
      <c r="AG30" s="781"/>
      <c r="AH30" s="781"/>
      <c r="AI30" s="781"/>
      <c r="AJ30" s="781"/>
      <c r="AK30" s="781"/>
      <c r="AL30" s="781"/>
      <c r="AM30" s="781"/>
      <c r="AN30" s="781"/>
      <c r="AO30" s="781"/>
      <c r="AP30" s="781"/>
      <c r="AQ30" s="781"/>
      <c r="AR30" s="781"/>
      <c r="AS30" s="781"/>
      <c r="AT30" s="781"/>
      <c r="AU30" s="781"/>
      <c r="AV30" s="781"/>
      <c r="AW30" s="781"/>
      <c r="AX30" s="781"/>
      <c r="AY30" s="781"/>
      <c r="AZ30" s="781"/>
      <c r="BA30" s="781"/>
    </row>
    <row r="31" spans="2:53" x14ac:dyDescent="0.25">
      <c r="F31" s="1343"/>
      <c r="G31" s="1343"/>
      <c r="H31" s="1344"/>
      <c r="I31" s="1343"/>
      <c r="J31" s="1329"/>
      <c r="K31" s="1329"/>
      <c r="L31" s="1329"/>
      <c r="M31" s="1329"/>
      <c r="N31" s="1329"/>
      <c r="O31" s="1329"/>
      <c r="P31" s="1230"/>
      <c r="S31" s="781"/>
      <c r="T31" s="781"/>
      <c r="U31" s="781"/>
      <c r="V31" s="781"/>
      <c r="W31" s="781"/>
      <c r="X31" s="781"/>
      <c r="Y31" s="781"/>
      <c r="Z31" s="781"/>
      <c r="AA31" s="781"/>
      <c r="AB31" s="781"/>
      <c r="AC31" s="781"/>
      <c r="AD31" s="781"/>
      <c r="AE31" s="781"/>
      <c r="AF31" s="781"/>
      <c r="AG31" s="781"/>
      <c r="AH31" s="781"/>
      <c r="AI31" s="781"/>
      <c r="AJ31" s="781"/>
      <c r="AK31" s="781"/>
      <c r="AL31" s="781"/>
      <c r="AM31" s="781"/>
      <c r="AN31" s="781"/>
      <c r="AO31" s="781"/>
      <c r="AP31" s="781"/>
      <c r="AQ31" s="781"/>
      <c r="AR31" s="781"/>
      <c r="AS31" s="781"/>
      <c r="AT31" s="781"/>
      <c r="AU31" s="781"/>
      <c r="AV31" s="781"/>
      <c r="AW31" s="781"/>
      <c r="AX31" s="781"/>
      <c r="AY31" s="781"/>
      <c r="AZ31" s="781"/>
      <c r="BA31" s="781"/>
    </row>
    <row r="32" spans="2:53" s="29" customFormat="1" ht="15.75" customHeight="1" x14ac:dyDescent="0.25">
      <c r="B32" s="1202" t="s">
        <v>1505</v>
      </c>
      <c r="D32" s="117"/>
      <c r="E32" s="117"/>
      <c r="F32" s="1345"/>
      <c r="G32" s="1345"/>
      <c r="H32" s="1344"/>
      <c r="I32" s="1345"/>
      <c r="J32" s="1203">
        <f>SUM(J34:J39)</f>
        <v>487.76481341399995</v>
      </c>
      <c r="K32" s="1203">
        <f t="shared" ref="K32:AA32" si="46">SUM(K34:K39)</f>
        <v>606.15412927800003</v>
      </c>
      <c r="L32" s="1203">
        <f t="shared" si="46"/>
        <v>584.33980633899978</v>
      </c>
      <c r="M32" s="1203">
        <f t="shared" si="46"/>
        <v>519.73255105699991</v>
      </c>
      <c r="N32" s="1203">
        <f t="shared" si="46"/>
        <v>599.23006331799991</v>
      </c>
      <c r="O32" s="1203">
        <f t="shared" si="46"/>
        <v>699.59284666000008</v>
      </c>
      <c r="P32" s="1204">
        <f t="shared" si="46"/>
        <v>738.97816879799996</v>
      </c>
      <c r="Q32" s="1205">
        <f t="shared" si="46"/>
        <v>748.85858856308903</v>
      </c>
      <c r="R32" s="1205">
        <f t="shared" si="46"/>
        <v>776.29199809191357</v>
      </c>
      <c r="S32" s="1205">
        <f t="shared" si="46"/>
        <v>949.97375774016734</v>
      </c>
      <c r="T32" s="1205">
        <f t="shared" si="46"/>
        <v>1005.6382143226338</v>
      </c>
      <c r="U32" s="1205">
        <f t="shared" si="46"/>
        <v>1061.5155234999477</v>
      </c>
      <c r="V32" s="1205">
        <f t="shared" si="46"/>
        <v>1107.6144555068292</v>
      </c>
      <c r="W32" s="1205">
        <f t="shared" si="46"/>
        <v>1165.1349481952611</v>
      </c>
      <c r="X32" s="1205">
        <f t="shared" si="46"/>
        <v>1205.7087022471669</v>
      </c>
      <c r="Y32" s="1205">
        <f t="shared" si="46"/>
        <v>1249.6315480830008</v>
      </c>
      <c r="Z32" s="1205">
        <f t="shared" si="46"/>
        <v>1297.2338391482513</v>
      </c>
      <c r="AA32" s="1205">
        <f t="shared" si="46"/>
        <v>1348.8799807437299</v>
      </c>
      <c r="AB32" s="117"/>
      <c r="AC32" s="117"/>
      <c r="AD32" s="117"/>
      <c r="AE32" s="117"/>
      <c r="AF32" s="117"/>
      <c r="AG32" s="117"/>
      <c r="AH32" s="117"/>
      <c r="AI32" s="117"/>
      <c r="AJ32" s="117"/>
      <c r="AK32" s="117"/>
      <c r="AL32" s="117"/>
      <c r="AM32" s="117"/>
      <c r="AN32" s="117"/>
      <c r="AO32" s="117"/>
      <c r="AP32" s="117"/>
      <c r="AQ32" s="117"/>
      <c r="AR32" s="117"/>
      <c r="AS32" s="117"/>
      <c r="AT32" s="117"/>
      <c r="AU32" s="117"/>
      <c r="AV32" s="117"/>
      <c r="AW32" s="117"/>
      <c r="AX32" s="117"/>
      <c r="AY32" s="117"/>
      <c r="AZ32" s="117"/>
      <c r="BA32" s="117"/>
    </row>
    <row r="33" spans="2:53" s="270" customFormat="1" x14ac:dyDescent="0.25">
      <c r="B33" s="1207" t="s">
        <v>1471</v>
      </c>
      <c r="C33" s="289"/>
      <c r="D33" s="1208"/>
      <c r="E33" s="1208"/>
      <c r="F33" s="1346"/>
      <c r="G33" s="1346"/>
      <c r="H33" s="1346"/>
      <c r="I33" s="1346"/>
      <c r="J33" s="1352">
        <f>J32/J12</f>
        <v>0.39815324431705518</v>
      </c>
      <c r="K33" s="1352">
        <f t="shared" ref="K33:P33" si="47">K32/K12</f>
        <v>0.43768743326144238</v>
      </c>
      <c r="L33" s="1352">
        <f t="shared" si="47"/>
        <v>0.42092513590319103</v>
      </c>
      <c r="M33" s="1352">
        <f t="shared" si="47"/>
        <v>0.37096611745308739</v>
      </c>
      <c r="N33" s="1352">
        <f t="shared" si="47"/>
        <v>0.47492770088874331</v>
      </c>
      <c r="O33" s="1352">
        <f t="shared" si="47"/>
        <v>0.55657864410661739</v>
      </c>
      <c r="P33" s="1357">
        <f t="shared" si="47"/>
        <v>0.47415855895718773</v>
      </c>
      <c r="Q33" s="1353">
        <f t="shared" ref="Q33" si="48">Q32/Q12</f>
        <v>0.44718008405998527</v>
      </c>
      <c r="R33" s="1353">
        <f t="shared" ref="R33" si="49">R32/R12</f>
        <v>0.44434106770849979</v>
      </c>
      <c r="S33" s="1353">
        <f t="shared" ref="S33" si="50">S32/S12</f>
        <v>0.43069468388518006</v>
      </c>
      <c r="T33" s="1353">
        <f t="shared" ref="T33" si="51">T32/T12</f>
        <v>0.4274468756437777</v>
      </c>
      <c r="U33" s="1353">
        <f t="shared" ref="U33" si="52">U32/U12</f>
        <v>0.42457071149153819</v>
      </c>
      <c r="V33" s="1353">
        <f t="shared" ref="V33" si="53">V32/V12</f>
        <v>0.4224415593672996</v>
      </c>
      <c r="W33" s="1353">
        <f t="shared" ref="W33" si="54">W32/W12</f>
        <v>0.42004694082811667</v>
      </c>
      <c r="X33" s="1353">
        <f t="shared" ref="X33" si="55">X32/X12</f>
        <v>0.41850969246767245</v>
      </c>
      <c r="Y33" s="1353">
        <f t="shared" ref="Y33" si="56">Y32/Y12</f>
        <v>0.41696944688137644</v>
      </c>
      <c r="Z33" s="1353">
        <f t="shared" ref="Z33" si="57">Z32/Z12</f>
        <v>0.41542936731884361</v>
      </c>
      <c r="AA33" s="1353">
        <f t="shared" ref="AA33" si="58">AA32/AA12</f>
        <v>0.41389282149731316</v>
      </c>
      <c r="AB33" s="1352" t="e">
        <f t="shared" ref="AB33" si="59">AB32/AB12</f>
        <v>#DIV/0!</v>
      </c>
      <c r="AC33" s="1210"/>
      <c r="AD33" s="1210"/>
      <c r="AE33" s="1210"/>
      <c r="AF33" s="1210"/>
      <c r="AG33" s="1210"/>
      <c r="AH33" s="1210"/>
      <c r="AI33" s="1210"/>
      <c r="AJ33" s="1210"/>
      <c r="AK33" s="1210"/>
      <c r="AL33" s="1210"/>
      <c r="AM33" s="1210"/>
      <c r="AN33" s="1210"/>
      <c r="AO33" s="1210"/>
      <c r="AP33" s="1210"/>
      <c r="AQ33" s="1210"/>
      <c r="AR33" s="1210"/>
      <c r="AS33" s="1210"/>
      <c r="AT33" s="1210"/>
      <c r="AU33" s="1210"/>
      <c r="AV33" s="1210"/>
      <c r="AW33" s="1210"/>
      <c r="AX33" s="1210"/>
      <c r="AY33" s="1210"/>
      <c r="AZ33" s="1210"/>
      <c r="BA33" s="1210"/>
    </row>
    <row r="34" spans="2:53" s="180" customFormat="1" x14ac:dyDescent="0.25">
      <c r="B34" s="147" t="s">
        <v>363</v>
      </c>
      <c r="D34" s="1211"/>
      <c r="E34" s="1211"/>
      <c r="F34" s="1347"/>
      <c r="G34" s="1348"/>
      <c r="H34" s="1349"/>
      <c r="I34" s="1349"/>
      <c r="J34" s="119">
        <f>J124-J107-J89</f>
        <v>303.23109411399997</v>
      </c>
      <c r="K34" s="119">
        <f t="shared" ref="K34:AA34" si="60">K124-K107-K89</f>
        <v>380.35389265999999</v>
      </c>
      <c r="L34" s="119">
        <f t="shared" si="60"/>
        <v>394.12482461399998</v>
      </c>
      <c r="M34" s="119">
        <f t="shared" si="60"/>
        <v>353.37877407799999</v>
      </c>
      <c r="N34" s="119">
        <f t="shared" si="60"/>
        <v>432.11670657399998</v>
      </c>
      <c r="O34" s="119">
        <f t="shared" si="60"/>
        <v>491.227528898</v>
      </c>
      <c r="P34" s="671">
        <f t="shared" si="60"/>
        <v>487.43203985700001</v>
      </c>
      <c r="Q34" s="172">
        <f t="shared" si="60"/>
        <v>503.42636175051553</v>
      </c>
      <c r="R34" s="172">
        <f t="shared" si="60"/>
        <v>525.20305907789918</v>
      </c>
      <c r="S34" s="172">
        <f t="shared" si="60"/>
        <v>663.07199976401489</v>
      </c>
      <c r="T34" s="172">
        <f t="shared" si="60"/>
        <v>707.25856073872728</v>
      </c>
      <c r="U34" s="172">
        <f t="shared" si="60"/>
        <v>751.61408454427101</v>
      </c>
      <c r="V34" s="172">
        <f t="shared" si="60"/>
        <v>788.20751229063671</v>
      </c>
      <c r="W34" s="172">
        <f t="shared" si="60"/>
        <v>833.86739857206442</v>
      </c>
      <c r="X34" s="172">
        <f t="shared" si="60"/>
        <v>866.07492860932382</v>
      </c>
      <c r="Y34" s="172">
        <f t="shared" si="60"/>
        <v>900.94097464415233</v>
      </c>
      <c r="Z34" s="172">
        <f t="shared" si="60"/>
        <v>938.72777192608646</v>
      </c>
      <c r="AA34" s="172">
        <f t="shared" si="60"/>
        <v>979.72458613797778</v>
      </c>
      <c r="AB34" s="173"/>
      <c r="AC34" s="173"/>
      <c r="AD34" s="173"/>
      <c r="AE34" s="173"/>
      <c r="AF34" s="173"/>
      <c r="AG34" s="173"/>
      <c r="AH34" s="173"/>
      <c r="AI34" s="173"/>
      <c r="AJ34" s="173"/>
      <c r="AK34" s="173"/>
      <c r="AL34" s="173"/>
      <c r="AM34" s="173"/>
      <c r="AN34" s="173"/>
      <c r="AO34" s="173"/>
      <c r="AP34" s="173"/>
      <c r="AQ34" s="173"/>
      <c r="AR34" s="173"/>
      <c r="AS34" s="173"/>
      <c r="AT34" s="173"/>
      <c r="AU34" s="173"/>
      <c r="AV34" s="173"/>
      <c r="AW34" s="173"/>
      <c r="AX34" s="173"/>
      <c r="AY34" s="173"/>
      <c r="AZ34" s="173"/>
      <c r="BA34" s="173"/>
    </row>
    <row r="35" spans="2:53" s="180" customFormat="1" x14ac:dyDescent="0.25">
      <c r="B35" s="147" t="s">
        <v>364</v>
      </c>
      <c r="D35" s="1212"/>
      <c r="E35" s="1212"/>
      <c r="F35" s="1350"/>
      <c r="G35" s="1349"/>
      <c r="H35" s="1351"/>
      <c r="I35" s="1349"/>
      <c r="J35" s="119">
        <f>J126-J109-J89</f>
        <v>113.913797507</v>
      </c>
      <c r="K35" s="119">
        <f t="shared" ref="K35:AA35" si="61">K126-K109-K89</f>
        <v>162.69443219799999</v>
      </c>
      <c r="L35" s="119">
        <f t="shared" si="61"/>
        <v>121.85907893699999</v>
      </c>
      <c r="M35" s="119">
        <f t="shared" si="61"/>
        <v>111.18711813599998</v>
      </c>
      <c r="N35" s="119">
        <f t="shared" si="61"/>
        <v>120.671302387</v>
      </c>
      <c r="O35" s="119">
        <f t="shared" si="61"/>
        <v>158.56456386299999</v>
      </c>
      <c r="P35" s="671">
        <f t="shared" si="61"/>
        <v>197.31998542700001</v>
      </c>
      <c r="Q35" s="172">
        <f t="shared" si="61"/>
        <v>173.68311738321785</v>
      </c>
      <c r="R35" s="172">
        <f t="shared" si="61"/>
        <v>181.19612219484344</v>
      </c>
      <c r="S35" s="172">
        <f t="shared" si="61"/>
        <v>228.76118677633087</v>
      </c>
      <c r="T35" s="172">
        <f t="shared" si="61"/>
        <v>244.00564006607524</v>
      </c>
      <c r="U35" s="172">
        <f t="shared" si="61"/>
        <v>259.30838587566035</v>
      </c>
      <c r="V35" s="172">
        <f t="shared" si="61"/>
        <v>271.9331927781563</v>
      </c>
      <c r="W35" s="172">
        <f t="shared" si="61"/>
        <v>287.68594629139341</v>
      </c>
      <c r="X35" s="172">
        <f t="shared" si="61"/>
        <v>298.7976095754409</v>
      </c>
      <c r="Y35" s="172">
        <f t="shared" si="61"/>
        <v>310.82646627873129</v>
      </c>
      <c r="Z35" s="172">
        <f t="shared" si="61"/>
        <v>323.86298809501722</v>
      </c>
      <c r="AA35" s="172">
        <f t="shared" si="61"/>
        <v>338.00697227245013</v>
      </c>
      <c r="AB35" s="173"/>
      <c r="AC35" s="173"/>
      <c r="AD35" s="173"/>
      <c r="AE35" s="173"/>
      <c r="AF35" s="173"/>
      <c r="AG35" s="173"/>
      <c r="AH35" s="173"/>
      <c r="AI35" s="173"/>
      <c r="AJ35" s="173"/>
      <c r="AK35" s="173"/>
      <c r="AL35" s="173"/>
      <c r="AM35" s="173"/>
      <c r="AN35" s="173"/>
      <c r="AO35" s="173"/>
      <c r="AP35" s="173"/>
      <c r="AQ35" s="173"/>
      <c r="AR35" s="173"/>
      <c r="AS35" s="173"/>
      <c r="AT35" s="173"/>
      <c r="AU35" s="173"/>
      <c r="AV35" s="173"/>
      <c r="AW35" s="173"/>
      <c r="AX35" s="173"/>
      <c r="AY35" s="173"/>
      <c r="AZ35" s="173"/>
      <c r="BA35" s="173"/>
    </row>
    <row r="36" spans="2:53" s="180" customFormat="1" x14ac:dyDescent="0.25">
      <c r="B36" s="147" t="s">
        <v>365</v>
      </c>
      <c r="D36" s="1212"/>
      <c r="E36" s="1212"/>
      <c r="F36" s="1212"/>
      <c r="G36" s="2354"/>
      <c r="H36" s="2354"/>
      <c r="I36" s="2354"/>
      <c r="J36" s="1213">
        <f>J128-J111-J93</f>
        <v>29.985031504999995</v>
      </c>
      <c r="K36" s="1213">
        <f t="shared" ref="K36:AA36" si="62">K128-K111-K93</f>
        <v>19.855460753000003</v>
      </c>
      <c r="L36" s="1213">
        <f t="shared" si="62"/>
        <v>20.098499827000001</v>
      </c>
      <c r="M36" s="1213">
        <f t="shared" si="62"/>
        <v>19.027074327000001</v>
      </c>
      <c r="N36" s="1213">
        <f t="shared" si="62"/>
        <v>11.266032095999998</v>
      </c>
      <c r="O36" s="1213">
        <f t="shared" si="62"/>
        <v>16.181944606999998</v>
      </c>
      <c r="P36" s="1214">
        <f t="shared" si="62"/>
        <v>20.821484433000002</v>
      </c>
      <c r="Q36" s="1215">
        <f t="shared" si="62"/>
        <v>23.659716211598727</v>
      </c>
      <c r="R36" s="1215">
        <f t="shared" si="62"/>
        <v>24.683163766073658</v>
      </c>
      <c r="S36" s="1215">
        <f t="shared" si="62"/>
        <v>31.162641717297369</v>
      </c>
      <c r="T36" s="1215">
        <f t="shared" si="62"/>
        <v>33.239293979592468</v>
      </c>
      <c r="U36" s="1215">
        <f t="shared" si="62"/>
        <v>35.323887050974072</v>
      </c>
      <c r="V36" s="1215">
        <f t="shared" si="62"/>
        <v>37.04368200306623</v>
      </c>
      <c r="W36" s="1215">
        <f t="shared" si="62"/>
        <v>39.189576683503752</v>
      </c>
      <c r="X36" s="1215">
        <f t="shared" si="62"/>
        <v>40.703245967544419</v>
      </c>
      <c r="Y36" s="1215">
        <f t="shared" si="62"/>
        <v>42.341858518019841</v>
      </c>
      <c r="Z36" s="1215">
        <f t="shared" si="62"/>
        <v>44.117738702615398</v>
      </c>
      <c r="AA36" s="1215">
        <f t="shared" si="62"/>
        <v>46.044481248357727</v>
      </c>
      <c r="AB36" s="1216"/>
      <c r="AC36" s="1216"/>
      <c r="AD36" s="1216"/>
      <c r="AE36" s="1216"/>
      <c r="AF36" s="1216"/>
      <c r="AG36" s="1216"/>
      <c r="AH36" s="1216"/>
      <c r="AI36" s="1216"/>
      <c r="AJ36" s="1216"/>
      <c r="AK36" s="1216"/>
      <c r="AL36" s="1216"/>
      <c r="AM36" s="1216"/>
      <c r="AN36" s="1216"/>
      <c r="AO36" s="1216"/>
      <c r="AP36" s="1216"/>
      <c r="AQ36" s="1216"/>
      <c r="AR36" s="1216"/>
      <c r="AS36" s="1216"/>
      <c r="AT36" s="1216"/>
      <c r="AU36" s="1216"/>
      <c r="AV36" s="1216"/>
      <c r="AW36" s="1216"/>
      <c r="AX36" s="1216"/>
      <c r="AY36" s="1216"/>
      <c r="AZ36" s="1216"/>
      <c r="BA36" s="1216"/>
    </row>
    <row r="37" spans="2:53" s="180" customFormat="1" x14ac:dyDescent="0.25">
      <c r="B37" s="147" t="s">
        <v>366</v>
      </c>
      <c r="D37" s="1212"/>
      <c r="E37" s="1212"/>
      <c r="F37" s="1212"/>
      <c r="G37" s="2354"/>
      <c r="H37" s="2354"/>
      <c r="I37" s="2354"/>
      <c r="J37" s="1213">
        <f>J130-J113-J95</f>
        <v>35.274296312999994</v>
      </c>
      <c r="K37" s="1213">
        <f t="shared" ref="K37:AA37" si="63">K130-K113-K95</f>
        <v>37.879720653</v>
      </c>
      <c r="L37" s="1213">
        <f t="shared" si="63"/>
        <v>44.180730975999992</v>
      </c>
      <c r="M37" s="1213">
        <f t="shared" si="63"/>
        <v>34.061066970000006</v>
      </c>
      <c r="N37" s="1213">
        <f t="shared" si="63"/>
        <v>30.242648158000002</v>
      </c>
      <c r="O37" s="1213">
        <f t="shared" si="63"/>
        <v>30.578093761999995</v>
      </c>
      <c r="P37" s="1214">
        <f t="shared" si="63"/>
        <v>31.787726709999987</v>
      </c>
      <c r="Q37" s="1215">
        <f t="shared" si="63"/>
        <v>43.295058115768818</v>
      </c>
      <c r="R37" s="1215">
        <f t="shared" si="63"/>
        <v>45.167870999623759</v>
      </c>
      <c r="S37" s="1215">
        <f t="shared" si="63"/>
        <v>57.024706979784398</v>
      </c>
      <c r="T37" s="1215">
        <f t="shared" si="63"/>
        <v>60.824785542782223</v>
      </c>
      <c r="U37" s="1215">
        <f t="shared" si="63"/>
        <v>64.639395040462972</v>
      </c>
      <c r="V37" s="1215">
        <f t="shared" si="63"/>
        <v>67.786458248327406</v>
      </c>
      <c r="W37" s="1215">
        <f t="shared" si="63"/>
        <v>71.713243932016908</v>
      </c>
      <c r="X37" s="1215">
        <f t="shared" si="63"/>
        <v>74.483116530423956</v>
      </c>
      <c r="Y37" s="1215">
        <f t="shared" si="63"/>
        <v>77.481623569459487</v>
      </c>
      <c r="Z37" s="1215">
        <f t="shared" si="63"/>
        <v>80.731317484258625</v>
      </c>
      <c r="AA37" s="1215">
        <f t="shared" si="63"/>
        <v>84.25707534821575</v>
      </c>
      <c r="AB37" s="1216"/>
      <c r="AC37" s="1216"/>
      <c r="AD37" s="1216"/>
      <c r="AE37" s="1216"/>
      <c r="AF37" s="1216"/>
      <c r="AG37" s="1216"/>
      <c r="AH37" s="1216"/>
      <c r="AI37" s="1216"/>
      <c r="AJ37" s="1216"/>
      <c r="AK37" s="1216"/>
      <c r="AL37" s="1216"/>
      <c r="AM37" s="1216"/>
      <c r="AN37" s="1216"/>
      <c r="AO37" s="1216"/>
      <c r="AP37" s="1216"/>
      <c r="AQ37" s="1216"/>
      <c r="AR37" s="1216"/>
      <c r="AS37" s="1216"/>
      <c r="AT37" s="1216"/>
      <c r="AU37" s="1216"/>
      <c r="AV37" s="1216"/>
      <c r="AW37" s="1216"/>
      <c r="AX37" s="1216"/>
      <c r="AY37" s="1216"/>
      <c r="AZ37" s="1216"/>
      <c r="BA37" s="1216"/>
    </row>
    <row r="38" spans="2:53" s="180" customFormat="1" x14ac:dyDescent="0.25">
      <c r="B38" s="147" t="s">
        <v>367</v>
      </c>
      <c r="D38" s="124"/>
      <c r="E38" s="124"/>
      <c r="F38" s="124"/>
      <c r="G38" s="2354"/>
      <c r="H38" s="2354"/>
      <c r="I38" s="2354"/>
      <c r="J38" s="1213">
        <f>J132-J115-J97</f>
        <v>5.3605939750000005</v>
      </c>
      <c r="K38" s="1213">
        <f t="shared" ref="K38:AA38" si="64">K132-K115-K97</f>
        <v>5.3706230139999889</v>
      </c>
      <c r="L38" s="1213">
        <f t="shared" si="64"/>
        <v>4.0766719850000044</v>
      </c>
      <c r="M38" s="1213">
        <f t="shared" si="64"/>
        <v>2.0785175460000005</v>
      </c>
      <c r="N38" s="1213">
        <f t="shared" si="64"/>
        <v>4.9333741029999985</v>
      </c>
      <c r="O38" s="1213">
        <f t="shared" si="64"/>
        <v>3.0407155299999999</v>
      </c>
      <c r="P38" s="1214">
        <f t="shared" si="64"/>
        <v>1.6169323710000043</v>
      </c>
      <c r="Q38" s="1215">
        <f t="shared" si="64"/>
        <v>4.7943351019880396</v>
      </c>
      <c r="R38" s="1215">
        <f t="shared" si="64"/>
        <v>0.59685546174172543</v>
      </c>
      <c r="S38" s="1215">
        <f t="shared" si="64"/>
        <v>-25.977517265779028</v>
      </c>
      <c r="T38" s="1215">
        <f t="shared" si="64"/>
        <v>-34.494519971723392</v>
      </c>
      <c r="U38" s="1215">
        <f t="shared" si="64"/>
        <v>-43.044090428034607</v>
      </c>
      <c r="V38" s="1215">
        <f t="shared" si="64"/>
        <v>-50.097509301568138</v>
      </c>
      <c r="W38" s="1215">
        <f t="shared" si="64"/>
        <v>-58.89849689674638</v>
      </c>
      <c r="X38" s="1215">
        <f t="shared" si="64"/>
        <v>-65.106529710979402</v>
      </c>
      <c r="Y38" s="1215">
        <f t="shared" si="64"/>
        <v>-71.826994075566631</v>
      </c>
      <c r="Z38" s="1215">
        <f t="shared" si="64"/>
        <v>-79.110436090512849</v>
      </c>
      <c r="AA38" s="1215">
        <f t="shared" si="64"/>
        <v>-87.012611998196718</v>
      </c>
      <c r="AB38" s="1216"/>
      <c r="AC38" s="1216"/>
      <c r="AD38" s="1216"/>
      <c r="AE38" s="1216"/>
      <c r="AF38" s="1216"/>
      <c r="AG38" s="1216"/>
      <c r="AH38" s="1216"/>
      <c r="AI38" s="1216"/>
      <c r="AJ38" s="1216"/>
      <c r="AK38" s="1216"/>
      <c r="AL38" s="1216"/>
      <c r="AM38" s="1216"/>
      <c r="AN38" s="1216"/>
      <c r="AO38" s="1216"/>
      <c r="AP38" s="1216"/>
      <c r="AQ38" s="1216"/>
      <c r="AR38" s="1216"/>
      <c r="AS38" s="1216"/>
      <c r="AT38" s="1216"/>
      <c r="AU38" s="1216"/>
      <c r="AV38" s="1216"/>
      <c r="AW38" s="1216"/>
      <c r="AX38" s="1216"/>
      <c r="AY38" s="1216"/>
      <c r="AZ38" s="1216"/>
      <c r="BA38" s="1216"/>
    </row>
    <row r="39" spans="2:53" s="180" customFormat="1" x14ac:dyDescent="0.25">
      <c r="B39" s="147" t="s">
        <v>1506</v>
      </c>
      <c r="D39" s="124"/>
      <c r="E39" s="124"/>
      <c r="F39" s="124"/>
      <c r="G39" s="2354"/>
      <c r="H39" s="2354"/>
      <c r="I39" s="2354"/>
      <c r="J39" s="1213">
        <f>J134-J117-J99</f>
        <v>0</v>
      </c>
      <c r="K39" s="1213">
        <f t="shared" ref="K39:AA39" si="65">K134-K117-K99</f>
        <v>0</v>
      </c>
      <c r="L39" s="1213">
        <f t="shared" si="65"/>
        <v>0</v>
      </c>
      <c r="M39" s="1213">
        <f t="shared" si="65"/>
        <v>0</v>
      </c>
      <c r="N39" s="1213">
        <f t="shared" si="65"/>
        <v>0</v>
      </c>
      <c r="O39" s="1213">
        <f t="shared" si="65"/>
        <v>0</v>
      </c>
      <c r="P39" s="1214">
        <f t="shared" si="65"/>
        <v>0</v>
      </c>
      <c r="Q39" s="1215">
        <f t="shared" si="65"/>
        <v>0</v>
      </c>
      <c r="R39" s="1215">
        <f t="shared" si="65"/>
        <v>-0.55507340826830642</v>
      </c>
      <c r="S39" s="1215">
        <f t="shared" si="65"/>
        <v>-4.0692602314810262</v>
      </c>
      <c r="T39" s="1215">
        <f t="shared" si="65"/>
        <v>-5.1955460328200171</v>
      </c>
      <c r="U39" s="1215">
        <f t="shared" si="65"/>
        <v>-6.3261385833859531</v>
      </c>
      <c r="V39" s="1215">
        <f t="shared" si="65"/>
        <v>-7.2588805117890889</v>
      </c>
      <c r="W39" s="1215">
        <f t="shared" si="65"/>
        <v>-8.422720386970953</v>
      </c>
      <c r="X39" s="1215">
        <f t="shared" si="65"/>
        <v>-9.2436687245870939</v>
      </c>
      <c r="Y39" s="1215">
        <f t="shared" si="65"/>
        <v>-10.132380851795462</v>
      </c>
      <c r="Z39" s="1215">
        <f t="shared" si="65"/>
        <v>-11.095540969213813</v>
      </c>
      <c r="AA39" s="1215">
        <f t="shared" si="65"/>
        <v>-12.140522265074582</v>
      </c>
      <c r="AB39" s="1216"/>
      <c r="AC39" s="1216"/>
      <c r="AD39" s="1216"/>
      <c r="AE39" s="1216"/>
      <c r="AF39" s="1216"/>
      <c r="AG39" s="1216"/>
      <c r="AH39" s="1216"/>
      <c r="AI39" s="1216"/>
      <c r="AJ39" s="1216"/>
      <c r="AK39" s="1216"/>
      <c r="AL39" s="1216"/>
      <c r="AM39" s="1216"/>
      <c r="AN39" s="1216"/>
      <c r="AO39" s="1216"/>
      <c r="AP39" s="1216"/>
      <c r="AQ39" s="1216"/>
      <c r="AR39" s="1216"/>
      <c r="AS39" s="1216"/>
      <c r="AT39" s="1216"/>
      <c r="AU39" s="1216"/>
      <c r="AV39" s="1216"/>
      <c r="AW39" s="1216"/>
      <c r="AX39" s="1216"/>
      <c r="AY39" s="1216"/>
      <c r="AZ39" s="1216"/>
      <c r="BA39" s="1216"/>
    </row>
    <row r="40" spans="2:53" s="1232" customFormat="1" x14ac:dyDescent="0.25">
      <c r="B40" s="1231" t="s">
        <v>1507</v>
      </c>
      <c r="D40" s="1233"/>
      <c r="E40" s="1233"/>
      <c r="F40" s="1233"/>
      <c r="G40" s="1233"/>
      <c r="H40" s="1233"/>
      <c r="I40" s="1234"/>
      <c r="J40" s="1235">
        <f>J28-J32</f>
        <v>285.31210707500009</v>
      </c>
      <c r="K40" s="1235">
        <f t="shared" ref="K40:AA40" si="66">K28-K32</f>
        <v>269.54830757299999</v>
      </c>
      <c r="L40" s="1235">
        <f t="shared" si="66"/>
        <v>313.21512519700025</v>
      </c>
      <c r="M40" s="1235">
        <f t="shared" si="66"/>
        <v>453.16372787400007</v>
      </c>
      <c r="N40" s="1235">
        <f t="shared" si="66"/>
        <v>247.70301704600013</v>
      </c>
      <c r="O40" s="1235">
        <f t="shared" si="66"/>
        <v>66.220246957999962</v>
      </c>
      <c r="P40" s="1332">
        <f t="shared" si="66"/>
        <v>196.96054435300005</v>
      </c>
      <c r="Q40" s="1235">
        <f t="shared" si="66"/>
        <v>263.76660544419474</v>
      </c>
      <c r="R40" s="1235">
        <f t="shared" si="66"/>
        <v>292.51721023737366</v>
      </c>
      <c r="S40" s="1235">
        <f t="shared" si="66"/>
        <v>346.39442137989943</v>
      </c>
      <c r="T40" s="1235">
        <f t="shared" si="66"/>
        <v>351.69166830962672</v>
      </c>
      <c r="U40" s="1235">
        <f t="shared" si="66"/>
        <v>349.26825858092957</v>
      </c>
      <c r="V40" s="1235">
        <f t="shared" si="66"/>
        <v>358.08820680492636</v>
      </c>
      <c r="W40" s="1235">
        <f t="shared" si="66"/>
        <v>367.09780428350314</v>
      </c>
      <c r="X40" s="1235">
        <f t="shared" si="66"/>
        <v>384.64628985832042</v>
      </c>
      <c r="Y40" s="1235">
        <f t="shared" si="66"/>
        <v>403.44969958550951</v>
      </c>
      <c r="Z40" s="1235">
        <f t="shared" si="66"/>
        <v>423.62423212032263</v>
      </c>
      <c r="AA40" s="1235">
        <f t="shared" si="66"/>
        <v>445.29782121679432</v>
      </c>
      <c r="AB40" s="1234"/>
      <c r="AC40" s="1234"/>
      <c r="AD40" s="1234"/>
      <c r="AE40" s="1234"/>
      <c r="AF40" s="1234"/>
      <c r="AG40" s="1234"/>
      <c r="AH40" s="1234"/>
      <c r="AI40" s="1234"/>
      <c r="AJ40" s="1234"/>
      <c r="AK40" s="1234"/>
      <c r="AL40" s="1234"/>
      <c r="AM40" s="1234"/>
      <c r="AN40" s="1234"/>
      <c r="AO40" s="1234"/>
      <c r="AP40" s="1234"/>
      <c r="AQ40" s="1234"/>
      <c r="AR40" s="1234"/>
      <c r="AS40" s="1234"/>
      <c r="AT40" s="1234"/>
      <c r="AU40" s="1234"/>
      <c r="AV40" s="1234"/>
      <c r="AW40" s="1234"/>
      <c r="AX40" s="1234"/>
      <c r="AY40" s="1234"/>
      <c r="AZ40" s="1234"/>
      <c r="BA40" s="1234"/>
    </row>
    <row r="41" spans="2:53" s="1192" customFormat="1" x14ac:dyDescent="0.25">
      <c r="B41" s="1217" t="s">
        <v>1508</v>
      </c>
      <c r="C41" s="1218"/>
      <c r="D41" s="1219"/>
      <c r="E41" s="1219"/>
      <c r="F41" s="1219"/>
      <c r="G41" s="1219"/>
      <c r="H41" s="1219"/>
      <c r="I41" s="1219"/>
      <c r="J41" s="1220"/>
      <c r="K41" s="1220"/>
      <c r="L41" s="1220"/>
      <c r="M41" s="1236"/>
      <c r="N41" s="1236"/>
      <c r="O41" s="1220"/>
      <c r="P41" s="1221"/>
      <c r="Q41" s="1222"/>
      <c r="R41" s="1222"/>
      <c r="S41" s="1222"/>
      <c r="T41" s="1222"/>
      <c r="U41" s="1222"/>
      <c r="V41" s="1222"/>
      <c r="W41" s="1222"/>
      <c r="X41" s="1222"/>
      <c r="Y41" s="1222"/>
      <c r="Z41" s="1222"/>
      <c r="AA41" s="1222"/>
      <c r="AB41" s="1223"/>
      <c r="AC41" s="1223"/>
      <c r="AD41" s="1223"/>
      <c r="AE41" s="1223"/>
      <c r="AF41" s="1223"/>
      <c r="AG41" s="1223"/>
      <c r="AH41" s="1223"/>
      <c r="AI41" s="1223"/>
      <c r="AJ41" s="1223"/>
      <c r="AK41" s="1223"/>
      <c r="AL41" s="1223"/>
      <c r="AM41" s="1223"/>
      <c r="AN41" s="1223"/>
      <c r="AO41" s="1223"/>
      <c r="AP41" s="1223"/>
      <c r="AQ41" s="1223"/>
      <c r="AR41" s="1223"/>
      <c r="AS41" s="1223"/>
      <c r="AT41" s="1223"/>
      <c r="AU41" s="1223"/>
      <c r="AV41" s="1223"/>
      <c r="AW41" s="1223"/>
      <c r="AX41" s="1223"/>
      <c r="AY41" s="1223"/>
      <c r="AZ41" s="1223"/>
      <c r="BA41" s="1223"/>
    </row>
    <row r="42" spans="2:53" s="1229" customFormat="1" x14ac:dyDescent="0.25">
      <c r="B42" s="1224" t="s">
        <v>1471</v>
      </c>
      <c r="C42" s="1225"/>
      <c r="D42" s="1226" t="str">
        <f t="shared" ref="D42:G42" si="67">IFERROR(D41/D21," ")</f>
        <v xml:space="preserve"> </v>
      </c>
      <c r="E42" s="1226" t="str">
        <f t="shared" si="67"/>
        <v xml:space="preserve"> </v>
      </c>
      <c r="F42" s="1226" t="str">
        <f t="shared" si="67"/>
        <v xml:space="preserve"> </v>
      </c>
      <c r="G42" s="1226" t="str">
        <f t="shared" si="67"/>
        <v xml:space="preserve"> </v>
      </c>
      <c r="H42" s="1226"/>
      <c r="I42" s="1226"/>
      <c r="J42" s="1226">
        <f>J32/J12</f>
        <v>0.39815324431705518</v>
      </c>
      <c r="K42" s="1226">
        <f t="shared" ref="K42:AA42" si="68">K32/K12</f>
        <v>0.43768743326144238</v>
      </c>
      <c r="L42" s="1226">
        <f t="shared" si="68"/>
        <v>0.42092513590319103</v>
      </c>
      <c r="M42" s="1226">
        <f t="shared" si="68"/>
        <v>0.37096611745308739</v>
      </c>
      <c r="N42" s="1226">
        <f t="shared" si="68"/>
        <v>0.47492770088874331</v>
      </c>
      <c r="O42" s="1226">
        <f t="shared" si="68"/>
        <v>0.55657864410661739</v>
      </c>
      <c r="P42" s="1227">
        <f t="shared" si="68"/>
        <v>0.47415855895718773</v>
      </c>
      <c r="Q42" s="1228">
        <f t="shared" si="68"/>
        <v>0.44718008405998527</v>
      </c>
      <c r="R42" s="1228">
        <f t="shared" si="68"/>
        <v>0.44434106770849979</v>
      </c>
      <c r="S42" s="1228">
        <f t="shared" si="68"/>
        <v>0.43069468388518006</v>
      </c>
      <c r="T42" s="1228">
        <f t="shared" si="68"/>
        <v>0.4274468756437777</v>
      </c>
      <c r="U42" s="1228">
        <f t="shared" si="68"/>
        <v>0.42457071149153819</v>
      </c>
      <c r="V42" s="1228">
        <f t="shared" si="68"/>
        <v>0.4224415593672996</v>
      </c>
      <c r="W42" s="1228">
        <f t="shared" si="68"/>
        <v>0.42004694082811667</v>
      </c>
      <c r="X42" s="1228">
        <f t="shared" si="68"/>
        <v>0.41850969246767245</v>
      </c>
      <c r="Y42" s="1228">
        <f t="shared" si="68"/>
        <v>0.41696944688137644</v>
      </c>
      <c r="Z42" s="1228">
        <f t="shared" si="68"/>
        <v>0.41542936731884361</v>
      </c>
      <c r="AA42" s="1228">
        <f t="shared" si="68"/>
        <v>0.41389282149731316</v>
      </c>
      <c r="AB42" s="1228"/>
      <c r="AC42" s="1228"/>
      <c r="AD42" s="1228"/>
      <c r="AE42" s="1228"/>
      <c r="AF42" s="1228"/>
      <c r="AG42" s="1228"/>
      <c r="AH42" s="1228"/>
      <c r="AI42" s="1228"/>
      <c r="AJ42" s="1228"/>
      <c r="AK42" s="1228"/>
      <c r="AL42" s="1228"/>
      <c r="AM42" s="1228"/>
      <c r="AN42" s="1228"/>
      <c r="AO42" s="1228"/>
      <c r="AP42" s="1228"/>
      <c r="AQ42" s="1228"/>
      <c r="AR42" s="1228"/>
      <c r="AS42" s="1228"/>
      <c r="AT42" s="1228"/>
      <c r="AU42" s="1228"/>
      <c r="AV42" s="1228"/>
      <c r="AW42" s="1228"/>
      <c r="AX42" s="1228"/>
      <c r="AY42" s="1228"/>
      <c r="AZ42" s="1228"/>
      <c r="BA42" s="1228"/>
    </row>
    <row r="43" spans="2:53" x14ac:dyDescent="0.25">
      <c r="I43" s="1237"/>
      <c r="J43" s="1237"/>
      <c r="K43" s="1237"/>
      <c r="L43" s="1237"/>
      <c r="M43" s="1237"/>
      <c r="P43" s="1238"/>
      <c r="Q43" s="1354"/>
      <c r="R43" s="1354"/>
      <c r="S43" s="1354"/>
      <c r="T43" s="1354"/>
      <c r="U43" s="1354"/>
      <c r="V43" s="1354"/>
      <c r="W43" s="1354"/>
      <c r="X43" s="1354"/>
      <c r="Y43" s="1354"/>
      <c r="Z43" s="1354"/>
      <c r="AA43" s="1354"/>
      <c r="AB43" s="781"/>
      <c r="AC43" s="781"/>
      <c r="AD43" s="781"/>
      <c r="AE43" s="781"/>
      <c r="AF43" s="781"/>
      <c r="AG43" s="781"/>
      <c r="AH43" s="781"/>
      <c r="AI43" s="781"/>
      <c r="AJ43" s="781"/>
      <c r="AK43" s="781"/>
      <c r="AL43" s="781"/>
      <c r="AM43" s="781"/>
      <c r="AN43" s="781"/>
      <c r="AO43" s="781"/>
      <c r="AP43" s="781"/>
      <c r="AQ43" s="781"/>
      <c r="AR43" s="781"/>
      <c r="AS43" s="781"/>
      <c r="AT43" s="781"/>
      <c r="AU43" s="781"/>
      <c r="AV43" s="781"/>
      <c r="AW43" s="781"/>
      <c r="AX43" s="781"/>
      <c r="AY43" s="781"/>
      <c r="AZ43" s="781"/>
      <c r="BA43" s="781"/>
    </row>
    <row r="44" spans="2:53" s="29" customFormat="1" x14ac:dyDescent="0.25">
      <c r="B44" s="1239" t="s">
        <v>1509</v>
      </c>
      <c r="D44" s="117"/>
      <c r="E44" s="117"/>
      <c r="F44" s="117"/>
      <c r="G44" s="117"/>
      <c r="H44" s="117"/>
      <c r="I44" s="432"/>
      <c r="J44" s="1240">
        <f>SUM(J46:J51)</f>
        <v>0.39815324431705523</v>
      </c>
      <c r="K44" s="1240">
        <f t="shared" ref="K44:AA44" si="69">SUM(K46:K51)</f>
        <v>0.43768743326144233</v>
      </c>
      <c r="L44" s="1240">
        <f t="shared" si="69"/>
        <v>0.42092513590319114</v>
      </c>
      <c r="M44" s="1240">
        <f t="shared" si="69"/>
        <v>0.37096611745308739</v>
      </c>
      <c r="N44" s="1240">
        <f t="shared" si="69"/>
        <v>0.47492770088874331</v>
      </c>
      <c r="O44" s="1240">
        <f t="shared" si="69"/>
        <v>0.55657864410661717</v>
      </c>
      <c r="P44" s="1241">
        <f t="shared" si="69"/>
        <v>0.47415855895718773</v>
      </c>
      <c r="Q44" s="1242">
        <f t="shared" si="69"/>
        <v>0.44718008405998516</v>
      </c>
      <c r="R44" s="1242">
        <f t="shared" si="69"/>
        <v>0.44434106770849968</v>
      </c>
      <c r="S44" s="1242">
        <f t="shared" si="69"/>
        <v>0.43069468388518012</v>
      </c>
      <c r="T44" s="1242">
        <f t="shared" si="69"/>
        <v>0.4274468756437777</v>
      </c>
      <c r="U44" s="1242">
        <f t="shared" si="69"/>
        <v>0.42457071149153819</v>
      </c>
      <c r="V44" s="1242">
        <f t="shared" si="69"/>
        <v>0.42244155936729966</v>
      </c>
      <c r="W44" s="1242">
        <f t="shared" si="69"/>
        <v>0.42004694082811661</v>
      </c>
      <c r="X44" s="1242">
        <f t="shared" si="69"/>
        <v>0.41850969246767239</v>
      </c>
      <c r="Y44" s="1242">
        <f t="shared" si="69"/>
        <v>0.41696944688137644</v>
      </c>
      <c r="Z44" s="1242">
        <f t="shared" si="69"/>
        <v>0.41542936731884356</v>
      </c>
      <c r="AA44" s="1242">
        <f t="shared" si="69"/>
        <v>0.41389282149731316</v>
      </c>
      <c r="AB44" s="1243"/>
      <c r="AC44" s="1243"/>
      <c r="AD44" s="1243"/>
      <c r="AE44" s="1243"/>
      <c r="AF44" s="1243"/>
      <c r="AG44" s="1243"/>
      <c r="AH44" s="1243"/>
      <c r="AI44" s="1243"/>
      <c r="AJ44" s="1243"/>
      <c r="AK44" s="1243"/>
      <c r="AL44" s="1243"/>
      <c r="AM44" s="1243"/>
      <c r="AN44" s="1243"/>
      <c r="AO44" s="1243"/>
      <c r="AP44" s="1243"/>
      <c r="AQ44" s="1243"/>
      <c r="AR44" s="1243"/>
      <c r="AS44" s="1243"/>
      <c r="AT44" s="1243"/>
      <c r="AU44" s="1243"/>
      <c r="AV44" s="1243"/>
      <c r="AW44" s="1243"/>
      <c r="AX44" s="1243"/>
      <c r="AY44" s="1243"/>
      <c r="AZ44" s="1243"/>
      <c r="BA44" s="1243"/>
    </row>
    <row r="45" spans="2:53" s="270" customFormat="1" x14ac:dyDescent="0.25">
      <c r="B45" s="1207" t="s">
        <v>1471</v>
      </c>
      <c r="C45" s="289"/>
      <c r="D45" s="1208"/>
      <c r="E45" s="1208"/>
      <c r="F45" s="1208"/>
      <c r="G45" s="1208"/>
      <c r="H45" s="1208"/>
      <c r="I45" s="1208"/>
      <c r="J45" s="1208"/>
      <c r="K45" s="1208"/>
      <c r="L45" s="1208"/>
      <c r="M45" s="1208"/>
      <c r="N45" s="1208"/>
      <c r="O45" s="1208"/>
      <c r="P45" s="1209"/>
      <c r="Q45" s="1210"/>
      <c r="R45" s="1210"/>
      <c r="S45" s="1210"/>
      <c r="T45" s="1210"/>
      <c r="U45" s="1210"/>
      <c r="V45" s="1210"/>
      <c r="W45" s="1210"/>
      <c r="X45" s="1210"/>
      <c r="Y45" s="1210"/>
      <c r="Z45" s="1210"/>
      <c r="AA45" s="1210"/>
      <c r="AB45" s="1210"/>
      <c r="AC45" s="1210"/>
      <c r="AD45" s="1210"/>
      <c r="AE45" s="1210"/>
      <c r="AF45" s="1210"/>
      <c r="AG45" s="1210"/>
      <c r="AH45" s="1210"/>
      <c r="AI45" s="1210"/>
      <c r="AJ45" s="1210"/>
      <c r="AK45" s="1210"/>
      <c r="AL45" s="1210"/>
      <c r="AM45" s="1210"/>
      <c r="AN45" s="1210"/>
      <c r="AO45" s="1210"/>
      <c r="AP45" s="1210"/>
      <c r="AQ45" s="1210"/>
      <c r="AR45" s="1210"/>
      <c r="AS45" s="1210"/>
      <c r="AT45" s="1210"/>
      <c r="AU45" s="1210"/>
      <c r="AV45" s="1210"/>
      <c r="AW45" s="1210"/>
      <c r="AX45" s="1210"/>
      <c r="AY45" s="1210"/>
      <c r="AZ45" s="1210"/>
      <c r="BA45" s="1210"/>
    </row>
    <row r="46" spans="2:53" s="180" customFormat="1" x14ac:dyDescent="0.25">
      <c r="B46" s="147" t="s">
        <v>363</v>
      </c>
      <c r="D46" s="1211"/>
      <c r="E46" s="1211"/>
      <c r="F46" s="1211"/>
      <c r="G46" s="118"/>
      <c r="H46" s="118"/>
      <c r="I46" s="180" t="str">
        <f>IFERROR(I34/I$12,"")</f>
        <v/>
      </c>
      <c r="J46" s="196">
        <f>J34/J12</f>
        <v>0.24752183958137497</v>
      </c>
      <c r="K46" s="196">
        <f t="shared" ref="K46:AA46" si="70">K34/K12</f>
        <v>0.27464321526217428</v>
      </c>
      <c r="L46" s="196">
        <f t="shared" si="70"/>
        <v>0.28390509009277642</v>
      </c>
      <c r="M46" s="196">
        <f t="shared" si="70"/>
        <v>0.25222886567993763</v>
      </c>
      <c r="N46" s="196">
        <f t="shared" si="70"/>
        <v>0.34247980288648666</v>
      </c>
      <c r="O46" s="196">
        <f t="shared" si="70"/>
        <v>0.39080838703138976</v>
      </c>
      <c r="P46" s="1196">
        <f t="shared" si="70"/>
        <v>0.31275629425439011</v>
      </c>
      <c r="Q46" s="206">
        <f t="shared" si="70"/>
        <v>0.30062049925550427</v>
      </c>
      <c r="R46" s="206">
        <f t="shared" si="70"/>
        <v>0.30062049925550427</v>
      </c>
      <c r="S46" s="206">
        <f t="shared" si="70"/>
        <v>0.30062049925550427</v>
      </c>
      <c r="T46" s="206">
        <f t="shared" si="70"/>
        <v>0.30062049925550427</v>
      </c>
      <c r="U46" s="206">
        <f t="shared" si="70"/>
        <v>0.30062049925550427</v>
      </c>
      <c r="V46" s="206">
        <f t="shared" si="70"/>
        <v>0.30062049925550427</v>
      </c>
      <c r="W46" s="206">
        <f t="shared" si="70"/>
        <v>0.30062049925550427</v>
      </c>
      <c r="X46" s="206">
        <f t="shared" si="70"/>
        <v>0.30062049925550427</v>
      </c>
      <c r="Y46" s="206">
        <f t="shared" si="70"/>
        <v>0.30062049925550427</v>
      </c>
      <c r="Z46" s="206">
        <f t="shared" si="70"/>
        <v>0.30062049925550427</v>
      </c>
      <c r="AA46" s="206">
        <f t="shared" si="70"/>
        <v>0.30062049925550427</v>
      </c>
      <c r="AB46" s="210"/>
      <c r="AC46" s="210"/>
      <c r="AD46" s="210"/>
      <c r="AE46" s="210"/>
      <c r="AF46" s="210"/>
      <c r="AG46" s="210"/>
      <c r="AH46" s="210"/>
      <c r="AI46" s="210"/>
      <c r="AJ46" s="210"/>
      <c r="AK46" s="210"/>
      <c r="AL46" s="210"/>
      <c r="AM46" s="210"/>
      <c r="AN46" s="210"/>
      <c r="AO46" s="210"/>
      <c r="AP46" s="210"/>
      <c r="AQ46" s="210"/>
      <c r="AR46" s="210"/>
      <c r="AS46" s="210"/>
      <c r="AT46" s="210"/>
      <c r="AU46" s="210"/>
      <c r="AV46" s="210"/>
      <c r="AW46" s="210"/>
      <c r="AX46" s="210"/>
      <c r="AY46" s="210"/>
      <c r="AZ46" s="210"/>
      <c r="BA46" s="210"/>
    </row>
    <row r="47" spans="2:53" s="180" customFormat="1" x14ac:dyDescent="0.25">
      <c r="B47" s="147" t="s">
        <v>364</v>
      </c>
      <c r="D47" s="1212"/>
      <c r="E47" s="1212"/>
      <c r="F47" s="1212"/>
      <c r="G47" s="118"/>
      <c r="H47" s="118"/>
      <c r="I47" s="180" t="str">
        <f t="shared" ref="I47:I52" si="71">IFERROR(I35/I$12,"")</f>
        <v/>
      </c>
      <c r="J47" s="259">
        <f>J35/J12</f>
        <v>9.2985690649628819E-2</v>
      </c>
      <c r="K47" s="259">
        <f t="shared" ref="K47:AA47" si="72">K35/K12</f>
        <v>0.1174772306170527</v>
      </c>
      <c r="L47" s="259">
        <f t="shared" si="72"/>
        <v>8.7780344255439763E-2</v>
      </c>
      <c r="M47" s="259">
        <f t="shared" si="72"/>
        <v>7.9361305043959204E-2</v>
      </c>
      <c r="N47" s="259">
        <f t="shared" si="72"/>
        <v>9.5639634447871213E-2</v>
      </c>
      <c r="O47" s="259">
        <f t="shared" si="72"/>
        <v>0.12615001765607914</v>
      </c>
      <c r="P47" s="1244">
        <f t="shared" si="72"/>
        <v>0.12660855745671498</v>
      </c>
      <c r="Q47" s="209">
        <f t="shared" si="72"/>
        <v>0.10371468287524939</v>
      </c>
      <c r="R47" s="209">
        <f t="shared" si="72"/>
        <v>0.1037146828752494</v>
      </c>
      <c r="S47" s="209">
        <f t="shared" si="72"/>
        <v>0.1037146828752494</v>
      </c>
      <c r="T47" s="209">
        <f t="shared" si="72"/>
        <v>0.1037146828752494</v>
      </c>
      <c r="U47" s="209">
        <f t="shared" si="72"/>
        <v>0.10371468287524942</v>
      </c>
      <c r="V47" s="209">
        <f t="shared" si="72"/>
        <v>0.1037146828752494</v>
      </c>
      <c r="W47" s="209">
        <f t="shared" si="72"/>
        <v>0.10371468287524942</v>
      </c>
      <c r="X47" s="209">
        <f t="shared" si="72"/>
        <v>0.1037146828752494</v>
      </c>
      <c r="Y47" s="209">
        <f t="shared" si="72"/>
        <v>0.10371468287524939</v>
      </c>
      <c r="Z47" s="209">
        <f t="shared" si="72"/>
        <v>0.10371468287524942</v>
      </c>
      <c r="AA47" s="209">
        <f t="shared" si="72"/>
        <v>0.10371468287524942</v>
      </c>
      <c r="AB47" s="210"/>
      <c r="AC47" s="210"/>
      <c r="AD47" s="210"/>
      <c r="AE47" s="210"/>
      <c r="AF47" s="210"/>
      <c r="AG47" s="210"/>
      <c r="AH47" s="210"/>
      <c r="AI47" s="210"/>
      <c r="AJ47" s="210"/>
      <c r="AK47" s="210"/>
      <c r="AL47" s="210"/>
      <c r="AM47" s="210"/>
      <c r="AN47" s="210"/>
      <c r="AO47" s="210"/>
      <c r="AP47" s="210"/>
      <c r="AQ47" s="210"/>
      <c r="AR47" s="210"/>
      <c r="AS47" s="210"/>
      <c r="AT47" s="210"/>
      <c r="AU47" s="210"/>
      <c r="AV47" s="210"/>
      <c r="AW47" s="210"/>
      <c r="AX47" s="210"/>
      <c r="AY47" s="210"/>
      <c r="AZ47" s="210"/>
      <c r="BA47" s="210"/>
    </row>
    <row r="48" spans="2:53" s="180" customFormat="1" x14ac:dyDescent="0.25">
      <c r="B48" s="147" t="s">
        <v>365</v>
      </c>
      <c r="D48" s="1212"/>
      <c r="E48" s="1212"/>
      <c r="F48" s="1212"/>
      <c r="G48" s="1212"/>
      <c r="H48" s="1212"/>
      <c r="I48" s="180" t="str">
        <f t="shared" si="71"/>
        <v/>
      </c>
      <c r="J48" s="259">
        <f>J36/J12</f>
        <v>2.4476217321013904E-2</v>
      </c>
      <c r="K48" s="259">
        <f t="shared" ref="K48:AA48" si="73">K36/K12</f>
        <v>1.4337088924157384E-2</v>
      </c>
      <c r="L48" s="259">
        <f t="shared" si="73"/>
        <v>1.4477815270079786E-2</v>
      </c>
      <c r="M48" s="259">
        <f t="shared" si="73"/>
        <v>1.3580830900861545E-2</v>
      </c>
      <c r="N48" s="259">
        <f t="shared" si="73"/>
        <v>8.929042531453624E-3</v>
      </c>
      <c r="O48" s="259">
        <f t="shared" si="73"/>
        <v>1.2873952087091009E-2</v>
      </c>
      <c r="P48" s="1244">
        <f t="shared" si="73"/>
        <v>1.3359914366833618E-2</v>
      </c>
      <c r="Q48" s="209">
        <f t="shared" si="73"/>
        <v>1.4128373562008989E-2</v>
      </c>
      <c r="R48" s="209">
        <f t="shared" si="73"/>
        <v>1.4128373562008989E-2</v>
      </c>
      <c r="S48" s="209">
        <f t="shared" si="73"/>
        <v>1.4128373562008991E-2</v>
      </c>
      <c r="T48" s="209">
        <f t="shared" si="73"/>
        <v>1.4128373562008991E-2</v>
      </c>
      <c r="U48" s="209">
        <f t="shared" si="73"/>
        <v>1.4128373562008989E-2</v>
      </c>
      <c r="V48" s="209">
        <f t="shared" si="73"/>
        <v>1.4128373562008991E-2</v>
      </c>
      <c r="W48" s="209">
        <f t="shared" si="73"/>
        <v>1.4128373562008989E-2</v>
      </c>
      <c r="X48" s="209">
        <f t="shared" si="73"/>
        <v>1.4128373562008989E-2</v>
      </c>
      <c r="Y48" s="209">
        <f t="shared" si="73"/>
        <v>1.4128373562008988E-2</v>
      </c>
      <c r="Z48" s="209">
        <f t="shared" si="73"/>
        <v>1.4128373562008989E-2</v>
      </c>
      <c r="AA48" s="209">
        <f t="shared" si="73"/>
        <v>1.4128373562008989E-2</v>
      </c>
      <c r="AB48" s="210"/>
      <c r="AC48" s="210"/>
      <c r="AD48" s="210"/>
      <c r="AE48" s="210"/>
      <c r="AF48" s="210"/>
      <c r="AG48" s="210"/>
      <c r="AH48" s="210"/>
      <c r="AI48" s="210"/>
      <c r="AJ48" s="210"/>
      <c r="AK48" s="210"/>
      <c r="AL48" s="210"/>
      <c r="AM48" s="210"/>
      <c r="AN48" s="210"/>
      <c r="AO48" s="210"/>
      <c r="AP48" s="210"/>
      <c r="AQ48" s="210"/>
      <c r="AR48" s="210"/>
      <c r="AS48" s="210"/>
      <c r="AT48" s="210"/>
      <c r="AU48" s="210"/>
      <c r="AV48" s="210"/>
      <c r="AW48" s="210"/>
      <c r="AX48" s="210"/>
      <c r="AY48" s="210"/>
      <c r="AZ48" s="210"/>
      <c r="BA48" s="210"/>
    </row>
    <row r="49" spans="2:53" s="180" customFormat="1" x14ac:dyDescent="0.25">
      <c r="B49" s="147" t="s">
        <v>366</v>
      </c>
      <c r="D49" s="1212"/>
      <c r="E49" s="1212"/>
      <c r="F49" s="1212"/>
      <c r="G49" s="1212"/>
      <c r="H49" s="1212"/>
      <c r="I49" s="180" t="str">
        <f t="shared" si="71"/>
        <v/>
      </c>
      <c r="J49" s="259">
        <f>J37/J12</f>
        <v>2.879374471422045E-2</v>
      </c>
      <c r="K49" s="259">
        <f t="shared" ref="K49:AA49" si="74">K37/K12</f>
        <v>2.7351917448818014E-2</v>
      </c>
      <c r="L49" s="259">
        <f t="shared" si="74"/>
        <v>3.1825283830802985E-2</v>
      </c>
      <c r="M49" s="259">
        <f t="shared" si="74"/>
        <v>2.4311545898892027E-2</v>
      </c>
      <c r="N49" s="259">
        <f t="shared" si="74"/>
        <v>2.3969210221089859E-2</v>
      </c>
      <c r="O49" s="259">
        <f t="shared" si="74"/>
        <v>2.4327169791217445E-2</v>
      </c>
      <c r="P49" s="1244">
        <f t="shared" si="74"/>
        <v>2.0396303065156659E-2</v>
      </c>
      <c r="Q49" s="209">
        <f t="shared" si="74"/>
        <v>2.585359642431392E-2</v>
      </c>
      <c r="R49" s="209">
        <f t="shared" si="74"/>
        <v>2.585359642431392E-2</v>
      </c>
      <c r="S49" s="209">
        <f t="shared" si="74"/>
        <v>2.5853596424313934E-2</v>
      </c>
      <c r="T49" s="209">
        <f t="shared" si="74"/>
        <v>2.585359642431392E-2</v>
      </c>
      <c r="U49" s="209">
        <f t="shared" si="74"/>
        <v>2.585359642431392E-2</v>
      </c>
      <c r="V49" s="209">
        <f t="shared" si="74"/>
        <v>2.5853596424313927E-2</v>
      </c>
      <c r="W49" s="209">
        <f t="shared" si="74"/>
        <v>2.5853596424313931E-2</v>
      </c>
      <c r="X49" s="209">
        <f t="shared" si="74"/>
        <v>2.5853596424313927E-2</v>
      </c>
      <c r="Y49" s="209">
        <f t="shared" si="74"/>
        <v>2.5853596424313924E-2</v>
      </c>
      <c r="Z49" s="209">
        <f t="shared" si="74"/>
        <v>2.5853596424313927E-2</v>
      </c>
      <c r="AA49" s="209">
        <f t="shared" si="74"/>
        <v>2.5853596424313924E-2</v>
      </c>
      <c r="AB49" s="210"/>
      <c r="AC49" s="210"/>
      <c r="AD49" s="210"/>
      <c r="AE49" s="210"/>
      <c r="AF49" s="210"/>
      <c r="AG49" s="210"/>
      <c r="AH49" s="210"/>
      <c r="AI49" s="210"/>
      <c r="AJ49" s="210"/>
      <c r="AK49" s="210"/>
      <c r="AL49" s="210"/>
      <c r="AM49" s="210"/>
      <c r="AN49" s="210"/>
      <c r="AO49" s="210"/>
      <c r="AP49" s="210"/>
      <c r="AQ49" s="210"/>
      <c r="AR49" s="210"/>
      <c r="AS49" s="210"/>
      <c r="AT49" s="210"/>
      <c r="AU49" s="210"/>
      <c r="AV49" s="210"/>
      <c r="AW49" s="210"/>
      <c r="AX49" s="210"/>
      <c r="AY49" s="210"/>
      <c r="AZ49" s="210"/>
      <c r="BA49" s="210"/>
    </row>
    <row r="50" spans="2:53" s="180" customFormat="1" x14ac:dyDescent="0.25">
      <c r="B50" s="147" t="s">
        <v>367</v>
      </c>
      <c r="D50" s="124"/>
      <c r="E50" s="124"/>
      <c r="F50" s="124"/>
      <c r="G50" s="124"/>
      <c r="H50" s="124"/>
      <c r="I50" s="180" t="str">
        <f t="shared" si="71"/>
        <v/>
      </c>
      <c r="J50" s="259">
        <f>J38/J12</f>
        <v>4.3757520508170564E-3</v>
      </c>
      <c r="K50" s="259">
        <f t="shared" ref="K50:AA50" si="75">K38/K12</f>
        <v>3.8779810092399915E-3</v>
      </c>
      <c r="L50" s="259">
        <f t="shared" si="75"/>
        <v>2.936602454092184E-3</v>
      </c>
      <c r="M50" s="259">
        <f t="shared" si="75"/>
        <v>1.483569929436988E-3</v>
      </c>
      <c r="N50" s="259">
        <f t="shared" si="75"/>
        <v>3.9100108018420175E-3</v>
      </c>
      <c r="O50" s="259">
        <f t="shared" si="75"/>
        <v>2.4191175408399138E-3</v>
      </c>
      <c r="P50" s="1244">
        <f t="shared" si="75"/>
        <v>1.0374898140924158E-3</v>
      </c>
      <c r="Q50" s="209">
        <f t="shared" si="75"/>
        <v>2.8629319429086444E-3</v>
      </c>
      <c r="R50" s="209">
        <f t="shared" si="75"/>
        <v>3.416335525676347E-4</v>
      </c>
      <c r="S50" s="209">
        <f t="shared" si="75"/>
        <v>-1.177756595458156E-2</v>
      </c>
      <c r="T50" s="209">
        <f t="shared" si="75"/>
        <v>-1.4661907810132829E-2</v>
      </c>
      <c r="U50" s="209">
        <f t="shared" si="75"/>
        <v>-1.7216196743200678E-2</v>
      </c>
      <c r="V50" s="209">
        <f t="shared" si="75"/>
        <v>-1.9107072722419658E-2</v>
      </c>
      <c r="W50" s="209">
        <f t="shared" si="75"/>
        <v>-2.1233706429606231E-2</v>
      </c>
      <c r="X50" s="209">
        <f t="shared" si="75"/>
        <v>-2.2598919354397812E-2</v>
      </c>
      <c r="Y50" s="209">
        <f t="shared" si="75"/>
        <v>-2.3966794081651706E-2</v>
      </c>
      <c r="Z50" s="209">
        <f t="shared" si="75"/>
        <v>-2.5334521365074945E-2</v>
      </c>
      <c r="AA50" s="209">
        <f t="shared" si="75"/>
        <v>-2.6699110372983427E-2</v>
      </c>
      <c r="AB50" s="210"/>
      <c r="AC50" s="210"/>
      <c r="AD50" s="210"/>
      <c r="AE50" s="210"/>
      <c r="AF50" s="210"/>
      <c r="AG50" s="210"/>
      <c r="AH50" s="210"/>
      <c r="AI50" s="210"/>
      <c r="AJ50" s="210"/>
      <c r="AK50" s="210"/>
      <c r="AL50" s="210"/>
      <c r="AM50" s="210"/>
      <c r="AN50" s="210"/>
      <c r="AO50" s="210"/>
      <c r="AP50" s="210"/>
      <c r="AQ50" s="210"/>
      <c r="AR50" s="210"/>
      <c r="AS50" s="210"/>
      <c r="AT50" s="210"/>
      <c r="AU50" s="210"/>
      <c r="AV50" s="210"/>
      <c r="AW50" s="210"/>
      <c r="AX50" s="210"/>
      <c r="AY50" s="210"/>
      <c r="AZ50" s="210"/>
      <c r="BA50" s="210"/>
    </row>
    <row r="51" spans="2:53" s="180" customFormat="1" x14ac:dyDescent="0.25">
      <c r="B51" s="147" t="s">
        <v>1506</v>
      </c>
      <c r="D51" s="124"/>
      <c r="E51" s="124"/>
      <c r="F51" s="124"/>
      <c r="G51" s="124"/>
      <c r="H51" s="124"/>
      <c r="I51" s="180" t="str">
        <f t="shared" si="71"/>
        <v/>
      </c>
      <c r="J51" s="259">
        <f>J39/J12</f>
        <v>0</v>
      </c>
      <c r="K51" s="259">
        <f t="shared" ref="K51:AA51" si="76">K39/K12</f>
        <v>0</v>
      </c>
      <c r="L51" s="259">
        <f t="shared" si="76"/>
        <v>0</v>
      </c>
      <c r="M51" s="259">
        <f t="shared" si="76"/>
        <v>0</v>
      </c>
      <c r="N51" s="259">
        <f t="shared" si="76"/>
        <v>0</v>
      </c>
      <c r="O51" s="259">
        <f t="shared" si="76"/>
        <v>0</v>
      </c>
      <c r="P51" s="1244">
        <f t="shared" si="76"/>
        <v>0</v>
      </c>
      <c r="Q51" s="209">
        <f t="shared" si="76"/>
        <v>0</v>
      </c>
      <c r="R51" s="209">
        <f t="shared" si="76"/>
        <v>-3.177179611444774E-4</v>
      </c>
      <c r="S51" s="209">
        <f t="shared" si="76"/>
        <v>-1.8449022773149289E-3</v>
      </c>
      <c r="T51" s="209">
        <f t="shared" si="76"/>
        <v>-2.2083686631660221E-3</v>
      </c>
      <c r="U51" s="209">
        <f t="shared" si="76"/>
        <v>-2.5302438823377018E-3</v>
      </c>
      <c r="V51" s="209">
        <f t="shared" si="76"/>
        <v>-2.7685200273572788E-3</v>
      </c>
      <c r="W51" s="209">
        <f t="shared" si="76"/>
        <v>-3.0365048593537238E-3</v>
      </c>
      <c r="X51" s="209">
        <f t="shared" si="76"/>
        <v>-3.2085402950064647E-3</v>
      </c>
      <c r="Y51" s="209">
        <f t="shared" si="76"/>
        <v>-3.3809111540484137E-3</v>
      </c>
      <c r="Z51" s="209">
        <f t="shared" si="76"/>
        <v>-3.5532634331581197E-3</v>
      </c>
      <c r="AA51" s="209">
        <f t="shared" si="76"/>
        <v>-3.7252202467799342E-3</v>
      </c>
      <c r="AB51" s="210"/>
      <c r="AC51" s="210"/>
      <c r="AD51" s="210"/>
      <c r="AE51" s="210"/>
      <c r="AF51" s="210"/>
      <c r="AG51" s="210"/>
      <c r="AH51" s="210"/>
      <c r="AI51" s="210"/>
      <c r="AJ51" s="210"/>
      <c r="AK51" s="210"/>
      <c r="AL51" s="210"/>
      <c r="AM51" s="210"/>
      <c r="AN51" s="210"/>
      <c r="AO51" s="210"/>
      <c r="AP51" s="210"/>
      <c r="AQ51" s="210"/>
      <c r="AR51" s="210"/>
      <c r="AS51" s="210"/>
      <c r="AT51" s="210"/>
      <c r="AU51" s="210"/>
      <c r="AV51" s="210"/>
      <c r="AW51" s="210"/>
      <c r="AX51" s="210"/>
      <c r="AY51" s="210"/>
      <c r="AZ51" s="210"/>
      <c r="BA51" s="210"/>
    </row>
    <row r="52" spans="2:53" s="180" customFormat="1" x14ac:dyDescent="0.25">
      <c r="B52" s="488" t="s">
        <v>1507</v>
      </c>
      <c r="D52" s="124"/>
      <c r="E52" s="124"/>
      <c r="F52" s="124"/>
      <c r="G52" s="124"/>
      <c r="H52" s="124"/>
      <c r="I52" s="180" t="str">
        <f t="shared" si="71"/>
        <v/>
      </c>
      <c r="J52" s="1245">
        <f>J40/J12</f>
        <v>0.23289490744472344</v>
      </c>
      <c r="K52" s="1245">
        <f t="shared" ref="K52:AA52" si="77">K40/K12</f>
        <v>0.19463351181343527</v>
      </c>
      <c r="L52" s="1245">
        <f t="shared" si="77"/>
        <v>0.22562234800755024</v>
      </c>
      <c r="M52" s="1245">
        <f t="shared" si="77"/>
        <v>0.32345172215612972</v>
      </c>
      <c r="N52" s="1245">
        <f t="shared" si="77"/>
        <v>0.19632029764573444</v>
      </c>
      <c r="O52" s="1245">
        <f t="shared" si="77"/>
        <v>5.2683179138052635E-2</v>
      </c>
      <c r="P52" s="1246">
        <f t="shared" si="77"/>
        <v>0.12637792539087864</v>
      </c>
      <c r="Q52" s="1245">
        <f t="shared" si="77"/>
        <v>0.15750793887678693</v>
      </c>
      <c r="R52" s="1245">
        <f t="shared" si="77"/>
        <v>0.16743365877719235</v>
      </c>
      <c r="S52" s="1245">
        <f t="shared" si="77"/>
        <v>0.15704669165883581</v>
      </c>
      <c r="T52" s="1245">
        <f t="shared" si="77"/>
        <v>0.14948666694230087</v>
      </c>
      <c r="U52" s="1245">
        <f t="shared" si="77"/>
        <v>0.13969562362893048</v>
      </c>
      <c r="V52" s="1245">
        <f t="shared" si="77"/>
        <v>0.13657400345546541</v>
      </c>
      <c r="W52" s="1245">
        <f t="shared" si="77"/>
        <v>0.13234373401368663</v>
      </c>
      <c r="X52" s="1245">
        <f t="shared" si="77"/>
        <v>0.13351334379308211</v>
      </c>
      <c r="Y52" s="1245">
        <f t="shared" si="77"/>
        <v>0.13462063945064051</v>
      </c>
      <c r="Z52" s="1245">
        <f t="shared" si="77"/>
        <v>0.13566246995701786</v>
      </c>
      <c r="AA52" s="1245">
        <f t="shared" si="77"/>
        <v>0.13663600487895508</v>
      </c>
      <c r="AB52" s="210"/>
      <c r="AC52" s="210"/>
      <c r="AD52" s="210"/>
      <c r="AE52" s="210"/>
      <c r="AF52" s="210"/>
      <c r="AG52" s="210"/>
      <c r="AH52" s="210"/>
      <c r="AI52" s="210"/>
      <c r="AJ52" s="210"/>
      <c r="AK52" s="210"/>
      <c r="AL52" s="210"/>
      <c r="AM52" s="210"/>
      <c r="AN52" s="210"/>
      <c r="AO52" s="210"/>
      <c r="AP52" s="210"/>
      <c r="AQ52" s="210"/>
      <c r="AR52" s="210"/>
      <c r="AS52" s="210"/>
      <c r="AT52" s="210"/>
      <c r="AU52" s="210"/>
      <c r="AV52" s="210"/>
      <c r="AW52" s="210"/>
      <c r="AX52" s="210"/>
      <c r="AY52" s="210"/>
      <c r="AZ52" s="210"/>
      <c r="BA52" s="210"/>
    </row>
    <row r="53" spans="2:53" s="1192" customFormat="1" x14ac:dyDescent="0.25">
      <c r="B53" s="1247" t="s">
        <v>1510</v>
      </c>
      <c r="C53" s="1248"/>
      <c r="D53" s="1219"/>
      <c r="E53" s="1219"/>
      <c r="F53" s="1219"/>
      <c r="G53" s="1219"/>
      <c r="H53" s="1219"/>
      <c r="I53" s="1249"/>
      <c r="J53" s="1249"/>
      <c r="K53" s="1249"/>
      <c r="L53" s="1250"/>
      <c r="M53" s="1250"/>
      <c r="N53" s="1250"/>
      <c r="O53" s="1251"/>
      <c r="P53" s="1252"/>
      <c r="Q53" s="1253"/>
      <c r="R53" s="1253"/>
      <c r="S53" s="1253"/>
      <c r="T53" s="1253"/>
      <c r="U53" s="1253"/>
      <c r="V53" s="1253"/>
      <c r="W53" s="1253"/>
      <c r="X53" s="1253"/>
      <c r="Y53" s="1253"/>
      <c r="Z53" s="1253"/>
      <c r="AA53" s="1253"/>
      <c r="AB53" s="1254"/>
      <c r="AC53" s="1254"/>
      <c r="AD53" s="1254"/>
      <c r="AE53" s="1254"/>
      <c r="AF53" s="1254"/>
      <c r="AG53" s="1254"/>
      <c r="AH53" s="1254"/>
      <c r="AI53" s="1254"/>
      <c r="AJ53" s="1254"/>
      <c r="AK53" s="1254"/>
      <c r="AL53" s="1254"/>
      <c r="AM53" s="1254"/>
      <c r="AN53" s="1254"/>
      <c r="AO53" s="1254"/>
      <c r="AP53" s="1254"/>
      <c r="AQ53" s="1254"/>
      <c r="AR53" s="1254"/>
      <c r="AS53" s="1254"/>
      <c r="AT53" s="1254"/>
      <c r="AU53" s="1254"/>
      <c r="AV53" s="1254"/>
      <c r="AW53" s="1254"/>
      <c r="AX53" s="1254"/>
      <c r="AY53" s="1254"/>
      <c r="AZ53" s="1254"/>
      <c r="BA53" s="1254"/>
    </row>
    <row r="54" spans="2:53" s="1229" customFormat="1" x14ac:dyDescent="0.25">
      <c r="B54" s="1224" t="s">
        <v>1471</v>
      </c>
      <c r="C54" s="1225"/>
      <c r="D54" s="1226"/>
      <c r="E54" s="1226"/>
      <c r="F54" s="1226"/>
      <c r="G54" s="1226"/>
      <c r="H54" s="1226"/>
      <c r="I54" s="1226"/>
      <c r="J54" s="1226"/>
      <c r="K54" s="1226"/>
      <c r="L54" s="1226"/>
      <c r="M54" s="1226"/>
      <c r="N54" s="1226"/>
      <c r="O54" s="1226"/>
      <c r="P54" s="1227"/>
      <c r="Q54" s="1228"/>
      <c r="R54" s="1228"/>
      <c r="S54" s="1228"/>
      <c r="T54" s="1228"/>
      <c r="U54" s="1228"/>
      <c r="V54" s="1228"/>
      <c r="W54" s="1228"/>
      <c r="X54" s="1228"/>
      <c r="Y54" s="1228"/>
      <c r="Z54" s="1228"/>
      <c r="AA54" s="1228"/>
      <c r="AB54" s="1228"/>
      <c r="AC54" s="1228"/>
      <c r="AD54" s="1228"/>
      <c r="AE54" s="1228"/>
      <c r="AF54" s="1228"/>
      <c r="AG54" s="1228"/>
      <c r="AH54" s="1228"/>
      <c r="AI54" s="1228"/>
      <c r="AJ54" s="1228"/>
      <c r="AK54" s="1228"/>
      <c r="AL54" s="1228"/>
      <c r="AM54" s="1228"/>
      <c r="AN54" s="1228"/>
      <c r="AO54" s="1228"/>
      <c r="AP54" s="1228"/>
      <c r="AQ54" s="1228"/>
      <c r="AR54" s="1228"/>
      <c r="AS54" s="1228"/>
      <c r="AT54" s="1228"/>
      <c r="AU54" s="1228"/>
      <c r="AV54" s="1228"/>
      <c r="AW54" s="1228"/>
      <c r="AX54" s="1228"/>
      <c r="AY54" s="1228"/>
      <c r="AZ54" s="1228"/>
      <c r="BA54" s="1228"/>
    </row>
    <row r="55" spans="2:53" x14ac:dyDescent="0.25">
      <c r="P55" s="1238"/>
      <c r="S55" s="781"/>
      <c r="T55" s="781"/>
      <c r="U55" s="781"/>
      <c r="V55" s="781"/>
      <c r="W55" s="781"/>
      <c r="X55" s="781"/>
      <c r="Y55" s="781"/>
      <c r="Z55" s="781"/>
      <c r="AA55" s="781"/>
      <c r="AB55" s="781"/>
      <c r="AC55" s="781"/>
      <c r="AD55" s="781"/>
      <c r="AE55" s="781"/>
      <c r="AF55" s="781"/>
      <c r="AG55" s="781"/>
      <c r="AH55" s="781"/>
      <c r="AI55" s="781"/>
      <c r="AJ55" s="781"/>
      <c r="AK55" s="781"/>
      <c r="AL55" s="781"/>
      <c r="AM55" s="781"/>
      <c r="AN55" s="781"/>
      <c r="AO55" s="781"/>
      <c r="AP55" s="781"/>
      <c r="AQ55" s="781"/>
      <c r="AR55" s="781"/>
      <c r="AS55" s="781"/>
      <c r="AT55" s="781"/>
      <c r="AU55" s="781"/>
      <c r="AV55" s="781"/>
      <c r="AW55" s="781"/>
      <c r="AX55" s="781"/>
      <c r="AY55" s="781"/>
      <c r="AZ55" s="781"/>
      <c r="BA55" s="781"/>
    </row>
    <row r="56" spans="2:53" x14ac:dyDescent="0.25">
      <c r="P56" s="1238"/>
      <c r="S56" s="781"/>
      <c r="T56" s="781"/>
      <c r="U56" s="781"/>
      <c r="V56" s="781"/>
      <c r="W56" s="781"/>
      <c r="X56" s="781"/>
      <c r="Y56" s="781"/>
      <c r="Z56" s="781"/>
      <c r="AA56" s="781"/>
      <c r="AB56" s="781"/>
      <c r="AC56" s="781"/>
      <c r="AD56" s="781"/>
      <c r="AE56" s="781"/>
      <c r="AF56" s="781"/>
      <c r="AG56" s="781"/>
      <c r="AH56" s="781"/>
      <c r="AI56" s="781"/>
      <c r="AJ56" s="781"/>
      <c r="AK56" s="781"/>
      <c r="AL56" s="781"/>
      <c r="AM56" s="781"/>
      <c r="AN56" s="781"/>
      <c r="AO56" s="781"/>
      <c r="AP56" s="781"/>
      <c r="AQ56" s="781"/>
      <c r="AR56" s="781"/>
      <c r="AS56" s="781"/>
      <c r="AT56" s="781"/>
      <c r="AU56" s="781"/>
      <c r="AV56" s="781"/>
      <c r="AW56" s="781"/>
      <c r="AX56" s="781"/>
      <c r="AY56" s="781"/>
      <c r="AZ56" s="781"/>
      <c r="BA56" s="781"/>
    </row>
    <row r="57" spans="2:53" x14ac:dyDescent="0.25">
      <c r="P57" s="1238"/>
      <c r="S57" s="781"/>
      <c r="T57" s="781"/>
      <c r="U57" s="781"/>
      <c r="V57" s="781"/>
      <c r="W57" s="781"/>
      <c r="X57" s="781"/>
      <c r="Y57" s="781"/>
      <c r="Z57" s="781"/>
      <c r="AA57" s="781"/>
      <c r="AB57" s="781"/>
      <c r="AC57" s="781"/>
      <c r="AD57" s="781"/>
      <c r="AE57" s="781"/>
      <c r="AF57" s="781"/>
      <c r="AG57" s="781"/>
      <c r="AH57" s="781"/>
      <c r="AI57" s="781"/>
      <c r="AJ57" s="781"/>
      <c r="AK57" s="781"/>
      <c r="AL57" s="781"/>
      <c r="AM57" s="781"/>
      <c r="AN57" s="781"/>
      <c r="AO57" s="781"/>
      <c r="AP57" s="781"/>
      <c r="AQ57" s="781"/>
      <c r="AR57" s="781"/>
      <c r="AS57" s="781"/>
      <c r="AT57" s="781"/>
      <c r="AU57" s="781"/>
      <c r="AV57" s="781"/>
      <c r="AW57" s="781"/>
      <c r="AX57" s="781"/>
      <c r="AY57" s="781"/>
      <c r="AZ57" s="781"/>
      <c r="BA57" s="781"/>
    </row>
    <row r="58" spans="2:53" s="1176" customFormat="1" ht="15.75" customHeight="1" x14ac:dyDescent="0.3">
      <c r="B58" s="1173" t="s">
        <v>1511</v>
      </c>
      <c r="C58" s="1174"/>
      <c r="D58" s="1174"/>
      <c r="E58" s="1174"/>
      <c r="F58" s="1174"/>
      <c r="G58" s="1174"/>
      <c r="H58" s="1174"/>
      <c r="I58" s="1174"/>
      <c r="J58" s="1174"/>
      <c r="K58" s="1174"/>
      <c r="L58" s="1174"/>
      <c r="M58" s="1174"/>
      <c r="N58" s="1174"/>
      <c r="O58" s="1174"/>
      <c r="P58" s="1175"/>
      <c r="Q58" s="1174"/>
      <c r="R58" s="1174"/>
      <c r="S58" s="1174"/>
      <c r="T58" s="1174"/>
      <c r="U58" s="1174"/>
      <c r="V58" s="1174"/>
      <c r="W58" s="1174"/>
      <c r="X58" s="1174"/>
      <c r="Y58" s="1174"/>
      <c r="Z58" s="1174"/>
      <c r="AA58" s="1174"/>
      <c r="AB58" s="1174"/>
      <c r="AC58" s="1174"/>
      <c r="AD58" s="1174"/>
      <c r="AE58" s="1174"/>
      <c r="AF58" s="1174"/>
      <c r="AG58" s="1174"/>
      <c r="AH58" s="1174"/>
      <c r="AI58" s="1174"/>
      <c r="AJ58" s="1174"/>
      <c r="AK58" s="1174"/>
      <c r="AL58" s="1174"/>
      <c r="AM58" s="1174"/>
      <c r="AN58" s="1174"/>
      <c r="AO58" s="1174"/>
      <c r="AP58" s="1174"/>
      <c r="AQ58" s="1174"/>
      <c r="AR58" s="1174"/>
      <c r="AS58" s="1174"/>
      <c r="AT58" s="1174"/>
      <c r="AU58" s="1174"/>
      <c r="AV58" s="1174"/>
      <c r="AW58" s="1174"/>
      <c r="AX58" s="1174"/>
      <c r="AY58" s="1174"/>
      <c r="AZ58" s="1174"/>
      <c r="BA58" s="1174"/>
    </row>
    <row r="59" spans="2:53" x14ac:dyDescent="0.25">
      <c r="M59" s="642"/>
      <c r="N59" s="642"/>
      <c r="O59" s="642"/>
      <c r="P59" s="737"/>
      <c r="Q59" s="642"/>
      <c r="R59" s="642"/>
    </row>
    <row r="60" spans="2:53" s="42" customFormat="1" ht="18" customHeight="1" x14ac:dyDescent="0.25">
      <c r="B60" s="1202" t="s">
        <v>1512</v>
      </c>
      <c r="D60" s="117"/>
      <c r="E60" s="117"/>
      <c r="F60" s="117"/>
      <c r="G60" s="117"/>
      <c r="H60" s="117"/>
      <c r="I60" s="117"/>
      <c r="J60" s="1203">
        <f>J8-J23</f>
        <v>463.71307951099993</v>
      </c>
      <c r="K60" s="1203">
        <f t="shared" ref="K60:AA60" si="78">K8-K23</f>
        <v>520.05756314899998</v>
      </c>
      <c r="L60" s="1203">
        <f t="shared" si="78"/>
        <v>506.78506846399989</v>
      </c>
      <c r="M60" s="1203">
        <f t="shared" si="78"/>
        <v>438.79372106900007</v>
      </c>
      <c r="N60" s="1203">
        <f t="shared" si="78"/>
        <v>430.19691963600008</v>
      </c>
      <c r="O60" s="1203">
        <f t="shared" si="78"/>
        <v>507.49690638200002</v>
      </c>
      <c r="P60" s="1204">
        <f t="shared" si="78"/>
        <v>637.14128684799994</v>
      </c>
      <c r="Q60" s="1205">
        <f t="shared" si="78"/>
        <v>661.99900160567711</v>
      </c>
      <c r="R60" s="1205">
        <f t="shared" si="78"/>
        <v>678.25415021938261</v>
      </c>
      <c r="S60" s="1205">
        <f t="shared" si="78"/>
        <v>909.30974838698171</v>
      </c>
      <c r="T60" s="1205">
        <f t="shared" si="78"/>
        <v>995.33256883154331</v>
      </c>
      <c r="U60" s="1205">
        <f t="shared" si="78"/>
        <v>1089.4252402767661</v>
      </c>
      <c r="V60" s="1205">
        <f t="shared" si="78"/>
        <v>1156.2326822261464</v>
      </c>
      <c r="W60" s="1205">
        <f t="shared" si="78"/>
        <v>1241.5880635905396</v>
      </c>
      <c r="X60" s="1205">
        <f t="shared" si="78"/>
        <v>1290.6026629918347</v>
      </c>
      <c r="Y60" s="1205">
        <f t="shared" si="78"/>
        <v>1343.856675311991</v>
      </c>
      <c r="Z60" s="1205">
        <f t="shared" si="78"/>
        <v>1401.7758617162826</v>
      </c>
      <c r="AA60" s="1205">
        <f t="shared" si="78"/>
        <v>1464.8301118853221</v>
      </c>
      <c r="AB60" s="1206"/>
      <c r="AC60" s="1206"/>
      <c r="AD60" s="1206"/>
      <c r="AE60" s="1206"/>
      <c r="AF60" s="1206"/>
      <c r="AG60" s="1206"/>
      <c r="AH60" s="1206"/>
      <c r="AI60" s="1206"/>
      <c r="AJ60" s="1206"/>
      <c r="AK60" s="1206"/>
      <c r="AL60" s="1206"/>
      <c r="AM60" s="1206"/>
      <c r="AN60" s="1206"/>
      <c r="AO60" s="1206"/>
      <c r="AP60" s="1206"/>
      <c r="AQ60" s="1206"/>
      <c r="AR60" s="1206"/>
      <c r="AS60" s="1206"/>
      <c r="AT60" s="1206"/>
      <c r="AU60" s="1206"/>
      <c r="AV60" s="1206"/>
      <c r="AW60" s="1206"/>
      <c r="AX60" s="1206"/>
      <c r="AY60" s="1206"/>
      <c r="AZ60" s="1206"/>
      <c r="BA60" s="1206"/>
    </row>
    <row r="61" spans="2:53" s="29" customFormat="1" x14ac:dyDescent="0.25">
      <c r="B61" s="29" t="s">
        <v>467</v>
      </c>
      <c r="D61" s="180"/>
      <c r="E61" s="180"/>
      <c r="F61" s="180"/>
      <c r="G61" s="180"/>
      <c r="H61" s="180"/>
      <c r="I61" s="180" t="str">
        <f t="shared" ref="I61" si="79">IFERROR(I60/H60-1," ")</f>
        <v xml:space="preserve"> </v>
      </c>
      <c r="J61" s="259"/>
      <c r="K61" s="1355">
        <f>K60/J60-1</f>
        <v>0.12150721238533335</v>
      </c>
      <c r="L61" s="1355">
        <f t="shared" ref="L61:AA61" si="80">L60/K60-1</f>
        <v>-2.5521203084969746E-2</v>
      </c>
      <c r="M61" s="1355">
        <f t="shared" si="80"/>
        <v>-0.13416209676633295</v>
      </c>
      <c r="N61" s="1355">
        <f t="shared" si="80"/>
        <v>-1.9591897103851563E-2</v>
      </c>
      <c r="O61" s="1355">
        <f t="shared" si="80"/>
        <v>0.17968512376008028</v>
      </c>
      <c r="P61" s="1358">
        <f t="shared" si="80"/>
        <v>0.25545846454562371</v>
      </c>
      <c r="Q61" s="1356">
        <f t="shared" si="80"/>
        <v>3.9014446671084002E-2</v>
      </c>
      <c r="R61" s="1356">
        <f t="shared" si="80"/>
        <v>2.455464218870218E-2</v>
      </c>
      <c r="S61" s="1356">
        <f t="shared" si="80"/>
        <v>0.34066226958266865</v>
      </c>
      <c r="T61" s="1356">
        <f t="shared" si="80"/>
        <v>9.4602329511100924E-2</v>
      </c>
      <c r="U61" s="1356">
        <f t="shared" si="80"/>
        <v>9.4533901925546004E-2</v>
      </c>
      <c r="V61" s="1356">
        <f t="shared" si="80"/>
        <v>6.132356721642318E-2</v>
      </c>
      <c r="W61" s="1356">
        <f t="shared" si="80"/>
        <v>7.3821976040371551E-2</v>
      </c>
      <c r="X61" s="1356">
        <f t="shared" si="80"/>
        <v>3.9477344248582735E-2</v>
      </c>
      <c r="Y61" s="1356">
        <f t="shared" si="80"/>
        <v>4.1262902864855899E-2</v>
      </c>
      <c r="Z61" s="1356">
        <f t="shared" si="80"/>
        <v>4.3099228859986072E-2</v>
      </c>
      <c r="AA61" s="1356">
        <f t="shared" si="80"/>
        <v>4.4981692074393509E-2</v>
      </c>
      <c r="AB61" s="210"/>
      <c r="AC61" s="210"/>
      <c r="AD61" s="210"/>
      <c r="AE61" s="210"/>
      <c r="AF61" s="210"/>
      <c r="AG61" s="210"/>
      <c r="AH61" s="210"/>
      <c r="AI61" s="210"/>
      <c r="AJ61" s="210"/>
      <c r="AK61" s="210"/>
      <c r="AL61" s="210"/>
      <c r="AM61" s="210"/>
      <c r="AN61" s="210"/>
      <c r="AO61" s="210"/>
      <c r="AP61" s="210"/>
      <c r="AQ61" s="210"/>
      <c r="AR61" s="210"/>
      <c r="AS61" s="210"/>
      <c r="AT61" s="210"/>
      <c r="AU61" s="210"/>
      <c r="AV61" s="210"/>
      <c r="AW61" s="210"/>
      <c r="AX61" s="210"/>
      <c r="AY61" s="210"/>
      <c r="AZ61" s="210"/>
      <c r="BA61" s="210"/>
    </row>
    <row r="62" spans="2:53" s="180" customFormat="1" x14ac:dyDescent="0.25">
      <c r="B62" s="147" t="s">
        <v>1497</v>
      </c>
      <c r="D62" s="1212"/>
      <c r="E62" s="1212"/>
      <c r="F62" s="1212"/>
      <c r="G62" s="1212"/>
      <c r="H62" s="1255"/>
      <c r="I62" s="1255"/>
      <c r="J62" s="1256">
        <f>J9-J25</f>
        <v>444.60629778800001</v>
      </c>
      <c r="K62" s="1256">
        <f t="shared" ref="K62:AA62" si="81">K9-K25</f>
        <v>506.84155293600008</v>
      </c>
      <c r="L62" s="1256">
        <f t="shared" si="81"/>
        <v>488.33408664600006</v>
      </c>
      <c r="M62" s="1256">
        <f t="shared" si="81"/>
        <v>438.51915406499995</v>
      </c>
      <c r="N62" s="1256">
        <f t="shared" si="81"/>
        <v>414.56740392200015</v>
      </c>
      <c r="O62" s="1256">
        <f t="shared" si="81"/>
        <v>478.978572633</v>
      </c>
      <c r="P62" s="1333">
        <f t="shared" si="81"/>
        <v>593.17779753399998</v>
      </c>
      <c r="Q62" s="1257">
        <f t="shared" si="81"/>
        <v>643.10690481644247</v>
      </c>
      <c r="R62" s="1257">
        <f t="shared" si="81"/>
        <v>656.29225588398754</v>
      </c>
      <c r="S62" s="1257">
        <f t="shared" si="81"/>
        <v>885.12311611933251</v>
      </c>
      <c r="T62" s="1257">
        <f t="shared" si="81"/>
        <v>969.38375887739016</v>
      </c>
      <c r="U62" s="1257">
        <f t="shared" si="81"/>
        <v>1062.0050211567363</v>
      </c>
      <c r="V62" s="1257">
        <f t="shared" si="81"/>
        <v>1127.2570453618555</v>
      </c>
      <c r="W62" s="1257">
        <f t="shared" si="81"/>
        <v>1210.9681736874795</v>
      </c>
      <c r="X62" s="1257">
        <f t="shared" si="81"/>
        <v>1259.0641763916828</v>
      </c>
      <c r="Y62" s="1257">
        <f t="shared" si="81"/>
        <v>1311.3720341138346</v>
      </c>
      <c r="Z62" s="1257">
        <f t="shared" si="81"/>
        <v>1368.3166812821814</v>
      </c>
      <c r="AA62" s="1257">
        <f t="shared" si="81"/>
        <v>1430.3671560381977</v>
      </c>
      <c r="AB62" s="1258"/>
      <c r="AC62" s="1258"/>
      <c r="AD62" s="1258"/>
      <c r="AE62" s="1258"/>
      <c r="AF62" s="1258"/>
      <c r="AG62" s="1258"/>
      <c r="AH62" s="1258"/>
      <c r="AI62" s="1258"/>
      <c r="AJ62" s="1258"/>
      <c r="AK62" s="1258"/>
      <c r="AL62" s="1258"/>
      <c r="AM62" s="1258"/>
      <c r="AN62" s="1258"/>
      <c r="AO62" s="1258"/>
      <c r="AP62" s="1258"/>
      <c r="AQ62" s="1258"/>
      <c r="AR62" s="1258"/>
      <c r="AS62" s="1258"/>
      <c r="AT62" s="1258"/>
      <c r="AU62" s="1258"/>
      <c r="AV62" s="1258"/>
      <c r="AW62" s="1258"/>
      <c r="AX62" s="1258"/>
      <c r="AY62" s="1258"/>
      <c r="AZ62" s="1258"/>
      <c r="BA62" s="1258"/>
    </row>
    <row r="63" spans="2:53" s="180" customFormat="1" x14ac:dyDescent="0.25">
      <c r="B63" s="147" t="s">
        <v>1498</v>
      </c>
      <c r="D63" s="1212"/>
      <c r="E63" s="1212"/>
      <c r="F63" s="1212"/>
      <c r="G63" s="1212"/>
      <c r="H63" s="1255"/>
      <c r="I63" s="1255"/>
      <c r="J63" s="1256">
        <f>J10-J26</f>
        <v>17.202722472999994</v>
      </c>
      <c r="K63" s="1256">
        <f t="shared" ref="K63:AA63" si="82">K10-K26</f>
        <v>16.807417408000006</v>
      </c>
      <c r="L63" s="1256">
        <f t="shared" si="82"/>
        <v>19.184415846999983</v>
      </c>
      <c r="M63" s="1256">
        <f t="shared" si="82"/>
        <v>0.5584495970000205</v>
      </c>
      <c r="N63" s="1256">
        <f t="shared" si="82"/>
        <v>14.399916184000006</v>
      </c>
      <c r="O63" s="1256">
        <f t="shared" si="82"/>
        <v>25.183357970000003</v>
      </c>
      <c r="P63" s="1333">
        <f t="shared" si="82"/>
        <v>43.699156927999979</v>
      </c>
      <c r="Q63" s="1257">
        <f t="shared" si="82"/>
        <v>18.806061128082973</v>
      </c>
      <c r="R63" s="1257">
        <f t="shared" si="82"/>
        <v>21.86543411499477</v>
      </c>
      <c r="S63" s="1257">
        <f t="shared" si="82"/>
        <v>24.08438443402494</v>
      </c>
      <c r="T63" s="1257">
        <f t="shared" si="82"/>
        <v>25.840427250511198</v>
      </c>
      <c r="U63" s="1257">
        <f t="shared" si="82"/>
        <v>27.305333454169556</v>
      </c>
      <c r="V63" s="1257">
        <f t="shared" si="82"/>
        <v>28.853858058478835</v>
      </c>
      <c r="W63" s="1257">
        <f t="shared" si="82"/>
        <v>30.490804368899603</v>
      </c>
      <c r="X63" s="1257">
        <f t="shared" si="82"/>
        <v>31.405528499966579</v>
      </c>
      <c r="Y63" s="1257">
        <f t="shared" si="82"/>
        <v>32.347694354965597</v>
      </c>
      <c r="Z63" s="1257">
        <f t="shared" si="82"/>
        <v>33.31812518561452</v>
      </c>
      <c r="AA63" s="1257">
        <f t="shared" si="82"/>
        <v>34.317668941182944</v>
      </c>
      <c r="AB63" s="1258"/>
      <c r="AC63" s="1258"/>
      <c r="AD63" s="1258"/>
      <c r="AE63" s="1258"/>
      <c r="AF63" s="1258"/>
      <c r="AG63" s="1258"/>
      <c r="AH63" s="1258"/>
      <c r="AI63" s="1258"/>
      <c r="AJ63" s="1258"/>
      <c r="AK63" s="1258"/>
      <c r="AL63" s="1258"/>
      <c r="AM63" s="1258"/>
      <c r="AN63" s="1258"/>
      <c r="AO63" s="1258"/>
      <c r="AP63" s="1258"/>
      <c r="AQ63" s="1258"/>
      <c r="AR63" s="1258"/>
      <c r="AS63" s="1258"/>
      <c r="AT63" s="1258"/>
      <c r="AU63" s="1258"/>
      <c r="AV63" s="1258"/>
      <c r="AW63" s="1258"/>
      <c r="AX63" s="1258"/>
      <c r="AY63" s="1258"/>
      <c r="AZ63" s="1258"/>
      <c r="BA63" s="1258"/>
    </row>
    <row r="64" spans="2:53" s="180" customFormat="1" x14ac:dyDescent="0.25">
      <c r="B64" s="147" t="s">
        <v>1499</v>
      </c>
      <c r="D64" s="1212"/>
      <c r="E64" s="1212"/>
      <c r="F64" s="1212"/>
      <c r="G64" s="1212"/>
      <c r="H64" s="1255"/>
      <c r="I64" s="1255"/>
      <c r="J64" s="1256">
        <f>J11-J27</f>
        <v>1.9040592499999995</v>
      </c>
      <c r="K64" s="1256">
        <f t="shared" ref="K64:AA64" si="83">K11-K27</f>
        <v>-3.5914071950000004</v>
      </c>
      <c r="L64" s="1256">
        <f t="shared" si="83"/>
        <v>-0.73343402900000143</v>
      </c>
      <c r="M64" s="1256">
        <f t="shared" si="83"/>
        <v>-0.28388259299999952</v>
      </c>
      <c r="N64" s="1256">
        <f t="shared" si="83"/>
        <v>1.2295995300000016</v>
      </c>
      <c r="O64" s="1256">
        <f t="shared" si="83"/>
        <v>3.3349757789999988</v>
      </c>
      <c r="P64" s="1333">
        <f t="shared" si="83"/>
        <v>0.26433238599999953</v>
      </c>
      <c r="Q64" s="1257">
        <f t="shared" si="83"/>
        <v>8.6035661151676379E-2</v>
      </c>
      <c r="R64" s="1257">
        <f t="shared" si="83"/>
        <v>9.6460220400334862E-2</v>
      </c>
      <c r="S64" s="1257">
        <f t="shared" si="83"/>
        <v>0.10224783362435375</v>
      </c>
      <c r="T64" s="1257">
        <f t="shared" si="83"/>
        <v>0.10838270364181568</v>
      </c>
      <c r="U64" s="1257">
        <f t="shared" si="83"/>
        <v>0.11488566586032434</v>
      </c>
      <c r="V64" s="1257">
        <f t="shared" si="83"/>
        <v>0.121778805811946</v>
      </c>
      <c r="W64" s="1257">
        <f t="shared" si="83"/>
        <v>0.12908553416066226</v>
      </c>
      <c r="X64" s="1257">
        <f t="shared" si="83"/>
        <v>0.13295810018548337</v>
      </c>
      <c r="Y64" s="1257">
        <f t="shared" si="83"/>
        <v>0.13694684319104766</v>
      </c>
      <c r="Z64" s="1257">
        <f t="shared" si="83"/>
        <v>0.14105524848677575</v>
      </c>
      <c r="AA64" s="1257">
        <f t="shared" si="83"/>
        <v>0.14528690594137927</v>
      </c>
      <c r="AB64" s="1258"/>
      <c r="AC64" s="1258"/>
      <c r="AD64" s="1258"/>
      <c r="AE64" s="1258"/>
      <c r="AF64" s="1258"/>
      <c r="AG64" s="1258"/>
      <c r="AH64" s="1258"/>
      <c r="AI64" s="1258"/>
      <c r="AJ64" s="1258"/>
      <c r="AK64" s="1258"/>
      <c r="AL64" s="1258"/>
      <c r="AM64" s="1258"/>
      <c r="AN64" s="1258"/>
      <c r="AO64" s="1258"/>
      <c r="AP64" s="1258"/>
      <c r="AQ64" s="1258"/>
      <c r="AR64" s="1258"/>
      <c r="AS64" s="1258"/>
      <c r="AT64" s="1258"/>
      <c r="AU64" s="1258"/>
      <c r="AV64" s="1258"/>
      <c r="AW64" s="1258"/>
      <c r="AX64" s="1258"/>
      <c r="AY64" s="1258"/>
      <c r="AZ64" s="1258"/>
      <c r="BA64" s="1258"/>
    </row>
    <row r="65" spans="2:53" s="1192" customFormat="1" ht="16.5" customHeight="1" x14ac:dyDescent="0.25">
      <c r="B65" s="1259" t="s">
        <v>1513</v>
      </c>
      <c r="C65" s="1218"/>
      <c r="D65" s="1219"/>
      <c r="E65" s="1219"/>
      <c r="F65" s="1219"/>
      <c r="G65" s="1219"/>
      <c r="H65" s="1219"/>
      <c r="I65" s="1219"/>
      <c r="J65" s="1220">
        <f>IF('IS Raw'!J25, 'IS Raw'!J25, 'Consol. Rev.'!J60)</f>
        <v>451.991116444</v>
      </c>
      <c r="K65" s="1220">
        <f>IF('IS Raw'!K25, 'IS Raw'!K25, 'Consol. Rev.'!K60)</f>
        <v>509.19939768699999</v>
      </c>
      <c r="L65" s="1220">
        <f>IF('IS Raw'!L25, 'IS Raw'!L25, 'Consol. Rev.'!L60)</f>
        <v>490.67246687099998</v>
      </c>
      <c r="M65" s="1220">
        <f>IF('IS Raw'!M25, 'IS Raw'!M25, 'Consol. Rev.'!M60)</f>
        <v>428.12803731999998</v>
      </c>
      <c r="N65" s="1220">
        <f>IF('IS Raw'!N25, 'IS Raw'!N25, 'Consol. Rev.'!N60)</f>
        <v>414.79594112000001</v>
      </c>
      <c r="O65" s="1220">
        <f>IF('IS Raw'!O25, 'IS Raw'!O25, 'Consol. Rev.'!O60)</f>
        <v>491.13927792499999</v>
      </c>
      <c r="P65" s="1221">
        <f>IF('IS Raw'!P25, 'IS Raw'!P25, 'Consol. Rev.'!P60)</f>
        <v>637.14128684799994</v>
      </c>
      <c r="Q65" s="1222">
        <f>IF('IS Raw'!Q25, 'IS Raw'!Q25, 'Consol. Rev.'!Q60)</f>
        <v>661.99900160567711</v>
      </c>
      <c r="R65" s="1222">
        <f>IF('IS Raw'!R25, 'IS Raw'!R25, 'Consol. Rev.'!R60)</f>
        <v>678.25415021938261</v>
      </c>
      <c r="S65" s="1222">
        <f>IF('IS Raw'!S25, 'IS Raw'!S25, 'Consol. Rev.'!S60)</f>
        <v>909.30974838698171</v>
      </c>
      <c r="T65" s="1222">
        <f>IF('IS Raw'!T25, 'IS Raw'!T25, 'Consol. Rev.'!T60)</f>
        <v>995.33256883154331</v>
      </c>
      <c r="U65" s="1222">
        <f>IF('IS Raw'!U25, 'IS Raw'!U25, 'Consol. Rev.'!U60)</f>
        <v>1089.4252402767661</v>
      </c>
      <c r="V65" s="1222">
        <f>IF('IS Raw'!V25, 'IS Raw'!V25, 'Consol. Rev.'!V60)</f>
        <v>1156.2326822261464</v>
      </c>
      <c r="W65" s="1222">
        <f>IF('IS Raw'!W25, 'IS Raw'!W25, 'Consol. Rev.'!W60)</f>
        <v>1241.5880635905396</v>
      </c>
      <c r="X65" s="1222">
        <f>IF('IS Raw'!X25, 'IS Raw'!X25, 'Consol. Rev.'!X60)</f>
        <v>1290.6026629918347</v>
      </c>
      <c r="Y65" s="1222">
        <f>IF('IS Raw'!Y25, 'IS Raw'!Y25, 'Consol. Rev.'!Y60)</f>
        <v>1343.856675311991</v>
      </c>
      <c r="Z65" s="1222">
        <f>IF('IS Raw'!Z25, 'IS Raw'!Z25, 'Consol. Rev.'!Z60)</f>
        <v>1401.7758617162826</v>
      </c>
      <c r="AA65" s="1222">
        <f>IF('IS Raw'!AA25, 'IS Raw'!AA25, 'Consol. Rev.'!AA60)</f>
        <v>1464.8301118853221</v>
      </c>
      <c r="AB65" s="1223"/>
      <c r="AC65" s="1223"/>
      <c r="AD65" s="1223"/>
      <c r="AE65" s="1223"/>
      <c r="AF65" s="1223"/>
      <c r="AG65" s="1223"/>
      <c r="AH65" s="1223"/>
      <c r="AI65" s="1223"/>
      <c r="AJ65" s="1223"/>
      <c r="AK65" s="1223"/>
      <c r="AL65" s="1223"/>
      <c r="AM65" s="1223"/>
      <c r="AN65" s="1223"/>
      <c r="AO65" s="1223"/>
      <c r="AP65" s="1223"/>
      <c r="AQ65" s="1223"/>
      <c r="AR65" s="1223"/>
      <c r="AS65" s="1223"/>
      <c r="AT65" s="1223"/>
      <c r="AU65" s="1223"/>
      <c r="AV65" s="1223"/>
      <c r="AW65" s="1223"/>
      <c r="AX65" s="1223"/>
      <c r="AY65" s="1223"/>
      <c r="AZ65" s="1223"/>
      <c r="BA65" s="1223"/>
    </row>
    <row r="66" spans="2:53" s="226" customFormat="1" x14ac:dyDescent="0.25">
      <c r="B66" s="1260" t="s">
        <v>467</v>
      </c>
      <c r="D66" s="1226"/>
      <c r="E66" s="1226"/>
      <c r="F66" s="1226"/>
      <c r="G66" s="1226"/>
      <c r="H66" s="1226"/>
      <c r="I66" s="1226"/>
      <c r="J66" s="1226"/>
      <c r="K66" s="1226">
        <f>K65/J65-1</f>
        <v>0.12656948148247049</v>
      </c>
      <c r="L66" s="1226">
        <f t="shared" ref="L66:AA66" si="84">L65/K65-1</f>
        <v>-3.6384431914407545E-2</v>
      </c>
      <c r="M66" s="1226">
        <f t="shared" si="84"/>
        <v>-0.12746675995464651</v>
      </c>
      <c r="N66" s="1226">
        <f t="shared" si="84"/>
        <v>-3.1140441732002255E-2</v>
      </c>
      <c r="O66" s="1226">
        <f t="shared" si="84"/>
        <v>0.18405034677741439</v>
      </c>
      <c r="P66" s="1227">
        <f t="shared" si="84"/>
        <v>0.29727210892160683</v>
      </c>
      <c r="Q66" s="1228">
        <f t="shared" si="84"/>
        <v>3.9014446671084002E-2</v>
      </c>
      <c r="R66" s="1228">
        <f t="shared" si="84"/>
        <v>2.455464218870218E-2</v>
      </c>
      <c r="S66" s="1228">
        <f t="shared" si="84"/>
        <v>0.34066226958266865</v>
      </c>
      <c r="T66" s="1228">
        <f t="shared" si="84"/>
        <v>9.4602329511100924E-2</v>
      </c>
      <c r="U66" s="1228">
        <f t="shared" si="84"/>
        <v>9.4533901925546004E-2</v>
      </c>
      <c r="V66" s="1228">
        <f t="shared" si="84"/>
        <v>6.132356721642318E-2</v>
      </c>
      <c r="W66" s="1228">
        <f t="shared" si="84"/>
        <v>7.3821976040371551E-2</v>
      </c>
      <c r="X66" s="1228">
        <f t="shared" si="84"/>
        <v>3.9477344248582735E-2</v>
      </c>
      <c r="Y66" s="1228">
        <f t="shared" si="84"/>
        <v>4.1262902864855899E-2</v>
      </c>
      <c r="Z66" s="1228">
        <f t="shared" si="84"/>
        <v>4.3099228859986072E-2</v>
      </c>
      <c r="AA66" s="1228">
        <f t="shared" si="84"/>
        <v>4.4981692074393509E-2</v>
      </c>
      <c r="AB66" s="1228"/>
      <c r="AC66" s="1228"/>
      <c r="AD66" s="1228"/>
      <c r="AE66" s="1228"/>
      <c r="AF66" s="1228"/>
      <c r="AG66" s="1228"/>
      <c r="AH66" s="1228"/>
      <c r="AI66" s="1228"/>
      <c r="AJ66" s="1228"/>
      <c r="AK66" s="1228"/>
      <c r="AL66" s="1228"/>
      <c r="AM66" s="1228"/>
      <c r="AN66" s="1228"/>
      <c r="AO66" s="1228"/>
      <c r="AP66" s="1228"/>
      <c r="AQ66" s="1228"/>
      <c r="AR66" s="1228"/>
      <c r="AS66" s="1228"/>
      <c r="AT66" s="1228"/>
      <c r="AU66" s="1228"/>
      <c r="AV66" s="1228"/>
      <c r="AW66" s="1228"/>
      <c r="AX66" s="1228"/>
      <c r="AY66" s="1228"/>
      <c r="AZ66" s="1228"/>
      <c r="BA66" s="1228"/>
    </row>
    <row r="67" spans="2:53" x14ac:dyDescent="0.25">
      <c r="P67" s="1238"/>
      <c r="Q67" s="1354"/>
      <c r="R67" s="1354"/>
      <c r="S67" s="1354"/>
      <c r="T67" s="1354"/>
      <c r="U67" s="1354"/>
      <c r="V67" s="1354"/>
      <c r="W67" s="1354"/>
      <c r="X67" s="1354"/>
      <c r="Y67" s="1354"/>
      <c r="Z67" s="1354"/>
      <c r="AA67" s="1354"/>
      <c r="AB67" s="1354"/>
      <c r="AC67" s="1354"/>
      <c r="AD67" s="1354"/>
      <c r="AE67" s="1354"/>
      <c r="AF67" s="1354"/>
      <c r="AG67" s="1354"/>
      <c r="AH67" s="1354"/>
      <c r="AI67" s="1354"/>
      <c r="AJ67" s="1354"/>
      <c r="AK67" s="1354"/>
      <c r="AL67" s="1354"/>
      <c r="AM67" s="1354"/>
      <c r="AN67" s="1354"/>
      <c r="AO67" s="1354"/>
      <c r="AP67" s="1354"/>
      <c r="AQ67" s="1354"/>
      <c r="AR67" s="1354"/>
      <c r="AS67" s="1354"/>
      <c r="AT67" s="1354"/>
      <c r="AU67" s="1354"/>
      <c r="AV67" s="1354"/>
      <c r="AW67" s="1354"/>
      <c r="AX67" s="1354"/>
      <c r="AY67" s="1354"/>
      <c r="AZ67" s="1354"/>
      <c r="BA67" s="1354"/>
    </row>
    <row r="68" spans="2:53" s="29" customFormat="1" x14ac:dyDescent="0.25">
      <c r="B68" s="42" t="s">
        <v>1514</v>
      </c>
      <c r="D68" s="180" t="str">
        <f t="shared" ref="D68:I68" si="85">IFERROR(D60/D8," ")</f>
        <v xml:space="preserve"> </v>
      </c>
      <c r="E68" s="180" t="str">
        <f t="shared" si="85"/>
        <v xml:space="preserve"> </v>
      </c>
      <c r="F68" s="180" t="str">
        <f t="shared" si="85"/>
        <v xml:space="preserve"> </v>
      </c>
      <c r="G68" s="180" t="str">
        <f t="shared" si="85"/>
        <v xml:space="preserve"> </v>
      </c>
      <c r="H68" s="180" t="str">
        <f t="shared" si="85"/>
        <v xml:space="preserve"> </v>
      </c>
      <c r="I68" s="180" t="str">
        <f t="shared" si="85"/>
        <v xml:space="preserve"> </v>
      </c>
      <c r="J68" s="259"/>
      <c r="K68" s="259"/>
      <c r="L68" s="259"/>
      <c r="M68" s="259"/>
      <c r="N68" s="259"/>
      <c r="O68" s="259"/>
      <c r="P68" s="1244"/>
      <c r="Q68" s="209"/>
      <c r="R68" s="209"/>
      <c r="S68" s="209"/>
      <c r="T68" s="209"/>
      <c r="U68" s="209"/>
      <c r="V68" s="209"/>
      <c r="W68" s="209"/>
      <c r="X68" s="209"/>
      <c r="Y68" s="209"/>
      <c r="Z68" s="209"/>
      <c r="AA68" s="209"/>
      <c r="AB68" s="210"/>
      <c r="AC68" s="210"/>
      <c r="AD68" s="210"/>
      <c r="AE68" s="210"/>
      <c r="AF68" s="210"/>
      <c r="AG68" s="210"/>
      <c r="AH68" s="210"/>
      <c r="AI68" s="210"/>
      <c r="AJ68" s="210"/>
      <c r="AK68" s="210"/>
      <c r="AL68" s="210"/>
      <c r="AM68" s="210"/>
      <c r="AN68" s="210"/>
      <c r="AO68" s="210"/>
      <c r="AP68" s="210"/>
      <c r="AQ68" s="210"/>
      <c r="AR68" s="210"/>
      <c r="AS68" s="210"/>
      <c r="AT68" s="210"/>
      <c r="AU68" s="210"/>
      <c r="AV68" s="210"/>
      <c r="AW68" s="210"/>
      <c r="AX68" s="210"/>
      <c r="AY68" s="210"/>
      <c r="AZ68" s="210"/>
      <c r="BA68" s="210"/>
    </row>
    <row r="69" spans="2:53" s="180" customFormat="1" x14ac:dyDescent="0.25">
      <c r="B69" s="147" t="s">
        <v>1497</v>
      </c>
      <c r="D69" s="180" t="str">
        <f t="shared" ref="D69:I72" si="86">IFERROR(D62/D9," ")</f>
        <v xml:space="preserve"> </v>
      </c>
      <c r="E69" s="180" t="str">
        <f t="shared" si="86"/>
        <v xml:space="preserve"> </v>
      </c>
      <c r="F69" s="180" t="str">
        <f t="shared" si="86"/>
        <v xml:space="preserve"> </v>
      </c>
      <c r="G69" s="180" t="str">
        <f t="shared" si="86"/>
        <v xml:space="preserve"> </v>
      </c>
      <c r="H69" s="180" t="str">
        <f t="shared" si="86"/>
        <v xml:space="preserve"> </v>
      </c>
      <c r="I69" s="180" t="str">
        <f t="shared" si="86"/>
        <v xml:space="preserve"> </v>
      </c>
      <c r="J69" s="259">
        <f>J62/J9</f>
        <v>0.39731401105242936</v>
      </c>
      <c r="K69" s="259">
        <f t="shared" ref="K69:AA71" si="87">K62/K9</f>
        <v>0.4022105106861143</v>
      </c>
      <c r="L69" s="259">
        <f t="shared" si="87"/>
        <v>0.38891559348374921</v>
      </c>
      <c r="M69" s="259">
        <f t="shared" si="87"/>
        <v>0.35919461523623075</v>
      </c>
      <c r="N69" s="259">
        <f t="shared" si="87"/>
        <v>0.36265672089332901</v>
      </c>
      <c r="O69" s="259">
        <f t="shared" si="87"/>
        <v>0.41711971839501871</v>
      </c>
      <c r="P69" s="1244">
        <f t="shared" si="87"/>
        <v>0.49802929980605348</v>
      </c>
      <c r="Q69" s="209">
        <f t="shared" si="87"/>
        <v>0.4264101081563072</v>
      </c>
      <c r="R69" s="209">
        <f t="shared" si="87"/>
        <v>0.42641010815630725</v>
      </c>
      <c r="S69" s="209">
        <f t="shared" si="87"/>
        <v>0.45149144547541298</v>
      </c>
      <c r="T69" s="209">
        <f t="shared" si="87"/>
        <v>0.46510881883027244</v>
      </c>
      <c r="U69" s="209">
        <f t="shared" si="87"/>
        <v>0.47881489173270736</v>
      </c>
      <c r="V69" s="209">
        <f t="shared" si="87"/>
        <v>0.48479267653308566</v>
      </c>
      <c r="W69" s="209">
        <f t="shared" si="87"/>
        <v>0.49188412180578328</v>
      </c>
      <c r="X69" s="209">
        <f t="shared" si="87"/>
        <v>0.49188412180578334</v>
      </c>
      <c r="Y69" s="209">
        <f t="shared" si="87"/>
        <v>0.49188412180578334</v>
      </c>
      <c r="Z69" s="209">
        <f t="shared" si="87"/>
        <v>0.49188412180578328</v>
      </c>
      <c r="AA69" s="209">
        <f t="shared" si="87"/>
        <v>0.49188412180578334</v>
      </c>
      <c r="AB69" s="210"/>
      <c r="AC69" s="210"/>
      <c r="AD69" s="210"/>
      <c r="AE69" s="210"/>
      <c r="AF69" s="210"/>
      <c r="AG69" s="210"/>
      <c r="AH69" s="210"/>
      <c r="AI69" s="210"/>
      <c r="AJ69" s="210"/>
      <c r="AK69" s="210"/>
      <c r="AL69" s="210"/>
      <c r="AM69" s="210"/>
      <c r="AN69" s="210"/>
      <c r="AO69" s="210"/>
      <c r="AP69" s="210"/>
      <c r="AQ69" s="210"/>
      <c r="AR69" s="210"/>
      <c r="AS69" s="210"/>
      <c r="AT69" s="210"/>
      <c r="AU69" s="210"/>
      <c r="AV69" s="210"/>
      <c r="AW69" s="210"/>
      <c r="AX69" s="210"/>
      <c r="AY69" s="210"/>
      <c r="AZ69" s="210"/>
      <c r="BA69" s="210"/>
    </row>
    <row r="70" spans="2:53" s="180" customFormat="1" x14ac:dyDescent="0.25">
      <c r="B70" s="147" t="s">
        <v>1498</v>
      </c>
      <c r="D70" s="180" t="str">
        <f t="shared" si="86"/>
        <v xml:space="preserve"> </v>
      </c>
      <c r="E70" s="180" t="str">
        <f t="shared" si="86"/>
        <v xml:space="preserve"> </v>
      </c>
      <c r="F70" s="180" t="str">
        <f t="shared" si="86"/>
        <v xml:space="preserve"> </v>
      </c>
      <c r="G70" s="180" t="str">
        <f t="shared" si="86"/>
        <v xml:space="preserve"> </v>
      </c>
      <c r="H70" s="180" t="str">
        <f t="shared" si="86"/>
        <v xml:space="preserve"> </v>
      </c>
      <c r="I70" s="180" t="str">
        <f t="shared" si="86"/>
        <v xml:space="preserve"> </v>
      </c>
      <c r="J70" s="259">
        <f t="shared" ref="J70:Y71" si="88">J63/J10</f>
        <v>0.16212159525963618</v>
      </c>
      <c r="K70" s="259">
        <f t="shared" si="88"/>
        <v>0.13407320842373968</v>
      </c>
      <c r="L70" s="259">
        <f t="shared" si="88"/>
        <v>0.14436312624727207</v>
      </c>
      <c r="M70" s="259">
        <f t="shared" si="88"/>
        <v>3.0995703890770963E-3</v>
      </c>
      <c r="N70" s="259">
        <f t="shared" si="88"/>
        <v>0.12114003688062594</v>
      </c>
      <c r="O70" s="259">
        <f t="shared" si="88"/>
        <v>0.2317629115589914</v>
      </c>
      <c r="P70" s="1244">
        <f t="shared" si="88"/>
        <v>0.11892545088583475</v>
      </c>
      <c r="Q70" s="209">
        <f t="shared" si="88"/>
        <v>0.12314750757800409</v>
      </c>
      <c r="R70" s="209">
        <f t="shared" si="88"/>
        <v>0.11354761416778558</v>
      </c>
      <c r="S70" s="209">
        <f t="shared" si="88"/>
        <v>0.10520629375095758</v>
      </c>
      <c r="T70" s="209">
        <f t="shared" si="88"/>
        <v>0.10288209077304138</v>
      </c>
      <c r="U70" s="209">
        <f t="shared" si="88"/>
        <v>0.10346981368858213</v>
      </c>
      <c r="V70" s="209">
        <f t="shared" si="88"/>
        <v>0.10406235338361711</v>
      </c>
      <c r="W70" s="209">
        <f t="shared" si="88"/>
        <v>0.10465974236954959</v>
      </c>
      <c r="X70" s="209">
        <f t="shared" si="88"/>
        <v>0.10465974236954954</v>
      </c>
      <c r="Y70" s="209">
        <f t="shared" si="88"/>
        <v>0.10465974236954961</v>
      </c>
      <c r="Z70" s="209">
        <f t="shared" si="87"/>
        <v>0.10465974236954947</v>
      </c>
      <c r="AA70" s="209">
        <f t="shared" si="87"/>
        <v>0.10465974236954943</v>
      </c>
      <c r="AB70" s="210"/>
      <c r="AC70" s="210"/>
      <c r="AD70" s="210"/>
      <c r="AE70" s="210"/>
      <c r="AF70" s="210"/>
      <c r="AG70" s="210"/>
      <c r="AH70" s="210"/>
      <c r="AI70" s="210"/>
      <c r="AJ70" s="210"/>
      <c r="AK70" s="210"/>
      <c r="AL70" s="210"/>
      <c r="AM70" s="210"/>
      <c r="AN70" s="210"/>
      <c r="AO70" s="210"/>
      <c r="AP70" s="210"/>
      <c r="AQ70" s="210"/>
      <c r="AR70" s="210"/>
      <c r="AS70" s="210"/>
      <c r="AT70" s="210"/>
      <c r="AU70" s="210"/>
      <c r="AV70" s="210"/>
      <c r="AW70" s="210"/>
      <c r="AX70" s="210"/>
      <c r="AY70" s="210"/>
      <c r="AZ70" s="210"/>
      <c r="BA70" s="210"/>
    </row>
    <row r="71" spans="2:53" s="180" customFormat="1" x14ac:dyDescent="0.25">
      <c r="B71" s="147" t="s">
        <v>1499</v>
      </c>
      <c r="D71" s="180" t="str">
        <f t="shared" si="86"/>
        <v xml:space="preserve"> </v>
      </c>
      <c r="E71" s="180" t="str">
        <f t="shared" si="86"/>
        <v xml:space="preserve"> </v>
      </c>
      <c r="F71" s="180" t="str">
        <f t="shared" si="86"/>
        <v xml:space="preserve"> </v>
      </c>
      <c r="G71" s="180" t="str">
        <f t="shared" si="86"/>
        <v xml:space="preserve"> </v>
      </c>
      <c r="H71" s="180" t="str">
        <f t="shared" si="86"/>
        <v xml:space="preserve"> </v>
      </c>
      <c r="I71" s="180" t="str">
        <f t="shared" si="86"/>
        <v xml:space="preserve"> </v>
      </c>
      <c r="J71" s="259">
        <f t="shared" si="88"/>
        <v>0.16343856223175962</v>
      </c>
      <c r="K71" s="259">
        <f t="shared" si="87"/>
        <v>-0.35003968762183241</v>
      </c>
      <c r="L71" s="259">
        <f t="shared" si="87"/>
        <v>-4.6361190202275693E-2</v>
      </c>
      <c r="M71" s="259">
        <f t="shared" si="87"/>
        <v>-2.6580767134831415E-2</v>
      </c>
      <c r="N71" s="259">
        <f t="shared" si="87"/>
        <v>8.1322720238095336E-2</v>
      </c>
      <c r="O71" s="259">
        <f t="shared" si="87"/>
        <v>0.20397405376146785</v>
      </c>
      <c r="P71" s="1244">
        <f t="shared" si="87"/>
        <v>1.8129793278463615E-2</v>
      </c>
      <c r="Q71" s="209">
        <f t="shared" si="87"/>
        <v>6.2690692215495959E-3</v>
      </c>
      <c r="R71" s="209">
        <f t="shared" si="87"/>
        <v>6.2690692215495395E-3</v>
      </c>
      <c r="S71" s="209">
        <f t="shared" si="87"/>
        <v>6.2690692215494649E-3</v>
      </c>
      <c r="T71" s="209">
        <f t="shared" si="87"/>
        <v>6.2690692215495065E-3</v>
      </c>
      <c r="U71" s="209">
        <f t="shared" si="87"/>
        <v>6.2690692215494909E-3</v>
      </c>
      <c r="V71" s="209">
        <f t="shared" si="87"/>
        <v>6.2690692215496037E-3</v>
      </c>
      <c r="W71" s="209">
        <f t="shared" si="87"/>
        <v>6.2690692215495785E-3</v>
      </c>
      <c r="X71" s="209">
        <f t="shared" si="87"/>
        <v>6.2690692215496367E-3</v>
      </c>
      <c r="Y71" s="209">
        <f t="shared" si="87"/>
        <v>6.2690692215496271E-3</v>
      </c>
      <c r="Z71" s="209">
        <f t="shared" si="87"/>
        <v>6.2690692215494788E-3</v>
      </c>
      <c r="AA71" s="209">
        <f t="shared" si="87"/>
        <v>6.2690692215494892E-3</v>
      </c>
      <c r="AB71" s="210"/>
      <c r="AC71" s="210"/>
      <c r="AD71" s="210"/>
      <c r="AE71" s="210"/>
      <c r="AF71" s="210"/>
      <c r="AG71" s="210"/>
      <c r="AH71" s="210"/>
      <c r="AI71" s="210"/>
      <c r="AJ71" s="210"/>
      <c r="AK71" s="210"/>
      <c r="AL71" s="210"/>
      <c r="AM71" s="210"/>
      <c r="AN71" s="210"/>
      <c r="AO71" s="210"/>
      <c r="AP71" s="210"/>
      <c r="AQ71" s="210"/>
      <c r="AR71" s="210"/>
      <c r="AS71" s="210"/>
      <c r="AT71" s="210"/>
      <c r="AU71" s="210"/>
      <c r="AV71" s="210"/>
      <c r="AW71" s="210"/>
      <c r="AX71" s="210"/>
      <c r="AY71" s="210"/>
      <c r="AZ71" s="210"/>
      <c r="BA71" s="210"/>
    </row>
    <row r="72" spans="2:53" s="1262" customFormat="1" ht="17.25" customHeight="1" x14ac:dyDescent="0.25">
      <c r="B72" s="1261" t="s">
        <v>1515</v>
      </c>
      <c r="C72" s="1248"/>
      <c r="D72" s="1199" t="str">
        <f t="shared" si="86"/>
        <v xml:space="preserve"> </v>
      </c>
      <c r="E72" s="1199" t="str">
        <f t="shared" si="86"/>
        <v xml:space="preserve"> </v>
      </c>
      <c r="F72" s="1199" t="str">
        <f t="shared" si="86"/>
        <v xml:space="preserve"> </v>
      </c>
      <c r="G72" s="1199" t="str">
        <f t="shared" si="86"/>
        <v xml:space="preserve"> </v>
      </c>
      <c r="H72" s="1199" t="str">
        <f t="shared" si="86"/>
        <v xml:space="preserve"> </v>
      </c>
      <c r="I72" s="1199" t="str">
        <f t="shared" si="86"/>
        <v xml:space="preserve"> </v>
      </c>
      <c r="J72" s="1251">
        <f>J65/J12</f>
        <v>0.36895184823822136</v>
      </c>
      <c r="K72" s="1251">
        <f t="shared" ref="K72:AA72" si="89">K65/K12</f>
        <v>0.36767905492512232</v>
      </c>
      <c r="L72" s="1251">
        <f t="shared" si="89"/>
        <v>0.35345251608925876</v>
      </c>
      <c r="M72" s="1251">
        <f t="shared" si="89"/>
        <v>0.30558216039078284</v>
      </c>
      <c r="N72" s="1251">
        <f t="shared" si="89"/>
        <v>0.3287520014655223</v>
      </c>
      <c r="O72" s="1251">
        <f t="shared" si="89"/>
        <v>0.39073817675533001</v>
      </c>
      <c r="P72" s="1252">
        <f t="shared" si="89"/>
        <v>0.4088158584107735</v>
      </c>
      <c r="Q72" s="1253">
        <f t="shared" si="89"/>
        <v>0.39531197706322779</v>
      </c>
      <c r="R72" s="1253">
        <f t="shared" si="89"/>
        <v>0.38822527351430786</v>
      </c>
      <c r="S72" s="1253">
        <f t="shared" si="89"/>
        <v>0.41225862445598416</v>
      </c>
      <c r="T72" s="1253">
        <f t="shared" si="89"/>
        <v>0.4230664574139214</v>
      </c>
      <c r="U72" s="1253">
        <f t="shared" si="89"/>
        <v>0.43573366487953136</v>
      </c>
      <c r="V72" s="1253">
        <f t="shared" si="89"/>
        <v>0.44098443717723496</v>
      </c>
      <c r="W72" s="1253">
        <f t="shared" si="89"/>
        <v>0.44760932515819674</v>
      </c>
      <c r="X72" s="1253">
        <f t="shared" si="89"/>
        <v>0.44797696373924545</v>
      </c>
      <c r="Y72" s="1253">
        <f t="shared" si="89"/>
        <v>0.44840991366798305</v>
      </c>
      <c r="Z72" s="1253">
        <f t="shared" si="89"/>
        <v>0.44890816272413853</v>
      </c>
      <c r="AA72" s="1253">
        <f t="shared" si="89"/>
        <v>0.44947117362373173</v>
      </c>
      <c r="AB72" s="1200"/>
      <c r="AC72" s="1200"/>
      <c r="AD72" s="1200"/>
      <c r="AE72" s="1200"/>
      <c r="AF72" s="1200"/>
      <c r="AG72" s="1200"/>
      <c r="AH72" s="1200"/>
      <c r="AI72" s="1200"/>
      <c r="AJ72" s="1200"/>
      <c r="AK72" s="1200"/>
      <c r="AL72" s="1200"/>
      <c r="AM72" s="1200"/>
      <c r="AN72" s="1200"/>
      <c r="AO72" s="1200"/>
      <c r="AP72" s="1200"/>
      <c r="AQ72" s="1200"/>
      <c r="AR72" s="1200"/>
      <c r="AS72" s="1200"/>
      <c r="AT72" s="1200"/>
      <c r="AU72" s="1200"/>
      <c r="AV72" s="1200"/>
      <c r="AW72" s="1200"/>
      <c r="AX72" s="1200"/>
      <c r="AY72" s="1200"/>
      <c r="AZ72" s="1200"/>
      <c r="BA72" s="1200"/>
    </row>
    <row r="73" spans="2:53" s="1192" customFormat="1" x14ac:dyDescent="0.25">
      <c r="B73" s="1263"/>
      <c r="C73" s="1264"/>
      <c r="D73" s="1264"/>
      <c r="E73" s="1264"/>
      <c r="F73" s="1264"/>
      <c r="G73" s="1265"/>
      <c r="H73" s="1265"/>
      <c r="I73" s="1265"/>
      <c r="J73" s="1265"/>
      <c r="K73" s="1265"/>
      <c r="L73" s="1265"/>
      <c r="M73" s="1265"/>
      <c r="N73" s="1265"/>
      <c r="O73" s="1265"/>
      <c r="P73" s="1266"/>
      <c r="Q73" s="1265"/>
      <c r="R73" s="1267"/>
      <c r="S73" s="1267"/>
      <c r="T73" s="1267"/>
      <c r="U73" s="1267"/>
      <c r="V73" s="1267"/>
      <c r="W73" s="1267"/>
      <c r="X73" s="1267"/>
      <c r="Y73" s="1267"/>
      <c r="Z73" s="1267"/>
      <c r="AA73" s="1267"/>
      <c r="AB73" s="1267"/>
      <c r="AC73" s="1267"/>
      <c r="AD73" s="1267"/>
      <c r="AE73" s="1267"/>
      <c r="AF73" s="1267"/>
      <c r="AG73" s="1267"/>
      <c r="AH73" s="1267"/>
      <c r="AI73" s="1267"/>
      <c r="AJ73" s="1267"/>
      <c r="AK73" s="1267"/>
      <c r="AL73" s="1267"/>
      <c r="AM73" s="1267"/>
      <c r="AN73" s="1267"/>
      <c r="AO73" s="1267"/>
      <c r="AP73" s="1267"/>
      <c r="AQ73" s="1267"/>
      <c r="AR73" s="1267"/>
      <c r="AS73" s="1267"/>
      <c r="AT73" s="1267"/>
      <c r="AU73" s="1267"/>
      <c r="AV73" s="1267"/>
      <c r="AW73" s="1267"/>
      <c r="AX73" s="1267"/>
      <c r="AY73" s="1267"/>
      <c r="AZ73" s="1267"/>
      <c r="BA73" s="1267"/>
    </row>
    <row r="74" spans="2:53" s="1192" customFormat="1" x14ac:dyDescent="0.25">
      <c r="B74" s="1263"/>
      <c r="C74" s="1264"/>
      <c r="D74" s="1264"/>
      <c r="E74" s="1264"/>
      <c r="F74" s="1264"/>
      <c r="G74" s="1265"/>
      <c r="H74" s="1265"/>
      <c r="I74" s="1265"/>
      <c r="J74" s="1265"/>
      <c r="K74" s="1265"/>
      <c r="L74" s="1265"/>
      <c r="M74" s="1265"/>
      <c r="N74" s="1265"/>
      <c r="O74" s="1265"/>
      <c r="P74" s="1266"/>
      <c r="Q74" s="1265"/>
      <c r="R74" s="1267"/>
      <c r="S74" s="1267"/>
      <c r="T74" s="1267"/>
      <c r="U74" s="1267"/>
      <c r="V74" s="1267"/>
      <c r="W74" s="1267"/>
      <c r="X74" s="1267"/>
      <c r="Y74" s="1267"/>
      <c r="Z74" s="1267"/>
      <c r="AA74" s="1267"/>
      <c r="AB74" s="1267"/>
      <c r="AC74" s="1267"/>
      <c r="AD74" s="1267"/>
      <c r="AE74" s="1267"/>
      <c r="AF74" s="1267"/>
      <c r="AG74" s="1267"/>
      <c r="AH74" s="1267"/>
      <c r="AI74" s="1267"/>
      <c r="AJ74" s="1267"/>
      <c r="AK74" s="1267"/>
      <c r="AL74" s="1267"/>
      <c r="AM74" s="1267"/>
      <c r="AN74" s="1267"/>
      <c r="AO74" s="1267"/>
      <c r="AP74" s="1267"/>
      <c r="AQ74" s="1267"/>
      <c r="AR74" s="1267"/>
      <c r="AS74" s="1267"/>
      <c r="AT74" s="1267"/>
      <c r="AU74" s="1267"/>
      <c r="AV74" s="1267"/>
      <c r="AW74" s="1267"/>
      <c r="AX74" s="1267"/>
      <c r="AY74" s="1267"/>
      <c r="AZ74" s="1267"/>
      <c r="BA74" s="1267"/>
    </row>
    <row r="75" spans="2:53" x14ac:dyDescent="0.25">
      <c r="P75" s="1238"/>
      <c r="S75" s="781"/>
      <c r="T75" s="781"/>
      <c r="U75" s="781"/>
      <c r="V75" s="781"/>
      <c r="W75" s="781"/>
      <c r="X75" s="781"/>
      <c r="Y75" s="781"/>
      <c r="Z75" s="781"/>
      <c r="AA75" s="781"/>
      <c r="AB75" s="781"/>
      <c r="AC75" s="781"/>
      <c r="AD75" s="781"/>
      <c r="AE75" s="781"/>
      <c r="AF75" s="781"/>
      <c r="AG75" s="781"/>
      <c r="AH75" s="781"/>
      <c r="AI75" s="781"/>
      <c r="AJ75" s="781"/>
      <c r="AK75" s="781"/>
      <c r="AL75" s="781"/>
      <c r="AM75" s="781"/>
      <c r="AN75" s="781"/>
      <c r="AO75" s="781"/>
      <c r="AP75" s="781"/>
      <c r="AQ75" s="781"/>
      <c r="AR75" s="781"/>
      <c r="AS75" s="781"/>
      <c r="AT75" s="781"/>
      <c r="AU75" s="781"/>
      <c r="AV75" s="781"/>
      <c r="AW75" s="781"/>
      <c r="AX75" s="781"/>
      <c r="AY75" s="781"/>
      <c r="AZ75" s="781"/>
      <c r="BA75" s="781"/>
    </row>
    <row r="76" spans="2:53" s="42" customFormat="1" ht="19.5" customHeight="1" x14ac:dyDescent="0.25">
      <c r="B76" s="1202" t="s">
        <v>1516</v>
      </c>
      <c r="D76" s="117"/>
      <c r="E76" s="117"/>
      <c r="F76" s="117"/>
      <c r="G76" s="117"/>
      <c r="H76" s="117"/>
      <c r="I76" s="117">
        <f>+I8-I32</f>
        <v>0</v>
      </c>
      <c r="J76" s="1203"/>
      <c r="K76" s="1203"/>
      <c r="L76" s="1203"/>
      <c r="M76" s="1203"/>
      <c r="N76" s="1203"/>
      <c r="O76" s="1203"/>
      <c r="P76" s="1204"/>
      <c r="Q76" s="1205"/>
      <c r="R76" s="1205"/>
      <c r="S76" s="1205"/>
      <c r="T76" s="1205"/>
      <c r="U76" s="1205"/>
      <c r="V76" s="1205"/>
      <c r="W76" s="1205"/>
      <c r="X76" s="1205"/>
      <c r="Y76" s="1205"/>
      <c r="Z76" s="1205"/>
      <c r="AA76" s="1205"/>
      <c r="AB76" s="1206"/>
      <c r="AC76" s="1206"/>
      <c r="AD76" s="117"/>
      <c r="AE76" s="117"/>
      <c r="AF76" s="117"/>
      <c r="AG76" s="117"/>
      <c r="AH76" s="117"/>
      <c r="AI76" s="117"/>
      <c r="AJ76" s="117"/>
      <c r="AK76" s="117"/>
      <c r="AL76" s="117"/>
      <c r="AM76" s="117"/>
      <c r="AN76" s="117"/>
      <c r="AO76" s="117"/>
      <c r="AP76" s="117"/>
      <c r="AQ76" s="117"/>
      <c r="AR76" s="117"/>
      <c r="AS76" s="117"/>
      <c r="AT76" s="117"/>
      <c r="AU76" s="117"/>
      <c r="AV76" s="117"/>
      <c r="AW76" s="117"/>
      <c r="AX76" s="117"/>
      <c r="AY76" s="117"/>
      <c r="AZ76" s="117"/>
      <c r="BA76" s="117"/>
    </row>
    <row r="77" spans="2:53" s="29" customFormat="1" x14ac:dyDescent="0.25">
      <c r="B77" s="29" t="s">
        <v>467</v>
      </c>
      <c r="D77" s="180"/>
      <c r="E77" s="180"/>
      <c r="F77" s="180"/>
      <c r="G77" s="180"/>
      <c r="H77" s="180"/>
      <c r="I77" s="180" t="str">
        <f t="shared" ref="I77" si="90">IFERROR(I76/H76-1," ")</f>
        <v xml:space="preserve"> </v>
      </c>
      <c r="J77" s="180"/>
      <c r="K77" s="259"/>
      <c r="L77" s="259"/>
      <c r="M77" s="259"/>
      <c r="N77" s="259"/>
      <c r="O77" s="259"/>
      <c r="P77" s="1244"/>
      <c r="Q77" s="209"/>
      <c r="R77" s="209"/>
      <c r="S77" s="209"/>
      <c r="T77" s="209"/>
      <c r="U77" s="209"/>
      <c r="V77" s="209"/>
      <c r="W77" s="209"/>
      <c r="X77" s="209"/>
      <c r="Y77" s="209"/>
      <c r="Z77" s="209"/>
      <c r="AA77" s="209"/>
      <c r="AB77" s="210"/>
      <c r="AC77" s="210"/>
      <c r="AD77" s="210"/>
      <c r="AE77" s="210"/>
      <c r="AF77" s="210"/>
      <c r="AG77" s="210"/>
      <c r="AH77" s="210"/>
      <c r="AI77" s="210"/>
      <c r="AJ77" s="210"/>
      <c r="AK77" s="210"/>
      <c r="AL77" s="210"/>
      <c r="AM77" s="210"/>
      <c r="AN77" s="210"/>
      <c r="AO77" s="210"/>
      <c r="AP77" s="210"/>
      <c r="AQ77" s="210"/>
      <c r="AR77" s="210"/>
      <c r="AS77" s="210"/>
      <c r="AT77" s="210"/>
      <c r="AU77" s="210"/>
      <c r="AV77" s="210"/>
      <c r="AW77" s="210"/>
      <c r="AX77" s="210"/>
      <c r="AY77" s="210"/>
      <c r="AZ77" s="210"/>
      <c r="BA77" s="210"/>
    </row>
    <row r="78" spans="2:53" s="1192" customFormat="1" ht="16.5" customHeight="1" x14ac:dyDescent="0.25">
      <c r="B78" s="1259" t="s">
        <v>1516</v>
      </c>
      <c r="C78" s="1218"/>
      <c r="D78" s="1219"/>
      <c r="E78" s="1219"/>
      <c r="F78" s="1219"/>
      <c r="G78" s="1219"/>
      <c r="H78" s="1219"/>
      <c r="I78" s="1219"/>
      <c r="J78" s="1220"/>
      <c r="K78" s="1220"/>
      <c r="L78" s="1220"/>
      <c r="M78" s="1220"/>
      <c r="N78" s="1220"/>
      <c r="O78" s="1220"/>
      <c r="P78" s="1221"/>
      <c r="Q78" s="1222"/>
      <c r="R78" s="1222"/>
      <c r="S78" s="1222"/>
      <c r="T78" s="1222"/>
      <c r="U78" s="1222"/>
      <c r="V78" s="1222"/>
      <c r="W78" s="1222"/>
      <c r="X78" s="1222"/>
      <c r="Y78" s="1222"/>
      <c r="Z78" s="1222"/>
      <c r="AA78" s="1222"/>
      <c r="AB78" s="1223"/>
      <c r="AC78" s="1223"/>
      <c r="AD78" s="1223"/>
      <c r="AE78" s="1223"/>
      <c r="AF78" s="1223"/>
      <c r="AG78" s="1223"/>
      <c r="AH78" s="1223"/>
      <c r="AI78" s="1223"/>
      <c r="AJ78" s="1223"/>
      <c r="AK78" s="1223"/>
      <c r="AL78" s="1223"/>
      <c r="AM78" s="1223"/>
      <c r="AN78" s="1223"/>
      <c r="AO78" s="1223"/>
      <c r="AP78" s="1223"/>
      <c r="AQ78" s="1223"/>
      <c r="AR78" s="1223"/>
      <c r="AS78" s="1223"/>
      <c r="AT78" s="1223"/>
      <c r="AU78" s="1223"/>
      <c r="AV78" s="1223"/>
      <c r="AW78" s="1223"/>
      <c r="AX78" s="1223"/>
      <c r="AY78" s="1223"/>
      <c r="AZ78" s="1223"/>
      <c r="BA78" s="1223"/>
    </row>
    <row r="79" spans="2:53" s="226" customFormat="1" x14ac:dyDescent="0.25">
      <c r="B79" s="1260" t="s">
        <v>467</v>
      </c>
      <c r="D79" s="1226"/>
      <c r="E79" s="1226"/>
      <c r="F79" s="1226"/>
      <c r="G79" s="1226"/>
      <c r="H79" s="1226"/>
      <c r="I79" s="1226"/>
      <c r="J79" s="1226"/>
      <c r="K79" s="1226"/>
      <c r="L79" s="1226"/>
      <c r="M79" s="1226"/>
      <c r="N79" s="1226"/>
      <c r="O79" s="1226"/>
      <c r="P79" s="1227"/>
      <c r="Q79" s="1228"/>
      <c r="R79" s="1228"/>
      <c r="S79" s="1228"/>
      <c r="T79" s="1228"/>
      <c r="U79" s="1228"/>
      <c r="V79" s="1228"/>
      <c r="W79" s="1228"/>
      <c r="X79" s="1228"/>
      <c r="Y79" s="1228"/>
      <c r="Z79" s="1228"/>
      <c r="AA79" s="1228"/>
      <c r="AB79" s="1228"/>
      <c r="AC79" s="1228"/>
      <c r="AD79" s="1228"/>
      <c r="AE79" s="1228"/>
      <c r="AF79" s="1228"/>
      <c r="AG79" s="1228"/>
      <c r="AH79" s="1228"/>
      <c r="AI79" s="1228"/>
      <c r="AJ79" s="1228"/>
      <c r="AK79" s="1228"/>
      <c r="AL79" s="1228"/>
      <c r="AM79" s="1228"/>
      <c r="AN79" s="1228"/>
      <c r="AO79" s="1228"/>
      <c r="AP79" s="1228"/>
      <c r="AQ79" s="1228"/>
      <c r="AR79" s="1228"/>
      <c r="AS79" s="1228"/>
      <c r="AT79" s="1228"/>
      <c r="AU79" s="1228"/>
      <c r="AV79" s="1228"/>
      <c r="AW79" s="1228"/>
      <c r="AX79" s="1228"/>
      <c r="AY79" s="1228"/>
      <c r="AZ79" s="1228"/>
      <c r="BA79" s="1228"/>
    </row>
    <row r="80" spans="2:53" x14ac:dyDescent="0.25">
      <c r="P80" s="1238"/>
      <c r="S80" s="781"/>
      <c r="T80" s="781"/>
      <c r="U80" s="781"/>
      <c r="V80" s="781"/>
      <c r="W80" s="781"/>
      <c r="X80" s="781"/>
      <c r="Y80" s="781"/>
      <c r="Z80" s="781"/>
      <c r="AA80" s="781"/>
      <c r="AB80" s="781"/>
      <c r="AC80" s="781"/>
      <c r="AD80" s="781"/>
      <c r="AE80" s="781"/>
      <c r="AF80" s="781"/>
      <c r="AG80" s="781"/>
      <c r="AH80" s="781"/>
      <c r="AI80" s="781"/>
      <c r="AJ80" s="781"/>
      <c r="AK80" s="781"/>
      <c r="AL80" s="781"/>
      <c r="AM80" s="781"/>
      <c r="AN80" s="781"/>
      <c r="AO80" s="781"/>
      <c r="AP80" s="781"/>
      <c r="AQ80" s="781"/>
      <c r="AR80" s="781"/>
      <c r="AS80" s="781"/>
      <c r="AT80" s="781"/>
      <c r="AU80" s="781"/>
      <c r="AV80" s="781"/>
      <c r="AW80" s="781"/>
      <c r="AX80" s="781"/>
      <c r="AY80" s="781"/>
      <c r="AZ80" s="781"/>
      <c r="BA80" s="781"/>
    </row>
    <row r="81" spans="2:57" s="29" customFormat="1" x14ac:dyDescent="0.25">
      <c r="B81" s="42" t="s">
        <v>1517</v>
      </c>
      <c r="D81" s="180" t="str">
        <f t="shared" ref="D81:I81" si="91">IFERROR(D76/D23," ")</f>
        <v xml:space="preserve"> </v>
      </c>
      <c r="E81" s="180" t="str">
        <f t="shared" si="91"/>
        <v xml:space="preserve"> </v>
      </c>
      <c r="F81" s="180" t="str">
        <f t="shared" si="91"/>
        <v xml:space="preserve"> </v>
      </c>
      <c r="G81" s="180" t="str">
        <f t="shared" si="91"/>
        <v xml:space="preserve"> </v>
      </c>
      <c r="H81" s="180" t="str">
        <f t="shared" si="91"/>
        <v xml:space="preserve"> </v>
      </c>
      <c r="I81" s="180" t="str">
        <f t="shared" si="91"/>
        <v xml:space="preserve"> </v>
      </c>
      <c r="J81" s="259"/>
      <c r="K81" s="259"/>
      <c r="L81" s="259"/>
      <c r="M81" s="259"/>
      <c r="N81" s="259"/>
      <c r="O81" s="259"/>
      <c r="P81" s="1244"/>
      <c r="Q81" s="209"/>
      <c r="R81" s="209"/>
      <c r="S81" s="209"/>
      <c r="T81" s="209"/>
      <c r="U81" s="209"/>
      <c r="V81" s="209"/>
      <c r="W81" s="209"/>
      <c r="X81" s="209"/>
      <c r="Y81" s="209"/>
      <c r="Z81" s="209"/>
      <c r="AA81" s="209"/>
      <c r="AB81" s="210"/>
      <c r="AC81" s="210"/>
      <c r="AD81" s="210"/>
      <c r="AE81" s="210"/>
      <c r="AF81" s="210"/>
      <c r="AG81" s="210"/>
      <c r="AH81" s="210"/>
      <c r="AI81" s="210"/>
      <c r="AJ81" s="210"/>
      <c r="AK81" s="210"/>
      <c r="AL81" s="210"/>
      <c r="AM81" s="210"/>
      <c r="AN81" s="210"/>
      <c r="AO81" s="210"/>
      <c r="AP81" s="210"/>
      <c r="AQ81" s="210"/>
      <c r="AR81" s="210"/>
      <c r="AS81" s="210"/>
      <c r="AT81" s="210"/>
      <c r="AU81" s="210"/>
      <c r="AV81" s="210"/>
      <c r="AW81" s="210"/>
      <c r="AX81" s="210"/>
      <c r="AY81" s="210"/>
      <c r="AZ81" s="210"/>
      <c r="BA81" s="210"/>
    </row>
    <row r="82" spans="2:57" s="1262" customFormat="1" ht="15.75" customHeight="1" x14ac:dyDescent="0.25">
      <c r="B82" s="1261" t="s">
        <v>1518</v>
      </c>
      <c r="C82" s="1248"/>
      <c r="D82" s="1199" t="str">
        <f>IFERROR(D78/#REF!," ")</f>
        <v xml:space="preserve"> </v>
      </c>
      <c r="E82" s="1199" t="str">
        <f>IFERROR(E78/#REF!," ")</f>
        <v xml:space="preserve"> </v>
      </c>
      <c r="F82" s="1199" t="str">
        <f>IFERROR(F78/#REF!," ")</f>
        <v xml:space="preserve"> </v>
      </c>
      <c r="G82" s="1199" t="str">
        <f>IFERROR(G78/#REF!," ")</f>
        <v xml:space="preserve"> </v>
      </c>
      <c r="H82" s="1199" t="str">
        <f>IFERROR(H78/#REF!," ")</f>
        <v xml:space="preserve"> </v>
      </c>
      <c r="I82" s="1199" t="str">
        <f>IFERROR(I78/I12," ")</f>
        <v xml:space="preserve"> </v>
      </c>
      <c r="J82" s="1251"/>
      <c r="K82" s="1251"/>
      <c r="L82" s="1251"/>
      <c r="M82" s="1251"/>
      <c r="N82" s="1251"/>
      <c r="O82" s="1251"/>
      <c r="P82" s="1252"/>
      <c r="Q82" s="1253"/>
      <c r="R82" s="1253"/>
      <c r="S82" s="1253"/>
      <c r="T82" s="1253"/>
      <c r="U82" s="1253"/>
      <c r="V82" s="1253"/>
      <c r="W82" s="1253"/>
      <c r="X82" s="1253"/>
      <c r="Y82" s="1253"/>
      <c r="Z82" s="1253"/>
      <c r="AA82" s="1253"/>
      <c r="AB82" s="1200"/>
      <c r="AC82" s="1200"/>
      <c r="AD82" s="1200"/>
      <c r="AE82" s="1199"/>
      <c r="AF82" s="1199"/>
      <c r="AG82" s="1199"/>
      <c r="AH82" s="1199"/>
      <c r="AI82" s="1199"/>
      <c r="AJ82" s="1199"/>
      <c r="AK82" s="1199"/>
      <c r="AL82" s="1199"/>
      <c r="AM82" s="1199"/>
      <c r="AN82" s="1199"/>
      <c r="AO82" s="1199"/>
      <c r="AP82" s="1199"/>
      <c r="AQ82" s="1199"/>
      <c r="AR82" s="1199"/>
      <c r="AS82" s="1199"/>
      <c r="AT82" s="1199"/>
      <c r="AU82" s="1199"/>
      <c r="AV82" s="1199"/>
      <c r="AW82" s="1199"/>
      <c r="AX82" s="1199"/>
      <c r="AY82" s="1199"/>
      <c r="AZ82" s="1199"/>
      <c r="BA82" s="1199"/>
    </row>
    <row r="83" spans="2:57" x14ac:dyDescent="0.25">
      <c r="P83" s="1238"/>
      <c r="S83" s="781"/>
      <c r="T83" s="781"/>
      <c r="U83" s="781"/>
      <c r="V83" s="781"/>
      <c r="W83" s="781"/>
      <c r="X83" s="781"/>
      <c r="Y83" s="781"/>
      <c r="Z83" s="781"/>
      <c r="AA83" s="781"/>
      <c r="AB83" s="781"/>
      <c r="AC83" s="781"/>
      <c r="AD83" s="781"/>
      <c r="AE83" s="781"/>
      <c r="AF83" s="781"/>
      <c r="AG83" s="781"/>
      <c r="AH83" s="781"/>
      <c r="AI83" s="781"/>
      <c r="AJ83" s="781"/>
      <c r="AK83" s="781"/>
      <c r="AL83" s="781"/>
      <c r="AM83" s="781"/>
      <c r="AN83" s="781"/>
      <c r="AO83" s="781"/>
      <c r="AP83" s="781"/>
      <c r="AQ83" s="781"/>
      <c r="AR83" s="781"/>
      <c r="AS83" s="781"/>
      <c r="AT83" s="781"/>
      <c r="AU83" s="781"/>
      <c r="AV83" s="781"/>
      <c r="AW83" s="781"/>
      <c r="AX83" s="781"/>
      <c r="AY83" s="781"/>
      <c r="AZ83" s="781"/>
      <c r="BA83" s="781"/>
    </row>
    <row r="84" spans="2:57" x14ac:dyDescent="0.25">
      <c r="P84" s="1238"/>
      <c r="S84" s="781"/>
      <c r="T84" s="781"/>
      <c r="U84" s="781"/>
      <c r="V84" s="781"/>
      <c r="W84" s="781"/>
      <c r="X84" s="781"/>
      <c r="Y84" s="781"/>
      <c r="Z84" s="781"/>
      <c r="AA84" s="781"/>
      <c r="AB84" s="781"/>
      <c r="AC84" s="781"/>
      <c r="AD84" s="781"/>
      <c r="AE84" s="781"/>
      <c r="AF84" s="781"/>
      <c r="AG84" s="781"/>
      <c r="AH84" s="781"/>
      <c r="AI84" s="781"/>
      <c r="AJ84" s="781"/>
      <c r="AK84" s="781"/>
      <c r="AL84" s="781"/>
      <c r="AM84" s="781"/>
      <c r="AN84" s="781"/>
      <c r="AO84" s="781"/>
      <c r="AP84" s="781"/>
      <c r="AQ84" s="781"/>
      <c r="AR84" s="781"/>
      <c r="AS84" s="781"/>
      <c r="AT84" s="781"/>
      <c r="AU84" s="781"/>
      <c r="AV84" s="781"/>
      <c r="AW84" s="781"/>
      <c r="AX84" s="781"/>
      <c r="AY84" s="781"/>
      <c r="AZ84" s="781"/>
      <c r="BA84" s="781"/>
    </row>
    <row r="85" spans="2:57" s="1176" customFormat="1" ht="21" customHeight="1" x14ac:dyDescent="0.3">
      <c r="B85" s="1173" t="s">
        <v>410</v>
      </c>
      <c r="C85" s="1174"/>
      <c r="D85" s="1174"/>
      <c r="E85" s="1174"/>
      <c r="F85" s="1174"/>
      <c r="G85" s="1174"/>
      <c r="H85" s="1174"/>
      <c r="I85" s="1174"/>
      <c r="J85" s="1174"/>
      <c r="K85" s="1174"/>
      <c r="L85" s="1174"/>
      <c r="M85" s="1174"/>
      <c r="N85" s="1174"/>
      <c r="O85" s="1174"/>
      <c r="P85" s="1175"/>
      <c r="Q85" s="1174"/>
      <c r="R85" s="1174"/>
      <c r="S85" s="1174"/>
      <c r="T85" s="1174"/>
      <c r="U85" s="1174"/>
      <c r="V85" s="1174"/>
      <c r="W85" s="1174"/>
      <c r="X85" s="1174"/>
      <c r="Y85" s="1174"/>
      <c r="Z85" s="1174"/>
      <c r="AA85" s="1174"/>
      <c r="AB85" s="1174"/>
      <c r="AC85" s="1174"/>
      <c r="AD85" s="1174"/>
      <c r="AE85" s="1174"/>
      <c r="AF85" s="1174"/>
      <c r="AG85" s="1174"/>
      <c r="AH85" s="1174"/>
      <c r="AI85" s="1174"/>
      <c r="AJ85" s="1174"/>
      <c r="AK85" s="1174"/>
      <c r="AL85" s="1174"/>
      <c r="AM85" s="1174"/>
      <c r="AN85" s="1174"/>
      <c r="AO85" s="1174"/>
      <c r="AP85" s="1174"/>
      <c r="AQ85" s="1174"/>
      <c r="AR85" s="1174"/>
      <c r="AS85" s="1174"/>
      <c r="AT85" s="1174"/>
      <c r="AU85" s="1174"/>
      <c r="AV85" s="1174"/>
      <c r="AW85" s="1174"/>
      <c r="AX85" s="1174"/>
      <c r="AY85" s="1174"/>
      <c r="AZ85" s="1174"/>
      <c r="BA85" s="1174"/>
    </row>
    <row r="86" spans="2:57" ht="25.2" customHeight="1" x14ac:dyDescent="0.25">
      <c r="D86" s="1268">
        <f>10^9</f>
        <v>1000000000</v>
      </c>
      <c r="M86" s="642"/>
      <c r="N86" s="642"/>
      <c r="O86" s="642"/>
      <c r="P86" s="737"/>
      <c r="Q86" s="642"/>
      <c r="R86" s="642"/>
    </row>
    <row r="87" spans="2:57" s="117" customFormat="1" ht="34.200000000000003" customHeight="1" x14ac:dyDescent="0.25">
      <c r="B87" s="117" t="s">
        <v>1519</v>
      </c>
      <c r="I87" s="1203"/>
      <c r="J87" s="1203">
        <f>-'IS Raw'!J30/'Consol. Rev.'!$B$1</f>
        <v>222.09589608499999</v>
      </c>
      <c r="K87" s="1203">
        <f>-'IS Raw'!K30/'Consol. Rev.'!$B$1</f>
        <v>260.80345499600003</v>
      </c>
      <c r="L87" s="1203">
        <f>-'IS Raw'!L30/'Consol. Rev.'!$B$1</f>
        <v>210.957435113</v>
      </c>
      <c r="M87" s="1203">
        <f>-'IS Raw'!M30/'Consol. Rev.'!$B$1</f>
        <v>174.049858919</v>
      </c>
      <c r="N87" s="1203">
        <f>-'IS Raw'!N30/'Consol. Rev.'!$B$1</f>
        <v>169.937788281</v>
      </c>
      <c r="O87" s="1203">
        <f>-'IS Raw'!O30/'Consol. Rev.'!$B$1</f>
        <v>220.85512802299999</v>
      </c>
      <c r="P87" s="1204">
        <f>-'IS Raw'!P30/'Consol. Rev.'!$B$1</f>
        <v>276.43932295000002</v>
      </c>
      <c r="Q87" s="1205">
        <f>SUM(Q89,Q91,Q93,Q95,Q97,Q99)</f>
        <v>271.18672571559631</v>
      </c>
      <c r="R87" s="1205">
        <f t="shared" ref="R87:AA87" si="92">SUM(R89,R91,R93,R95,R97,R99)</f>
        <v>282.91744085847824</v>
      </c>
      <c r="S87" s="1205">
        <f t="shared" si="92"/>
        <v>357.18495929461858</v>
      </c>
      <c r="T87" s="1205">
        <f t="shared" si="92"/>
        <v>380.98746488788578</v>
      </c>
      <c r="U87" s="1205">
        <f t="shared" si="92"/>
        <v>404.88098771891038</v>
      </c>
      <c r="V87" s="1205">
        <f t="shared" si="92"/>
        <v>424.59320902321519</v>
      </c>
      <c r="W87" s="1205">
        <f t="shared" si="92"/>
        <v>449.18936845783617</v>
      </c>
      <c r="X87" s="1205">
        <f t="shared" si="92"/>
        <v>466.53898555738635</v>
      </c>
      <c r="Y87" s="1205">
        <f t="shared" si="92"/>
        <v>485.32069740488822</v>
      </c>
      <c r="Z87" s="1205">
        <f t="shared" si="92"/>
        <v>505.67576541232199</v>
      </c>
      <c r="AA87" s="1205">
        <f t="shared" si="92"/>
        <v>527.76001179988634</v>
      </c>
      <c r="AB87" s="1206"/>
      <c r="AC87" s="1206"/>
      <c r="AD87" s="1206"/>
      <c r="AE87" s="1206"/>
      <c r="AF87" s="1206"/>
      <c r="AG87" s="1206"/>
      <c r="AH87" s="1206"/>
      <c r="AI87" s="1206"/>
      <c r="AJ87" s="1206"/>
      <c r="AK87" s="1206"/>
      <c r="AL87" s="1206"/>
      <c r="AM87" s="1206"/>
      <c r="AN87" s="1206"/>
      <c r="AO87" s="1206"/>
      <c r="AP87" s="1206"/>
      <c r="AQ87" s="1206"/>
      <c r="AR87" s="1206"/>
      <c r="AS87" s="1206"/>
      <c r="AT87" s="1206"/>
      <c r="AU87" s="1206"/>
      <c r="AV87" s="1206"/>
      <c r="AW87" s="1206"/>
      <c r="AX87" s="1206"/>
      <c r="AY87" s="1206"/>
      <c r="AZ87" s="1206"/>
      <c r="BA87" s="1206"/>
      <c r="BE87" s="196"/>
    </row>
    <row r="88" spans="2:57" s="692" customFormat="1" ht="30.6" customHeight="1" x14ac:dyDescent="0.25">
      <c r="B88" s="1269" t="s">
        <v>1520</v>
      </c>
      <c r="D88" s="1208"/>
      <c r="E88" s="1208"/>
      <c r="F88" s="1208"/>
      <c r="G88" s="1208"/>
      <c r="H88" s="1208"/>
      <c r="I88" s="1208"/>
      <c r="J88" s="196">
        <f t="shared" ref="J88:Q88" si="93">J87/J12</f>
        <v>0.18129270325346558</v>
      </c>
      <c r="K88" s="196">
        <f t="shared" si="93"/>
        <v>0.18831909128274313</v>
      </c>
      <c r="L88" s="196">
        <f t="shared" si="93"/>
        <v>0.15196172857204449</v>
      </c>
      <c r="M88" s="196">
        <f t="shared" si="93"/>
        <v>0.12423043404752594</v>
      </c>
      <c r="N88" s="196">
        <f t="shared" si="93"/>
        <v>0.1346864385199964</v>
      </c>
      <c r="O88" s="196">
        <f t="shared" si="93"/>
        <v>0.17570683903629883</v>
      </c>
      <c r="P88" s="1196">
        <f t="shared" si="93"/>
        <v>0.17737475414500689</v>
      </c>
      <c r="Q88" s="1210">
        <f t="shared" si="93"/>
        <v>0.16193885555101162</v>
      </c>
      <c r="R88" s="1210">
        <f t="shared" ref="R88:AA88" si="94">R87/R12</f>
        <v>0.16193885555101162</v>
      </c>
      <c r="S88" s="1210">
        <f t="shared" si="94"/>
        <v>0.16193885555101162</v>
      </c>
      <c r="T88" s="1210">
        <f t="shared" si="94"/>
        <v>0.16193885555101162</v>
      </c>
      <c r="U88" s="1210">
        <f t="shared" si="94"/>
        <v>0.16193885555101162</v>
      </c>
      <c r="V88" s="1210">
        <f t="shared" si="94"/>
        <v>0.16193885555101162</v>
      </c>
      <c r="W88" s="1210">
        <f t="shared" si="94"/>
        <v>0.16193885555101162</v>
      </c>
      <c r="X88" s="1210">
        <f t="shared" si="94"/>
        <v>0.16193885555101162</v>
      </c>
      <c r="Y88" s="1210">
        <f t="shared" si="94"/>
        <v>0.16193885555101162</v>
      </c>
      <c r="Z88" s="1210">
        <f t="shared" si="94"/>
        <v>0.16193885555101162</v>
      </c>
      <c r="AA88" s="1210">
        <f t="shared" si="94"/>
        <v>0.16193885555101165</v>
      </c>
      <c r="AB88" s="1210"/>
      <c r="AC88" s="1210"/>
      <c r="AD88" s="1210"/>
      <c r="AE88" s="1210"/>
      <c r="AF88" s="1210"/>
      <c r="AG88" s="1210"/>
      <c r="AH88" s="1210"/>
      <c r="AI88" s="1210"/>
      <c r="AJ88" s="1210"/>
      <c r="AK88" s="1210"/>
      <c r="AL88" s="1210"/>
      <c r="AM88" s="1210"/>
      <c r="AN88" s="1210"/>
      <c r="AO88" s="1210"/>
      <c r="AP88" s="1210"/>
      <c r="AQ88" s="1210"/>
      <c r="AR88" s="1210"/>
      <c r="AS88" s="1210"/>
      <c r="AT88" s="1210"/>
      <c r="AU88" s="1210"/>
      <c r="AV88" s="1210"/>
      <c r="AW88" s="1210"/>
      <c r="AX88" s="1210"/>
      <c r="AY88" s="1210"/>
      <c r="AZ88" s="1210"/>
      <c r="BA88" s="1210"/>
      <c r="BC88" s="2355"/>
      <c r="BD88" s="117"/>
      <c r="BE88" s="196"/>
    </row>
    <row r="89" spans="2:57" s="124" customFormat="1" ht="28.2" customHeight="1" x14ac:dyDescent="0.25">
      <c r="B89" s="1270" t="s">
        <v>1521</v>
      </c>
      <c r="J89" s="204">
        <v>0</v>
      </c>
      <c r="K89" s="204">
        <v>0</v>
      </c>
      <c r="L89" s="204">
        <v>0</v>
      </c>
      <c r="M89" s="204">
        <v>0</v>
      </c>
      <c r="N89" s="204">
        <v>0</v>
      </c>
      <c r="O89" s="204">
        <v>0</v>
      </c>
      <c r="P89" s="1179">
        <v>0</v>
      </c>
      <c r="Q89" s="1181">
        <v>0</v>
      </c>
      <c r="R89" s="1181">
        <f>Q89</f>
        <v>0</v>
      </c>
      <c r="S89" s="1181">
        <f t="shared" ref="S89:AA89" si="95">R89</f>
        <v>0</v>
      </c>
      <c r="T89" s="1181">
        <f t="shared" si="95"/>
        <v>0</v>
      </c>
      <c r="U89" s="1181">
        <f t="shared" si="95"/>
        <v>0</v>
      </c>
      <c r="V89" s="1181">
        <f t="shared" si="95"/>
        <v>0</v>
      </c>
      <c r="W89" s="1181">
        <f t="shared" si="95"/>
        <v>0</v>
      </c>
      <c r="X89" s="1181">
        <f t="shared" si="95"/>
        <v>0</v>
      </c>
      <c r="Y89" s="1181">
        <f t="shared" si="95"/>
        <v>0</v>
      </c>
      <c r="Z89" s="1181">
        <f t="shared" si="95"/>
        <v>0</v>
      </c>
      <c r="AA89" s="1181">
        <f t="shared" si="95"/>
        <v>0</v>
      </c>
      <c r="AB89" s="1181"/>
      <c r="AC89" s="1181"/>
      <c r="AD89" s="1181"/>
      <c r="AE89" s="1181"/>
      <c r="AF89" s="1181"/>
      <c r="AG89" s="1181"/>
      <c r="AH89" s="1181"/>
      <c r="AI89" s="1181"/>
      <c r="AJ89" s="1181"/>
      <c r="AK89" s="1181"/>
      <c r="AL89" s="1181"/>
      <c r="AM89" s="1181"/>
      <c r="AN89" s="1181"/>
      <c r="AO89" s="1181"/>
      <c r="AP89" s="1181"/>
      <c r="AQ89" s="1181"/>
      <c r="AR89" s="1181"/>
      <c r="AS89" s="1181"/>
      <c r="AT89" s="1181"/>
      <c r="AU89" s="1181"/>
      <c r="AV89" s="1181"/>
      <c r="AW89" s="1181"/>
      <c r="AX89" s="1181"/>
      <c r="AY89" s="1181"/>
      <c r="AZ89" s="1181"/>
      <c r="BA89" s="1181"/>
      <c r="BC89" s="2355"/>
    </row>
    <row r="90" spans="2:57" s="124" customFormat="1" ht="28.2" customHeight="1" x14ac:dyDescent="0.25">
      <c r="B90" s="1271" t="s">
        <v>1522</v>
      </c>
      <c r="D90" s="196"/>
      <c r="E90" s="196"/>
      <c r="F90" s="196"/>
      <c r="G90" s="196"/>
      <c r="H90" s="196"/>
      <c r="I90" s="196"/>
      <c r="J90" s="196">
        <f t="shared" ref="J90:P90" si="96">J89/J12</f>
        <v>0</v>
      </c>
      <c r="K90" s="196">
        <f t="shared" si="96"/>
        <v>0</v>
      </c>
      <c r="L90" s="196">
        <f t="shared" si="96"/>
        <v>0</v>
      </c>
      <c r="M90" s="196">
        <f t="shared" si="96"/>
        <v>0</v>
      </c>
      <c r="N90" s="196">
        <f t="shared" si="96"/>
        <v>0</v>
      </c>
      <c r="O90" s="196">
        <f t="shared" si="96"/>
        <v>0</v>
      </c>
      <c r="P90" s="1196">
        <f t="shared" si="96"/>
        <v>0</v>
      </c>
      <c r="Q90" s="274">
        <f>Q89/J12</f>
        <v>0</v>
      </c>
      <c r="R90" s="274">
        <f t="shared" ref="R90:AA90" si="97">R89/K12</f>
        <v>0</v>
      </c>
      <c r="S90" s="274">
        <f t="shared" si="97"/>
        <v>0</v>
      </c>
      <c r="T90" s="274">
        <f t="shared" si="97"/>
        <v>0</v>
      </c>
      <c r="U90" s="274">
        <f t="shared" si="97"/>
        <v>0</v>
      </c>
      <c r="V90" s="274">
        <f t="shared" si="97"/>
        <v>0</v>
      </c>
      <c r="W90" s="274">
        <f t="shared" si="97"/>
        <v>0</v>
      </c>
      <c r="X90" s="274">
        <f t="shared" si="97"/>
        <v>0</v>
      </c>
      <c r="Y90" s="274">
        <f t="shared" si="97"/>
        <v>0</v>
      </c>
      <c r="Z90" s="274">
        <f t="shared" si="97"/>
        <v>0</v>
      </c>
      <c r="AA90" s="274">
        <f t="shared" si="97"/>
        <v>0</v>
      </c>
      <c r="AB90" s="274"/>
      <c r="AC90" s="274"/>
      <c r="AD90" s="274"/>
      <c r="AE90" s="274"/>
      <c r="AF90" s="274"/>
      <c r="AG90" s="274"/>
      <c r="AH90" s="274"/>
      <c r="AI90" s="274"/>
      <c r="AJ90" s="274"/>
      <c r="AK90" s="274"/>
      <c r="AL90" s="274"/>
      <c r="AM90" s="274"/>
      <c r="AN90" s="274"/>
      <c r="AO90" s="274"/>
      <c r="AP90" s="274"/>
      <c r="AQ90" s="274"/>
      <c r="AR90" s="274"/>
      <c r="AS90" s="274"/>
      <c r="AT90" s="274"/>
      <c r="AU90" s="274"/>
      <c r="AV90" s="274"/>
      <c r="AW90" s="274"/>
      <c r="AX90" s="274"/>
      <c r="AY90" s="274"/>
      <c r="AZ90" s="274"/>
      <c r="BA90" s="274"/>
    </row>
    <row r="91" spans="2:57" s="124" customFormat="1" ht="34.200000000000003" customHeight="1" x14ac:dyDescent="0.25">
      <c r="B91" s="1270" t="s">
        <v>1523</v>
      </c>
      <c r="J91" s="204">
        <f>82618649636/D86</f>
        <v>82.618649636000001</v>
      </c>
      <c r="K91" s="204">
        <f>129989062484/D86</f>
        <v>129.98906248399999</v>
      </c>
      <c r="L91" s="204">
        <f>86312749591/D86</f>
        <v>86.312749590999999</v>
      </c>
      <c r="M91" s="204">
        <f>75464333907/D86</f>
        <v>75.464333906999997</v>
      </c>
      <c r="N91" s="204">
        <f>77489792147/D86</f>
        <v>77.489792147000003</v>
      </c>
      <c r="O91" s="204">
        <f>117686018668/D86</f>
        <v>117.686018668</v>
      </c>
      <c r="P91" s="1179">
        <f>(73786773386+41081857108+45312619582)/D86</f>
        <v>160.181250076</v>
      </c>
      <c r="Q91" s="1180">
        <f>Q92*Q12</f>
        <v>128.02802250365897</v>
      </c>
      <c r="R91" s="1180">
        <f t="shared" ref="R91:AA91" si="98">R92*R12</f>
        <v>133.56612639990928</v>
      </c>
      <c r="S91" s="1180">
        <f t="shared" si="98"/>
        <v>168.62803253319404</v>
      </c>
      <c r="T91" s="1180">
        <f t="shared" si="98"/>
        <v>179.86526294591783</v>
      </c>
      <c r="U91" s="1180">
        <f t="shared" si="98"/>
        <v>191.1454628547815</v>
      </c>
      <c r="V91" s="1180">
        <f t="shared" si="98"/>
        <v>200.45165845150609</v>
      </c>
      <c r="W91" s="1180">
        <f t="shared" si="98"/>
        <v>212.06357509414335</v>
      </c>
      <c r="X91" s="1180">
        <f t="shared" si="98"/>
        <v>220.25437854364765</v>
      </c>
      <c r="Y91" s="1180">
        <f t="shared" si="98"/>
        <v>229.1212779861778</v>
      </c>
      <c r="Z91" s="1180">
        <f t="shared" si="98"/>
        <v>238.73096333505538</v>
      </c>
      <c r="AA91" s="1180">
        <f t="shared" si="98"/>
        <v>249.15699870246723</v>
      </c>
      <c r="AB91" s="1181"/>
      <c r="AC91" s="1181"/>
      <c r="AD91" s="1181"/>
      <c r="AE91" s="1181"/>
      <c r="AF91" s="1181"/>
      <c r="AG91" s="1181"/>
      <c r="AH91" s="1181"/>
      <c r="AI91" s="1181"/>
      <c r="AJ91" s="1181"/>
      <c r="AK91" s="1181"/>
      <c r="AL91" s="1181"/>
      <c r="AM91" s="1181"/>
      <c r="AN91" s="1181"/>
      <c r="AO91" s="1181"/>
      <c r="AP91" s="1181"/>
      <c r="AQ91" s="1181"/>
      <c r="AR91" s="1181"/>
      <c r="AS91" s="1181"/>
      <c r="AT91" s="1181"/>
      <c r="AU91" s="1181"/>
      <c r="AV91" s="1181"/>
      <c r="AW91" s="1181"/>
      <c r="AX91" s="1181"/>
      <c r="AY91" s="1181"/>
      <c r="AZ91" s="1181"/>
      <c r="BA91" s="1181"/>
    </row>
    <row r="92" spans="2:57" s="124" customFormat="1" ht="39" customHeight="1" x14ac:dyDescent="0.25">
      <c r="B92" s="1271" t="s">
        <v>1522</v>
      </c>
      <c r="D92" s="196"/>
      <c r="E92" s="196"/>
      <c r="F92" s="196"/>
      <c r="G92" s="196"/>
      <c r="H92" s="196"/>
      <c r="I92" s="196"/>
      <c r="J92" s="196">
        <f>J91/J12</f>
        <v>6.7440049977010766E-2</v>
      </c>
      <c r="K92" s="196">
        <f t="shared" ref="K92:P92" si="99">K91/K12</f>
        <v>9.3861571442978145E-2</v>
      </c>
      <c r="L92" s="196">
        <f t="shared" si="99"/>
        <v>6.2174791889314705E-2</v>
      </c>
      <c r="M92" s="196">
        <f t="shared" si="99"/>
        <v>5.3863686041463542E-2</v>
      </c>
      <c r="N92" s="196">
        <f t="shared" si="99"/>
        <v>6.1415558196370339E-2</v>
      </c>
      <c r="O92" s="196">
        <f t="shared" si="99"/>
        <v>9.362806525718384E-2</v>
      </c>
      <c r="P92" s="1196">
        <f t="shared" si="99"/>
        <v>0.10277882881376217</v>
      </c>
      <c r="Q92" s="274">
        <f>AVERAGE(J92:P92)</f>
        <v>7.6451793088297651E-2</v>
      </c>
      <c r="R92" s="274">
        <f>Q92</f>
        <v>7.6451793088297651E-2</v>
      </c>
      <c r="S92" s="274">
        <f t="shared" ref="S92:AA92" si="100">R92</f>
        <v>7.6451793088297651E-2</v>
      </c>
      <c r="T92" s="274">
        <f t="shared" si="100"/>
        <v>7.6451793088297651E-2</v>
      </c>
      <c r="U92" s="274">
        <f t="shared" si="100"/>
        <v>7.6451793088297651E-2</v>
      </c>
      <c r="V92" s="274">
        <f t="shared" si="100"/>
        <v>7.6451793088297651E-2</v>
      </c>
      <c r="W92" s="274">
        <f t="shared" si="100"/>
        <v>7.6451793088297651E-2</v>
      </c>
      <c r="X92" s="274">
        <f t="shared" si="100"/>
        <v>7.6451793088297651E-2</v>
      </c>
      <c r="Y92" s="274">
        <f t="shared" si="100"/>
        <v>7.6451793088297651E-2</v>
      </c>
      <c r="Z92" s="274">
        <f t="shared" si="100"/>
        <v>7.6451793088297651E-2</v>
      </c>
      <c r="AA92" s="274">
        <f t="shared" si="100"/>
        <v>7.6451793088297651E-2</v>
      </c>
      <c r="AB92" s="274"/>
      <c r="AC92" s="274"/>
      <c r="AD92" s="274"/>
      <c r="AE92" s="274"/>
      <c r="AF92" s="274"/>
      <c r="AG92" s="274"/>
      <c r="AH92" s="274"/>
      <c r="AI92" s="274"/>
      <c r="AJ92" s="274"/>
      <c r="AK92" s="274"/>
      <c r="AL92" s="274"/>
      <c r="AM92" s="274"/>
      <c r="AN92" s="274"/>
      <c r="AO92" s="274"/>
      <c r="AP92" s="274"/>
      <c r="AQ92" s="274"/>
      <c r="AR92" s="274"/>
      <c r="AS92" s="274"/>
      <c r="AT92" s="274"/>
      <c r="AU92" s="274"/>
      <c r="AV92" s="274"/>
      <c r="AW92" s="274"/>
      <c r="AX92" s="274"/>
      <c r="AY92" s="274"/>
      <c r="AZ92" s="274"/>
      <c r="BA92" s="274"/>
    </row>
    <row r="93" spans="2:57" s="124" customFormat="1" ht="30" customHeight="1" x14ac:dyDescent="0.25">
      <c r="B93" s="1270" t="s">
        <v>1524</v>
      </c>
      <c r="J93" s="204">
        <f>2807200031/D86</f>
        <v>2.8072000309999998</v>
      </c>
      <c r="K93" s="204">
        <f>4474307228/D86</f>
        <v>4.4743072279999998</v>
      </c>
      <c r="L93" s="204">
        <f>5759145827/D86</f>
        <v>5.7591458270000002</v>
      </c>
      <c r="M93" s="204">
        <f>4973811530/D86</f>
        <v>4.9738115299999999</v>
      </c>
      <c r="N93" s="204">
        <f>5261000162/D86</f>
        <v>5.2610001620000002</v>
      </c>
      <c r="O93" s="204">
        <f>5756726433/D86</f>
        <v>5.7567264329999999</v>
      </c>
      <c r="P93" s="1179">
        <f>(2521643474+1089489562+1091074360)/D86</f>
        <v>4.7022073960000004</v>
      </c>
      <c r="Q93" s="1180">
        <f>Q94*Q12</f>
        <v>5.9778432553741254</v>
      </c>
      <c r="R93" s="1180">
        <f t="shared" ref="R93:AA93" si="101">R94*R12</f>
        <v>6.2364266215494082</v>
      </c>
      <c r="S93" s="1180">
        <f t="shared" si="101"/>
        <v>7.8735258674854061</v>
      </c>
      <c r="T93" s="1180">
        <f t="shared" si="101"/>
        <v>8.3982110162376333</v>
      </c>
      <c r="U93" s="1180">
        <f t="shared" si="101"/>
        <v>8.9249024828854555</v>
      </c>
      <c r="V93" s="1180">
        <f t="shared" si="101"/>
        <v>9.3594243749929635</v>
      </c>
      <c r="W93" s="1180">
        <f t="shared" si="101"/>
        <v>9.9016042527003751</v>
      </c>
      <c r="X93" s="1180">
        <f t="shared" si="101"/>
        <v>10.284046613358685</v>
      </c>
      <c r="Y93" s="1180">
        <f t="shared" si="101"/>
        <v>10.698057030703799</v>
      </c>
      <c r="Z93" s="1180">
        <f t="shared" si="101"/>
        <v>11.146749368722325</v>
      </c>
      <c r="AA93" s="1180">
        <f t="shared" si="101"/>
        <v>11.63355845928368</v>
      </c>
      <c r="AB93" s="1181"/>
      <c r="AC93" s="1181"/>
      <c r="AD93" s="1181"/>
      <c r="AE93" s="1181"/>
      <c r="AF93" s="1181"/>
      <c r="AG93" s="1181"/>
      <c r="AH93" s="1181"/>
      <c r="AI93" s="1181"/>
      <c r="AJ93" s="1181"/>
      <c r="AK93" s="1181"/>
      <c r="AL93" s="1181"/>
      <c r="AM93" s="1181"/>
      <c r="AN93" s="1181"/>
      <c r="AO93" s="1181"/>
      <c r="AP93" s="1181"/>
      <c r="AQ93" s="1181"/>
      <c r="AR93" s="1181"/>
      <c r="AS93" s="1181"/>
      <c r="AT93" s="1181"/>
      <c r="AU93" s="1181"/>
      <c r="AV93" s="1181"/>
      <c r="AW93" s="1181"/>
      <c r="AX93" s="1181"/>
      <c r="AY93" s="1181"/>
      <c r="AZ93" s="1181"/>
      <c r="BA93" s="1181"/>
    </row>
    <row r="94" spans="2:57" s="124" customFormat="1" ht="24.75" customHeight="1" x14ac:dyDescent="0.25">
      <c r="B94" s="1271" t="s">
        <v>1522</v>
      </c>
      <c r="D94" s="196"/>
      <c r="E94" s="196"/>
      <c r="F94" s="196"/>
      <c r="G94" s="196"/>
      <c r="H94" s="196"/>
      <c r="I94" s="196"/>
      <c r="J94" s="196">
        <f>J93/J12</f>
        <v>2.2914645932873424E-3</v>
      </c>
      <c r="K94" s="196">
        <f t="shared" ref="K94:P94" si="102">K93/K12</f>
        <v>3.2307757246148915E-3</v>
      </c>
      <c r="L94" s="196">
        <f t="shared" si="102"/>
        <v>4.148560843568321E-3</v>
      </c>
      <c r="M94" s="196">
        <f t="shared" si="102"/>
        <v>3.5501250565796163E-3</v>
      </c>
      <c r="N94" s="196">
        <f t="shared" si="102"/>
        <v>4.1696751619553002E-3</v>
      </c>
      <c r="O94" s="196">
        <f t="shared" si="102"/>
        <v>4.5799081678275537E-3</v>
      </c>
      <c r="P94" s="1196">
        <f t="shared" si="102"/>
        <v>3.017128214263459E-3</v>
      </c>
      <c r="Q94" s="274">
        <f>AVERAGE(J94:P94)</f>
        <v>3.5696625374423553E-3</v>
      </c>
      <c r="R94" s="274">
        <f>Q94</f>
        <v>3.5696625374423553E-3</v>
      </c>
      <c r="S94" s="274">
        <f t="shared" ref="S94:AA94" si="103">R94</f>
        <v>3.5696625374423553E-3</v>
      </c>
      <c r="T94" s="274">
        <f t="shared" si="103"/>
        <v>3.5696625374423553E-3</v>
      </c>
      <c r="U94" s="274">
        <f t="shared" si="103"/>
        <v>3.5696625374423553E-3</v>
      </c>
      <c r="V94" s="274">
        <f t="shared" si="103"/>
        <v>3.5696625374423553E-3</v>
      </c>
      <c r="W94" s="274">
        <f t="shared" si="103"/>
        <v>3.5696625374423553E-3</v>
      </c>
      <c r="X94" s="274">
        <f t="shared" si="103"/>
        <v>3.5696625374423553E-3</v>
      </c>
      <c r="Y94" s="274">
        <f t="shared" si="103"/>
        <v>3.5696625374423553E-3</v>
      </c>
      <c r="Z94" s="274">
        <f t="shared" si="103"/>
        <v>3.5696625374423553E-3</v>
      </c>
      <c r="AA94" s="274">
        <f t="shared" si="103"/>
        <v>3.5696625374423553E-3</v>
      </c>
      <c r="AB94" s="274"/>
      <c r="AC94" s="274"/>
      <c r="AD94" s="274"/>
      <c r="AE94" s="274"/>
      <c r="AF94" s="274"/>
      <c r="AG94" s="274"/>
      <c r="AH94" s="274"/>
      <c r="AI94" s="274"/>
      <c r="AJ94" s="274"/>
      <c r="AK94" s="274"/>
      <c r="AL94" s="274"/>
      <c r="AM94" s="274"/>
      <c r="AN94" s="274"/>
      <c r="AO94" s="274"/>
      <c r="AP94" s="274"/>
      <c r="AQ94" s="274"/>
      <c r="AR94" s="274"/>
      <c r="AS94" s="274"/>
      <c r="AT94" s="274"/>
      <c r="AU94" s="274"/>
      <c r="AV94" s="274"/>
      <c r="AW94" s="274"/>
      <c r="AX94" s="274"/>
      <c r="AY94" s="274"/>
      <c r="AZ94" s="274"/>
      <c r="BA94" s="274"/>
    </row>
    <row r="95" spans="2:57" s="124" customFormat="1" ht="30" customHeight="1" x14ac:dyDescent="0.25">
      <c r="B95" s="1270" t="s">
        <v>1525</v>
      </c>
      <c r="J95" s="204">
        <f>43477322871/D86</f>
        <v>43.477322870999998</v>
      </c>
      <c r="K95" s="204">
        <f>49608916070/D86</f>
        <v>49.608916069999999</v>
      </c>
      <c r="L95" s="204">
        <f>48169889666/D86</f>
        <v>48.169889666000003</v>
      </c>
      <c r="M95" s="204">
        <f>42957411731/D86</f>
        <v>42.957411731000001</v>
      </c>
      <c r="N95" s="204">
        <f>44360098297/D86</f>
        <v>44.360098297</v>
      </c>
      <c r="O95" s="204">
        <f>46680883197/D86</f>
        <v>46.680883197</v>
      </c>
      <c r="P95" s="1179">
        <f>(20381472822+15741472659+32953364987)/D86</f>
        <v>69.076310468000003</v>
      </c>
      <c r="Q95" s="1180">
        <f>Q96*Q12</f>
        <v>60.595023156007549</v>
      </c>
      <c r="R95" s="1180">
        <f t="shared" ref="R95:AA95" si="104">R96*R12</f>
        <v>63.216180050187276</v>
      </c>
      <c r="S95" s="1180">
        <f t="shared" si="104"/>
        <v>79.810804980674149</v>
      </c>
      <c r="T95" s="1180">
        <f t="shared" si="104"/>
        <v>85.129329970380439</v>
      </c>
      <c r="U95" s="1180">
        <f t="shared" si="104"/>
        <v>90.468192207844538</v>
      </c>
      <c r="V95" s="1180">
        <f t="shared" si="104"/>
        <v>94.872768070615095</v>
      </c>
      <c r="W95" s="1180">
        <f t="shared" si="104"/>
        <v>100.36863018022571</v>
      </c>
      <c r="X95" s="1180">
        <f t="shared" si="104"/>
        <v>104.24529651454196</v>
      </c>
      <c r="Y95" s="1180">
        <f t="shared" si="104"/>
        <v>108.44195570317194</v>
      </c>
      <c r="Z95" s="1180">
        <f t="shared" si="104"/>
        <v>112.99017174876883</v>
      </c>
      <c r="AA95" s="1180">
        <f t="shared" si="104"/>
        <v>117.92476217795101</v>
      </c>
      <c r="AB95" s="1181"/>
      <c r="AC95" s="1181"/>
      <c r="AD95" s="1181"/>
      <c r="AE95" s="1181"/>
      <c r="AF95" s="1181"/>
      <c r="AG95" s="1181"/>
      <c r="AH95" s="1181"/>
      <c r="AI95" s="1181"/>
      <c r="AJ95" s="1181"/>
      <c r="AK95" s="1181"/>
      <c r="AL95" s="1181"/>
      <c r="AM95" s="1181"/>
      <c r="AN95" s="1181"/>
      <c r="AO95" s="1181"/>
      <c r="AP95" s="1181"/>
      <c r="AQ95" s="1181"/>
      <c r="AR95" s="1181"/>
      <c r="AS95" s="1181"/>
      <c r="AT95" s="1181"/>
      <c r="AU95" s="1181"/>
      <c r="AV95" s="1181"/>
      <c r="AW95" s="1181"/>
      <c r="AX95" s="1181"/>
      <c r="AY95" s="1181"/>
      <c r="AZ95" s="1181"/>
      <c r="BA95" s="1181"/>
    </row>
    <row r="96" spans="2:57" s="124" customFormat="1" ht="22.5" customHeight="1" x14ac:dyDescent="0.25">
      <c r="B96" s="1271" t="s">
        <v>1522</v>
      </c>
      <c r="D96" s="196"/>
      <c r="E96" s="196"/>
      <c r="F96" s="196"/>
      <c r="G96" s="196"/>
      <c r="H96" s="196"/>
      <c r="I96" s="196"/>
      <c r="J96" s="196">
        <f>J95/J12</f>
        <v>3.5489721027941415E-2</v>
      </c>
      <c r="K96" s="196">
        <f t="shared" ref="K96:P96" si="105">K95/K12</f>
        <v>3.5821250887828754E-2</v>
      </c>
      <c r="L96" s="196">
        <f t="shared" si="105"/>
        <v>3.4698846688428181E-2</v>
      </c>
      <c r="M96" s="196">
        <f t="shared" si="105"/>
        <v>3.0661431948554401E-2</v>
      </c>
      <c r="N96" s="196">
        <f t="shared" si="105"/>
        <v>3.5158181782032137E-2</v>
      </c>
      <c r="O96" s="196">
        <f t="shared" si="105"/>
        <v>3.7138147994976008E-2</v>
      </c>
      <c r="P96" s="1196">
        <f t="shared" si="105"/>
        <v>4.4322180563008302E-2</v>
      </c>
      <c r="Q96" s="274">
        <f>AVERAGE(J96:P96)</f>
        <v>3.6184251556109888E-2</v>
      </c>
      <c r="R96" s="274">
        <f>Q96</f>
        <v>3.6184251556109888E-2</v>
      </c>
      <c r="S96" s="274">
        <f t="shared" ref="S96:AA96" si="106">R96</f>
        <v>3.6184251556109888E-2</v>
      </c>
      <c r="T96" s="274">
        <f t="shared" si="106"/>
        <v>3.6184251556109888E-2</v>
      </c>
      <c r="U96" s="274">
        <f t="shared" si="106"/>
        <v>3.6184251556109888E-2</v>
      </c>
      <c r="V96" s="274">
        <f t="shared" si="106"/>
        <v>3.6184251556109888E-2</v>
      </c>
      <c r="W96" s="274">
        <f t="shared" si="106"/>
        <v>3.6184251556109888E-2</v>
      </c>
      <c r="X96" s="274">
        <f t="shared" si="106"/>
        <v>3.6184251556109888E-2</v>
      </c>
      <c r="Y96" s="274">
        <f t="shared" si="106"/>
        <v>3.6184251556109888E-2</v>
      </c>
      <c r="Z96" s="274">
        <f t="shared" si="106"/>
        <v>3.6184251556109888E-2</v>
      </c>
      <c r="AA96" s="274">
        <f t="shared" si="106"/>
        <v>3.6184251556109888E-2</v>
      </c>
      <c r="AB96" s="274"/>
      <c r="AC96" s="274"/>
      <c r="AD96" s="274"/>
      <c r="AE96" s="274"/>
      <c r="AF96" s="274"/>
      <c r="AG96" s="274"/>
      <c r="AH96" s="274"/>
      <c r="AI96" s="274"/>
      <c r="AJ96" s="274"/>
      <c r="AK96" s="274"/>
      <c r="AL96" s="274"/>
      <c r="AM96" s="274"/>
      <c r="AN96" s="274"/>
      <c r="AO96" s="274"/>
      <c r="AP96" s="274"/>
      <c r="AQ96" s="274"/>
      <c r="AR96" s="274"/>
      <c r="AS96" s="274"/>
      <c r="AT96" s="274"/>
      <c r="AU96" s="274"/>
      <c r="AV96" s="274"/>
      <c r="AW96" s="274"/>
      <c r="AX96" s="274"/>
      <c r="AY96" s="274"/>
      <c r="AZ96" s="274"/>
      <c r="BA96" s="274"/>
    </row>
    <row r="97" spans="2:57" s="124" customFormat="1" ht="21.75" customHeight="1" x14ac:dyDescent="0.25">
      <c r="B97" s="1270" t="s">
        <v>1526</v>
      </c>
      <c r="J97" s="204">
        <f>93192723547/D86</f>
        <v>93.192723547</v>
      </c>
      <c r="K97" s="204">
        <f>76731169214/D86</f>
        <v>76.731169214000005</v>
      </c>
      <c r="L97" s="204">
        <f>70715650029/D86</f>
        <v>70.715650029000003</v>
      </c>
      <c r="M97" s="204">
        <f>50654301751/D86</f>
        <v>50.654301750999998</v>
      </c>
      <c r="N97" s="204">
        <f>42826897675/D86</f>
        <v>42.826897674999998</v>
      </c>
      <c r="O97" s="204">
        <f>50731499725/D86</f>
        <v>50.731499724999999</v>
      </c>
      <c r="P97" s="1179">
        <f>(23596377770+32234682042-13351504802)/D86</f>
        <v>42.479555009999999</v>
      </c>
      <c r="Q97" s="1180">
        <f>Q98*Q12</f>
        <v>76.58583680055564</v>
      </c>
      <c r="R97" s="1180">
        <f t="shared" ref="R97:AA97" si="107">R98*R12</f>
        <v>79.898707786832304</v>
      </c>
      <c r="S97" s="1180">
        <f t="shared" si="107"/>
        <v>100.87259591326499</v>
      </c>
      <c r="T97" s="1180">
        <f t="shared" si="107"/>
        <v>107.59466095534988</v>
      </c>
      <c r="U97" s="1180">
        <f t="shared" si="107"/>
        <v>114.34243017339888</v>
      </c>
      <c r="V97" s="1180">
        <f t="shared" si="107"/>
        <v>119.90935812610104</v>
      </c>
      <c r="W97" s="1180">
        <f t="shared" si="107"/>
        <v>126.85555893076672</v>
      </c>
      <c r="X97" s="1180">
        <f t="shared" si="107"/>
        <v>131.75526388583808</v>
      </c>
      <c r="Y97" s="1180">
        <f t="shared" si="107"/>
        <v>137.05940668483464</v>
      </c>
      <c r="Z97" s="1180">
        <f t="shared" si="107"/>
        <v>142.80788095977545</v>
      </c>
      <c r="AA97" s="1180">
        <f t="shared" si="107"/>
        <v>149.04469246018431</v>
      </c>
      <c r="AB97" s="1181"/>
      <c r="AC97" s="1181"/>
      <c r="AD97" s="1181"/>
      <c r="AE97" s="1181"/>
      <c r="AF97" s="1181"/>
      <c r="AG97" s="1181"/>
      <c r="AH97" s="1181"/>
      <c r="AI97" s="1181"/>
      <c r="AJ97" s="1181"/>
      <c r="AK97" s="1181"/>
      <c r="AL97" s="1181"/>
      <c r="AM97" s="1181"/>
      <c r="AN97" s="1181"/>
      <c r="AO97" s="1181"/>
      <c r="AP97" s="1181"/>
      <c r="AQ97" s="1181"/>
      <c r="AR97" s="1181"/>
      <c r="AS97" s="1181"/>
      <c r="AT97" s="1181"/>
      <c r="AU97" s="1181"/>
      <c r="AV97" s="1181"/>
      <c r="AW97" s="1181"/>
      <c r="AX97" s="1181"/>
      <c r="AY97" s="1181"/>
      <c r="AZ97" s="1181"/>
      <c r="BA97" s="1181"/>
    </row>
    <row r="98" spans="2:57" s="124" customFormat="1" ht="24.75" customHeight="1" x14ac:dyDescent="0.25">
      <c r="B98" s="1271" t="s">
        <v>1522</v>
      </c>
      <c r="D98" s="196"/>
      <c r="E98" s="196"/>
      <c r="F98" s="196"/>
      <c r="G98" s="196"/>
      <c r="H98" s="196"/>
      <c r="I98" s="196"/>
      <c r="J98" s="196">
        <f>J97/J12</f>
        <v>7.6071467655226058E-2</v>
      </c>
      <c r="K98" s="196">
        <f t="shared" ref="K98:P98" si="108">K97/K12</f>
        <v>5.5405493227321301E-2</v>
      </c>
      <c r="L98" s="196">
        <f t="shared" si="108"/>
        <v>5.0939529150733284E-2</v>
      </c>
      <c r="M98" s="196">
        <f t="shared" si="108"/>
        <v>3.6155191000928386E-2</v>
      </c>
      <c r="N98" s="196">
        <f t="shared" si="108"/>
        <v>3.3943023379638643E-2</v>
      </c>
      <c r="O98" s="196">
        <f t="shared" si="108"/>
        <v>4.0360717616311437E-2</v>
      </c>
      <c r="P98" s="1196">
        <f t="shared" si="108"/>
        <v>2.7256616553972952E-2</v>
      </c>
      <c r="Q98" s="274">
        <f>AVERAGE(J98:P98)</f>
        <v>4.5733148369161723E-2</v>
      </c>
      <c r="R98" s="274">
        <f>Q98</f>
        <v>4.5733148369161723E-2</v>
      </c>
      <c r="S98" s="274">
        <f t="shared" ref="S98:AA98" si="109">R98</f>
        <v>4.5733148369161723E-2</v>
      </c>
      <c r="T98" s="274">
        <f t="shared" si="109"/>
        <v>4.5733148369161723E-2</v>
      </c>
      <c r="U98" s="274">
        <f t="shared" si="109"/>
        <v>4.5733148369161723E-2</v>
      </c>
      <c r="V98" s="274">
        <f t="shared" si="109"/>
        <v>4.5733148369161723E-2</v>
      </c>
      <c r="W98" s="274">
        <f t="shared" si="109"/>
        <v>4.5733148369161723E-2</v>
      </c>
      <c r="X98" s="274">
        <f t="shared" si="109"/>
        <v>4.5733148369161723E-2</v>
      </c>
      <c r="Y98" s="274">
        <f t="shared" si="109"/>
        <v>4.5733148369161723E-2</v>
      </c>
      <c r="Z98" s="274">
        <f t="shared" si="109"/>
        <v>4.5733148369161723E-2</v>
      </c>
      <c r="AA98" s="274">
        <f t="shared" si="109"/>
        <v>4.5733148369161723E-2</v>
      </c>
      <c r="AB98" s="274"/>
      <c r="AC98" s="274"/>
      <c r="AD98" s="274"/>
      <c r="AE98" s="274"/>
      <c r="AF98" s="274"/>
      <c r="AG98" s="274"/>
      <c r="AH98" s="274"/>
      <c r="AI98" s="274"/>
      <c r="AJ98" s="274"/>
      <c r="AK98" s="274"/>
      <c r="AL98" s="274"/>
      <c r="AM98" s="274"/>
      <c r="AN98" s="274"/>
      <c r="AO98" s="274"/>
      <c r="AP98" s="274"/>
      <c r="AQ98" s="274"/>
      <c r="AR98" s="274"/>
      <c r="AS98" s="274"/>
      <c r="AT98" s="274"/>
      <c r="AU98" s="274"/>
      <c r="AV98" s="274"/>
      <c r="AW98" s="274"/>
      <c r="AX98" s="274"/>
      <c r="AY98" s="274"/>
      <c r="AZ98" s="274"/>
      <c r="BA98" s="274"/>
    </row>
    <row r="99" spans="2:57" s="124" customFormat="1" ht="24.75" customHeight="1" x14ac:dyDescent="0.25">
      <c r="B99" s="147" t="s">
        <v>1506</v>
      </c>
      <c r="D99" s="196"/>
      <c r="E99" s="196"/>
      <c r="F99" s="196"/>
      <c r="G99" s="196"/>
      <c r="H99" s="196"/>
      <c r="I99" s="196"/>
      <c r="J99" s="124">
        <v>0</v>
      </c>
      <c r="K99" s="124">
        <f>J99</f>
        <v>0</v>
      </c>
      <c r="L99" s="124">
        <f t="shared" ref="L99:P99" si="110">K99</f>
        <v>0</v>
      </c>
      <c r="M99" s="124">
        <f t="shared" si="110"/>
        <v>0</v>
      </c>
      <c r="N99" s="124">
        <f t="shared" si="110"/>
        <v>0</v>
      </c>
      <c r="O99" s="124">
        <f t="shared" si="110"/>
        <v>0</v>
      </c>
      <c r="P99" s="1359">
        <f t="shared" si="110"/>
        <v>0</v>
      </c>
      <c r="Q99" s="1181">
        <v>0</v>
      </c>
      <c r="R99" s="1181">
        <f>Q99</f>
        <v>0</v>
      </c>
      <c r="S99" s="1181">
        <f t="shared" ref="S99:AA99" si="111">R99</f>
        <v>0</v>
      </c>
      <c r="T99" s="1181">
        <f t="shared" si="111"/>
        <v>0</v>
      </c>
      <c r="U99" s="1181">
        <f t="shared" si="111"/>
        <v>0</v>
      </c>
      <c r="V99" s="1181">
        <f t="shared" si="111"/>
        <v>0</v>
      </c>
      <c r="W99" s="1181">
        <f t="shared" si="111"/>
        <v>0</v>
      </c>
      <c r="X99" s="1181">
        <f t="shared" si="111"/>
        <v>0</v>
      </c>
      <c r="Y99" s="1181">
        <f t="shared" si="111"/>
        <v>0</v>
      </c>
      <c r="Z99" s="1181">
        <f t="shared" si="111"/>
        <v>0</v>
      </c>
      <c r="AA99" s="1181">
        <f t="shared" si="111"/>
        <v>0</v>
      </c>
      <c r="AB99" s="206"/>
      <c r="AC99" s="206"/>
      <c r="AD99" s="206"/>
      <c r="AE99" s="206"/>
      <c r="AF99" s="206"/>
      <c r="AG99" s="206"/>
      <c r="AH99" s="274"/>
      <c r="AI99" s="274"/>
      <c r="AJ99" s="274"/>
      <c r="AK99" s="274"/>
      <c r="AL99" s="274"/>
      <c r="AM99" s="274"/>
      <c r="AN99" s="274"/>
      <c r="AO99" s="274"/>
      <c r="AP99" s="274"/>
      <c r="AQ99" s="274"/>
      <c r="AR99" s="274"/>
      <c r="AS99" s="274"/>
      <c r="AT99" s="274"/>
      <c r="AU99" s="274"/>
      <c r="AV99" s="274"/>
      <c r="AW99" s="274"/>
      <c r="AX99" s="274"/>
      <c r="AY99" s="274"/>
      <c r="AZ99" s="274"/>
      <c r="BA99" s="274"/>
    </row>
    <row r="100" spans="2:57" s="124" customFormat="1" ht="24.75" customHeight="1" x14ac:dyDescent="0.25">
      <c r="B100" s="1271" t="s">
        <v>1522</v>
      </c>
      <c r="D100" s="196"/>
      <c r="E100" s="196"/>
      <c r="F100" s="196"/>
      <c r="G100" s="196"/>
      <c r="H100" s="196"/>
      <c r="I100" s="196"/>
      <c r="J100" s="196">
        <f>J99/J12</f>
        <v>0</v>
      </c>
      <c r="K100" s="196">
        <f t="shared" ref="K100:P100" si="112">K99/K12</f>
        <v>0</v>
      </c>
      <c r="L100" s="196">
        <f t="shared" si="112"/>
        <v>0</v>
      </c>
      <c r="M100" s="196">
        <f t="shared" si="112"/>
        <v>0</v>
      </c>
      <c r="N100" s="196">
        <f t="shared" si="112"/>
        <v>0</v>
      </c>
      <c r="O100" s="196">
        <f t="shared" si="112"/>
        <v>0</v>
      </c>
      <c r="P100" s="1196">
        <f t="shared" si="112"/>
        <v>0</v>
      </c>
      <c r="Q100" s="274">
        <v>0</v>
      </c>
      <c r="R100" s="274">
        <f>Q100</f>
        <v>0</v>
      </c>
      <c r="S100" s="274">
        <f t="shared" ref="S100:AA100" si="113">R100</f>
        <v>0</v>
      </c>
      <c r="T100" s="274">
        <f t="shared" si="113"/>
        <v>0</v>
      </c>
      <c r="U100" s="274">
        <f t="shared" si="113"/>
        <v>0</v>
      </c>
      <c r="V100" s="274">
        <f t="shared" si="113"/>
        <v>0</v>
      </c>
      <c r="W100" s="274">
        <f t="shared" si="113"/>
        <v>0</v>
      </c>
      <c r="X100" s="274">
        <f t="shared" si="113"/>
        <v>0</v>
      </c>
      <c r="Y100" s="274">
        <f t="shared" si="113"/>
        <v>0</v>
      </c>
      <c r="Z100" s="274">
        <f t="shared" si="113"/>
        <v>0</v>
      </c>
      <c r="AA100" s="274">
        <f t="shared" si="113"/>
        <v>0</v>
      </c>
      <c r="AB100" s="274"/>
      <c r="AC100" s="274"/>
      <c r="AD100" s="274"/>
      <c r="AE100" s="274"/>
      <c r="AF100" s="274"/>
      <c r="AG100" s="274"/>
      <c r="AH100" s="274"/>
      <c r="AI100" s="274"/>
      <c r="AJ100" s="274"/>
      <c r="AK100" s="274"/>
      <c r="AL100" s="274"/>
      <c r="AM100" s="274"/>
      <c r="AN100" s="274"/>
      <c r="AO100" s="274"/>
      <c r="AP100" s="274"/>
      <c r="AQ100" s="274"/>
      <c r="AR100" s="274"/>
      <c r="AS100" s="274"/>
      <c r="AT100" s="274"/>
      <c r="AU100" s="274"/>
      <c r="AV100" s="274"/>
      <c r="AW100" s="274"/>
      <c r="AX100" s="274"/>
      <c r="AY100" s="274"/>
      <c r="AZ100" s="274"/>
      <c r="BA100" s="274"/>
    </row>
    <row r="101" spans="2:57" s="1274" customFormat="1" x14ac:dyDescent="0.25">
      <c r="B101" s="1272" t="s">
        <v>1527</v>
      </c>
      <c r="C101" s="1273"/>
      <c r="D101" s="1219"/>
      <c r="E101" s="1219"/>
      <c r="F101" s="1219"/>
      <c r="G101" s="1219"/>
      <c r="H101" s="1219"/>
      <c r="I101" s="1219"/>
      <c r="J101" s="1220">
        <f>IF('IS Raw'!J30,-'IS Raw'!J30/'Consol. Rev.'!$B$1,'Consol. Rev.'!J87)</f>
        <v>222.09589608499999</v>
      </c>
      <c r="K101" s="1220">
        <f>IF('IS Raw'!K30,-'IS Raw'!K30/'Consol. Rev.'!$B$1,'Consol. Rev.'!K87)</f>
        <v>260.80345499600003</v>
      </c>
      <c r="L101" s="1220">
        <f>IF('IS Raw'!L30,-'IS Raw'!L30/'Consol. Rev.'!$B$1,'Consol. Rev.'!L87)</f>
        <v>210.957435113</v>
      </c>
      <c r="M101" s="1220">
        <f>IF('IS Raw'!M30,-'IS Raw'!M30/'Consol. Rev.'!$B$1,'Consol. Rev.'!M87)</f>
        <v>174.049858919</v>
      </c>
      <c r="N101" s="1220">
        <f>IF('IS Raw'!N30,-'IS Raw'!N30/'Consol. Rev.'!$B$1,'Consol. Rev.'!N87)</f>
        <v>169.937788281</v>
      </c>
      <c r="O101" s="1220">
        <f>IF('IS Raw'!O30,-'IS Raw'!O30/'Consol. Rev.'!$B$1,'Consol. Rev.'!O87)</f>
        <v>220.85512802299999</v>
      </c>
      <c r="P101" s="1221">
        <f>IF('IS Raw'!P30,-'IS Raw'!P30/'Consol. Rev.'!$B$1,'Consol. Rev.'!P87)</f>
        <v>276.43932295000002</v>
      </c>
      <c r="Q101" s="1222">
        <f>IF('IS Raw'!Q30,-'IS Raw'!Q30/'Consol. Rev.'!$B$1,'Consol. Rev.'!Q87)</f>
        <v>271.18672571559631</v>
      </c>
      <c r="R101" s="1222">
        <f>IF('IS Raw'!R30,-'IS Raw'!R30/'Consol. Rev.'!$B$1,'Consol. Rev.'!R87)</f>
        <v>282.91744085847824</v>
      </c>
      <c r="S101" s="1222">
        <f>IF('IS Raw'!S30,-'IS Raw'!S30/'Consol. Rev.'!$B$1,'Consol. Rev.'!S87)</f>
        <v>357.18495929461858</v>
      </c>
      <c r="T101" s="1222">
        <f>IF('IS Raw'!T30,-'IS Raw'!T30/'Consol. Rev.'!$B$1,'Consol. Rev.'!T87)</f>
        <v>380.98746488788578</v>
      </c>
      <c r="U101" s="1222">
        <f>IF('IS Raw'!U30,-'IS Raw'!U30/'Consol. Rev.'!$B$1,'Consol. Rev.'!U87)</f>
        <v>404.88098771891038</v>
      </c>
      <c r="V101" s="1222">
        <f>IF('IS Raw'!V30,-'IS Raw'!V30/'Consol. Rev.'!$B$1,'Consol. Rev.'!V87)</f>
        <v>424.59320902321519</v>
      </c>
      <c r="W101" s="1222">
        <f>IF('IS Raw'!W30,-'IS Raw'!W30/'Consol. Rev.'!$B$1,'Consol. Rev.'!W87)</f>
        <v>449.18936845783617</v>
      </c>
      <c r="X101" s="1222">
        <f>IF('IS Raw'!X30,-'IS Raw'!X30/'Consol. Rev.'!$B$1,'Consol. Rev.'!X87)</f>
        <v>466.53898555738635</v>
      </c>
      <c r="Y101" s="1222">
        <f>IF('IS Raw'!Y30,-'IS Raw'!Y30/'Consol. Rev.'!$B$1,'Consol. Rev.'!Y87)</f>
        <v>485.32069740488822</v>
      </c>
      <c r="Z101" s="1222">
        <f>IF('IS Raw'!Z30,-'IS Raw'!Z30/'Consol. Rev.'!$B$1,'Consol. Rev.'!Z87)</f>
        <v>505.67576541232199</v>
      </c>
      <c r="AA101" s="1222">
        <f>IF('IS Raw'!AA30,-'IS Raw'!AA30/'Consol. Rev.'!$B$1,'Consol. Rev.'!AA87)</f>
        <v>527.76001179988634</v>
      </c>
      <c r="AB101" s="1223"/>
      <c r="AC101" s="1223"/>
      <c r="AD101" s="1223"/>
      <c r="AE101" s="1223"/>
      <c r="AF101" s="1223"/>
      <c r="AG101" s="1223"/>
      <c r="AH101" s="1223"/>
      <c r="AI101" s="1223"/>
      <c r="AJ101" s="1223"/>
      <c r="AK101" s="1223"/>
      <c r="AL101" s="1223"/>
      <c r="AM101" s="1223"/>
      <c r="AN101" s="1223"/>
      <c r="AO101" s="1223"/>
      <c r="AP101" s="1223"/>
      <c r="AQ101" s="1223"/>
      <c r="AR101" s="1223"/>
      <c r="AS101" s="1223"/>
      <c r="AT101" s="1223"/>
      <c r="AU101" s="1223"/>
      <c r="AV101" s="1223"/>
      <c r="AW101" s="1223"/>
      <c r="AX101" s="1223"/>
      <c r="AY101" s="1223"/>
      <c r="AZ101" s="1223"/>
      <c r="BA101" s="1223"/>
    </row>
    <row r="102" spans="2:57" s="226" customFormat="1" ht="16.5" customHeight="1" x14ac:dyDescent="0.25">
      <c r="B102" s="1260" t="s">
        <v>1528</v>
      </c>
      <c r="G102" s="1226"/>
      <c r="H102" s="1226"/>
      <c r="I102" s="1226"/>
      <c r="J102" s="1226"/>
      <c r="K102" s="1226"/>
      <c r="L102" s="1226"/>
      <c r="M102" s="1226"/>
      <c r="N102" s="1226"/>
      <c r="O102" s="1226"/>
      <c r="P102" s="1227"/>
      <c r="Q102" s="1228"/>
      <c r="R102" s="1228"/>
      <c r="S102" s="1228"/>
      <c r="T102" s="1228"/>
      <c r="U102" s="1228"/>
      <c r="V102" s="1228"/>
      <c r="W102" s="1228"/>
      <c r="X102" s="1228"/>
      <c r="Y102" s="1228"/>
      <c r="Z102" s="1228"/>
      <c r="AA102" s="1228"/>
      <c r="AB102" s="1228"/>
      <c r="AC102" s="1228"/>
      <c r="AD102" s="1228"/>
      <c r="AE102" s="1228"/>
      <c r="AF102" s="1228"/>
      <c r="AG102" s="1228"/>
      <c r="AH102" s="1228"/>
      <c r="AI102" s="1228"/>
      <c r="AJ102" s="1228"/>
      <c r="AK102" s="1228"/>
      <c r="AL102" s="1228"/>
      <c r="AM102" s="1228"/>
      <c r="AN102" s="1228"/>
      <c r="AO102" s="1228"/>
      <c r="AP102" s="1228"/>
      <c r="AQ102" s="1228"/>
      <c r="AR102" s="1228"/>
      <c r="AS102" s="1228"/>
      <c r="AT102" s="1228"/>
      <c r="AU102" s="1228"/>
      <c r="AV102" s="1228"/>
      <c r="AW102" s="1228"/>
      <c r="AX102" s="1228"/>
      <c r="AY102" s="1228"/>
      <c r="AZ102" s="1228"/>
      <c r="BA102" s="1228"/>
    </row>
    <row r="103" spans="2:57" s="226" customFormat="1" ht="30" customHeight="1" x14ac:dyDescent="0.25">
      <c r="B103" s="1260" t="s">
        <v>1520</v>
      </c>
      <c r="D103" s="1226" t="str">
        <f t="shared" ref="D103:I103" si="114">IFERROR(D101/D12," ")</f>
        <v xml:space="preserve"> </v>
      </c>
      <c r="E103" s="1226" t="str">
        <f t="shared" si="114"/>
        <v xml:space="preserve"> </v>
      </c>
      <c r="F103" s="1226" t="str">
        <f t="shared" si="114"/>
        <v xml:space="preserve"> </v>
      </c>
      <c r="G103" s="1226" t="str">
        <f t="shared" si="114"/>
        <v xml:space="preserve"> </v>
      </c>
      <c r="H103" s="1226" t="str">
        <f t="shared" si="114"/>
        <v xml:space="preserve"> </v>
      </c>
      <c r="I103" s="1226" t="str">
        <f t="shared" si="114"/>
        <v xml:space="preserve"> </v>
      </c>
      <c r="J103" s="1226"/>
      <c r="K103" s="1226"/>
      <c r="L103" s="1226"/>
      <c r="M103" s="1226"/>
      <c r="N103" s="1226"/>
      <c r="O103" s="1226"/>
      <c r="P103" s="1227"/>
      <c r="Q103" s="1228"/>
      <c r="R103" s="1228"/>
      <c r="S103" s="1228"/>
      <c r="T103" s="1228"/>
      <c r="U103" s="1228"/>
      <c r="V103" s="1228"/>
      <c r="W103" s="1228"/>
      <c r="X103" s="1228"/>
      <c r="Y103" s="1228"/>
      <c r="Z103" s="1228"/>
      <c r="AA103" s="1228"/>
      <c r="AB103" s="1228"/>
      <c r="AC103" s="1228"/>
      <c r="AD103" s="1228"/>
      <c r="AE103" s="1228"/>
      <c r="AF103" s="1228"/>
      <c r="AG103" s="1228"/>
      <c r="AH103" s="1228"/>
      <c r="AI103" s="1228"/>
      <c r="AJ103" s="1228"/>
      <c r="AK103" s="1228"/>
      <c r="AL103" s="1228"/>
      <c r="AM103" s="1228"/>
      <c r="AN103" s="1228"/>
      <c r="AO103" s="1228"/>
      <c r="AP103" s="1228"/>
      <c r="AQ103" s="1228"/>
      <c r="AR103" s="1228"/>
      <c r="AS103" s="1228"/>
      <c r="AT103" s="1228"/>
      <c r="AU103" s="1228"/>
      <c r="AV103" s="1228"/>
      <c r="AW103" s="1228"/>
      <c r="AX103" s="1228"/>
      <c r="AY103" s="1228"/>
      <c r="AZ103" s="1228"/>
      <c r="BA103" s="1228"/>
    </row>
    <row r="104" spans="2:57" s="1275" customFormat="1" ht="24.6" customHeight="1" x14ac:dyDescent="0.25">
      <c r="P104" s="1276"/>
    </row>
    <row r="105" spans="2:57" s="117" customFormat="1" ht="18.75" customHeight="1" x14ac:dyDescent="0.25">
      <c r="B105" s="117" t="s">
        <v>1529</v>
      </c>
      <c r="D105" s="1268">
        <f>10^9</f>
        <v>1000000000</v>
      </c>
      <c r="H105" s="1203"/>
      <c r="J105" s="1203">
        <f>SUM(J107,J109,J111,J113,J115,J117)</f>
        <v>102.018288723</v>
      </c>
      <c r="K105" s="1203">
        <f t="shared" ref="K105:AA105" si="115">SUM(K107,K109,K111,K113,K115,K117)</f>
        <v>90.386997007000005</v>
      </c>
      <c r="L105" s="1203">
        <f t="shared" si="115"/>
        <v>92.776906479999994</v>
      </c>
      <c r="M105" s="1203">
        <f t="shared" si="115"/>
        <v>67.521210099000001</v>
      </c>
      <c r="N105" s="1203">
        <f t="shared" si="115"/>
        <v>84.108597928999998</v>
      </c>
      <c r="O105" s="1203">
        <f t="shared" si="115"/>
        <v>88.501075564000004</v>
      </c>
      <c r="P105" s="1204">
        <f t="shared" si="115"/>
        <v>135.932737957</v>
      </c>
      <c r="Q105" s="1334">
        <f t="shared" si="115"/>
        <v>117.46145554648521</v>
      </c>
      <c r="R105" s="1334">
        <f t="shared" si="115"/>
        <v>122.54248180854927</v>
      </c>
      <c r="S105" s="1334">
        <f t="shared" si="115"/>
        <v>154.71061537893357</v>
      </c>
      <c r="T105" s="1334">
        <f t="shared" si="115"/>
        <v>165.02040080541738</v>
      </c>
      <c r="U105" s="1334">
        <f t="shared" si="115"/>
        <v>175.36960931648838</v>
      </c>
      <c r="V105" s="1334">
        <f t="shared" si="115"/>
        <v>183.90773447858186</v>
      </c>
      <c r="W105" s="1334">
        <f t="shared" si="115"/>
        <v>194.56128206805312</v>
      </c>
      <c r="X105" s="1334">
        <f t="shared" si="115"/>
        <v>202.07607200590792</v>
      </c>
      <c r="Y105" s="1334">
        <f t="shared" si="115"/>
        <v>210.21115754684212</v>
      </c>
      <c r="Z105" s="1334">
        <f t="shared" si="115"/>
        <v>219.02772446984235</v>
      </c>
      <c r="AA105" s="1334">
        <f t="shared" si="115"/>
        <v>228.59326540288561</v>
      </c>
      <c r="AB105" s="1206"/>
      <c r="AC105" s="1206"/>
      <c r="AD105" s="1206"/>
      <c r="AE105" s="1206"/>
      <c r="AF105" s="1206"/>
      <c r="AG105" s="1206"/>
      <c r="AH105" s="1206"/>
      <c r="AI105" s="1206"/>
      <c r="AJ105" s="1206"/>
      <c r="AK105" s="1206"/>
      <c r="AL105" s="1206"/>
      <c r="AM105" s="1206"/>
      <c r="AN105" s="1206"/>
      <c r="AO105" s="1206"/>
      <c r="AP105" s="1206"/>
      <c r="AQ105" s="1206"/>
      <c r="AR105" s="1206"/>
      <c r="AS105" s="1206"/>
      <c r="AT105" s="1206"/>
      <c r="AU105" s="1206"/>
      <c r="AV105" s="1206"/>
      <c r="AW105" s="1206"/>
      <c r="AX105" s="1206"/>
      <c r="AY105" s="1206"/>
      <c r="AZ105" s="1206"/>
      <c r="BA105" s="1206"/>
    </row>
    <row r="106" spans="2:57" s="692" customFormat="1" ht="28.95" customHeight="1" x14ac:dyDescent="0.25">
      <c r="B106" s="1269" t="s">
        <v>1520</v>
      </c>
      <c r="D106" s="1208"/>
      <c r="E106" s="1208"/>
      <c r="F106" s="1208"/>
      <c r="G106" s="1208"/>
      <c r="H106" s="1208"/>
      <c r="I106" s="1208"/>
      <c r="J106" s="1208">
        <f>J105/J12</f>
        <v>8.3275610535400377E-2</v>
      </c>
      <c r="K106" s="1208">
        <f t="shared" ref="K106:P106" si="116">K105/K12</f>
        <v>6.5265995576612765E-2</v>
      </c>
      <c r="L106" s="1208">
        <f t="shared" si="116"/>
        <v>6.6831202572764453E-2</v>
      </c>
      <c r="M106" s="1208">
        <f t="shared" si="116"/>
        <v>4.8194174302184818E-2</v>
      </c>
      <c r="N106" s="1208">
        <f t="shared" si="116"/>
        <v>6.6661380135391121E-2</v>
      </c>
      <c r="O106" s="1208">
        <f t="shared" si="116"/>
        <v>7.040925143039313E-2</v>
      </c>
      <c r="P106" s="1209">
        <f t="shared" si="116"/>
        <v>8.7219993588761327E-2</v>
      </c>
      <c r="Q106" s="1277">
        <f>Q105/Q12</f>
        <v>7.0141979229847995E-2</v>
      </c>
      <c r="R106" s="1277">
        <f t="shared" ref="R106:AA106" si="117">R105/R12</f>
        <v>7.0141979229847995E-2</v>
      </c>
      <c r="S106" s="1277">
        <f t="shared" si="117"/>
        <v>7.0141979229847995E-2</v>
      </c>
      <c r="T106" s="1277">
        <f t="shared" si="117"/>
        <v>7.0141979229847995E-2</v>
      </c>
      <c r="U106" s="1277">
        <f t="shared" si="117"/>
        <v>7.0141979229847995E-2</v>
      </c>
      <c r="V106" s="1277">
        <f t="shared" si="117"/>
        <v>7.0141979229847995E-2</v>
      </c>
      <c r="W106" s="1277">
        <f t="shared" si="117"/>
        <v>7.0141979229847995E-2</v>
      </c>
      <c r="X106" s="1277">
        <f t="shared" si="117"/>
        <v>7.0141979229847981E-2</v>
      </c>
      <c r="Y106" s="1277">
        <f t="shared" si="117"/>
        <v>7.0141979229847995E-2</v>
      </c>
      <c r="Z106" s="1277">
        <f t="shared" si="117"/>
        <v>7.0141979229847995E-2</v>
      </c>
      <c r="AA106" s="1277">
        <f t="shared" si="117"/>
        <v>7.0141979229847995E-2</v>
      </c>
      <c r="AB106" s="1277"/>
      <c r="AC106" s="1210"/>
      <c r="AD106" s="1210"/>
      <c r="AE106" s="1210"/>
      <c r="AF106" s="1210"/>
      <c r="AG106" s="1210"/>
      <c r="AH106" s="1210"/>
      <c r="AI106" s="1210"/>
      <c r="AJ106" s="1210"/>
      <c r="AK106" s="1210"/>
      <c r="AL106" s="1210"/>
      <c r="AM106" s="1210"/>
      <c r="AN106" s="1210"/>
      <c r="AO106" s="1210"/>
      <c r="AP106" s="1210"/>
      <c r="AQ106" s="1210"/>
      <c r="AR106" s="1210"/>
      <c r="AS106" s="1210"/>
      <c r="AT106" s="1210"/>
      <c r="AU106" s="1210"/>
      <c r="AV106" s="1210"/>
      <c r="AW106" s="1210"/>
      <c r="AX106" s="1210"/>
      <c r="AY106" s="1210"/>
      <c r="AZ106" s="1210"/>
      <c r="BA106" s="1210"/>
      <c r="BC106" s="2355"/>
      <c r="BD106" s="117"/>
      <c r="BE106" s="196"/>
    </row>
    <row r="107" spans="2:57" s="692" customFormat="1" ht="29.4" customHeight="1" x14ac:dyDescent="0.25">
      <c r="B107" s="1270" t="s">
        <v>1521</v>
      </c>
      <c r="D107" s="1208"/>
      <c r="E107" s="1208"/>
      <c r="F107" s="1208"/>
      <c r="G107" s="1208"/>
      <c r="H107" s="1208"/>
      <c r="I107" s="1208"/>
      <c r="J107" s="124">
        <f>0</f>
        <v>0</v>
      </c>
      <c r="K107" s="124">
        <f>J107</f>
        <v>0</v>
      </c>
      <c r="L107" s="124">
        <f t="shared" ref="L107:P107" si="118">K107</f>
        <v>0</v>
      </c>
      <c r="M107" s="124">
        <f t="shared" si="118"/>
        <v>0</v>
      </c>
      <c r="N107" s="124">
        <f t="shared" si="118"/>
        <v>0</v>
      </c>
      <c r="O107" s="124">
        <f t="shared" si="118"/>
        <v>0</v>
      </c>
      <c r="P107" s="1359">
        <f t="shared" si="118"/>
        <v>0</v>
      </c>
      <c r="Q107" s="1181">
        <v>0</v>
      </c>
      <c r="R107" s="1181">
        <f>Q107</f>
        <v>0</v>
      </c>
      <c r="S107" s="1181">
        <f t="shared" ref="S107:AA107" si="119">R107</f>
        <v>0</v>
      </c>
      <c r="T107" s="1181">
        <f t="shared" si="119"/>
        <v>0</v>
      </c>
      <c r="U107" s="1181">
        <f t="shared" si="119"/>
        <v>0</v>
      </c>
      <c r="V107" s="1181">
        <f t="shared" si="119"/>
        <v>0</v>
      </c>
      <c r="W107" s="1181">
        <f t="shared" si="119"/>
        <v>0</v>
      </c>
      <c r="X107" s="1181">
        <f t="shared" si="119"/>
        <v>0</v>
      </c>
      <c r="Y107" s="1181">
        <f t="shared" si="119"/>
        <v>0</v>
      </c>
      <c r="Z107" s="1181">
        <f t="shared" si="119"/>
        <v>0</v>
      </c>
      <c r="AA107" s="1181">
        <f t="shared" si="119"/>
        <v>0</v>
      </c>
      <c r="AB107" s="1181"/>
      <c r="AC107" s="1181"/>
      <c r="AD107" s="1181"/>
      <c r="AE107" s="1181"/>
      <c r="AF107" s="1181"/>
      <c r="AG107" s="1181"/>
      <c r="AH107" s="1181"/>
      <c r="AI107" s="1181"/>
      <c r="AJ107" s="1181"/>
      <c r="AK107" s="1181"/>
      <c r="AL107" s="1181"/>
      <c r="AM107" s="1181"/>
      <c r="AN107" s="1181"/>
      <c r="AO107" s="1181"/>
      <c r="AP107" s="1181"/>
      <c r="AQ107" s="1181"/>
      <c r="AR107" s="1181"/>
      <c r="AS107" s="1181"/>
      <c r="AT107" s="1181"/>
      <c r="AU107" s="1181"/>
      <c r="AV107" s="1181"/>
      <c r="AW107" s="1181"/>
      <c r="AX107" s="1181"/>
      <c r="AY107" s="1181"/>
      <c r="AZ107" s="1181"/>
      <c r="BA107" s="1181"/>
      <c r="BC107" s="2355"/>
      <c r="BD107" s="117"/>
      <c r="BE107" s="196"/>
    </row>
    <row r="108" spans="2:57" s="692" customFormat="1" ht="34.950000000000003" customHeight="1" x14ac:dyDescent="0.25">
      <c r="B108" s="1271" t="s">
        <v>1522</v>
      </c>
      <c r="D108" s="1208"/>
      <c r="E108" s="1208"/>
      <c r="F108" s="1208"/>
      <c r="G108" s="1208"/>
      <c r="H108" s="1208"/>
      <c r="I108" s="1208"/>
      <c r="J108" s="1208">
        <f>J107/J12</f>
        <v>0</v>
      </c>
      <c r="K108" s="1208">
        <f t="shared" ref="K108:P108" si="120">K107/K12</f>
        <v>0</v>
      </c>
      <c r="L108" s="1208">
        <f t="shared" si="120"/>
        <v>0</v>
      </c>
      <c r="M108" s="1208">
        <f t="shared" si="120"/>
        <v>0</v>
      </c>
      <c r="N108" s="1208">
        <f t="shared" si="120"/>
        <v>0</v>
      </c>
      <c r="O108" s="1208">
        <f t="shared" si="120"/>
        <v>0</v>
      </c>
      <c r="P108" s="1209">
        <f t="shared" si="120"/>
        <v>0</v>
      </c>
      <c r="Q108" s="274">
        <v>0</v>
      </c>
      <c r="R108" s="274">
        <f>Q108</f>
        <v>0</v>
      </c>
      <c r="S108" s="274">
        <f t="shared" ref="S108:AA108" si="121">R108</f>
        <v>0</v>
      </c>
      <c r="T108" s="274">
        <f t="shared" si="121"/>
        <v>0</v>
      </c>
      <c r="U108" s="274">
        <f t="shared" si="121"/>
        <v>0</v>
      </c>
      <c r="V108" s="274">
        <f t="shared" si="121"/>
        <v>0</v>
      </c>
      <c r="W108" s="274">
        <f t="shared" si="121"/>
        <v>0</v>
      </c>
      <c r="X108" s="274">
        <f t="shared" si="121"/>
        <v>0</v>
      </c>
      <c r="Y108" s="274">
        <f t="shared" si="121"/>
        <v>0</v>
      </c>
      <c r="Z108" s="274">
        <f t="shared" si="121"/>
        <v>0</v>
      </c>
      <c r="AA108" s="274">
        <f t="shared" si="121"/>
        <v>0</v>
      </c>
      <c r="AB108" s="274"/>
      <c r="AC108" s="274"/>
      <c r="AD108" s="274"/>
      <c r="AE108" s="274"/>
      <c r="AF108" s="274"/>
      <c r="AG108" s="274"/>
      <c r="AH108" s="274"/>
      <c r="AI108" s="274"/>
      <c r="AJ108" s="274"/>
      <c r="AK108" s="274"/>
      <c r="AL108" s="274"/>
      <c r="AM108" s="274"/>
      <c r="AN108" s="274"/>
      <c r="AO108" s="274"/>
      <c r="AP108" s="274"/>
      <c r="AQ108" s="274"/>
      <c r="AR108" s="274"/>
      <c r="AS108" s="274"/>
      <c r="AT108" s="274"/>
      <c r="AU108" s="274"/>
      <c r="AV108" s="274"/>
      <c r="AW108" s="274"/>
      <c r="AX108" s="274"/>
      <c r="AY108" s="274"/>
      <c r="AZ108" s="274"/>
      <c r="BA108" s="274"/>
      <c r="BC108" s="2355"/>
      <c r="BD108" s="117"/>
      <c r="BE108" s="196"/>
    </row>
    <row r="109" spans="2:57" s="124" customFormat="1" ht="29.4" customHeight="1" x14ac:dyDescent="0.25">
      <c r="B109" s="1270" t="s">
        <v>1523</v>
      </c>
      <c r="J109" s="204">
        <f>36438915119/D105</f>
        <v>36.438915119000001</v>
      </c>
      <c r="K109" s="204">
        <f>43681653036/D105</f>
        <v>43.681653036</v>
      </c>
      <c r="L109" s="204">
        <f>37734215831/D105</f>
        <v>37.734215831</v>
      </c>
      <c r="M109" s="204">
        <f>24549983139/D105</f>
        <v>24.549983138999998</v>
      </c>
      <c r="N109" s="204">
        <f>23754054757/D105</f>
        <v>23.754054756999999</v>
      </c>
      <c r="O109" s="204">
        <f>29811793072/D105</f>
        <v>29.811793072</v>
      </c>
      <c r="P109" s="1179">
        <f>(19359408568+25183315586+3467480538)/D105</f>
        <v>48.010204692000002</v>
      </c>
      <c r="Q109" s="1180">
        <f>Q110*Q12</f>
        <v>42.903780078043177</v>
      </c>
      <c r="R109" s="1180">
        <f t="shared" ref="R109:AA109" si="122">R110*R12</f>
        <v>44.759667460879903</v>
      </c>
      <c r="S109" s="1180">
        <f t="shared" si="122"/>
        <v>56.509347573422858</v>
      </c>
      <c r="T109" s="1180">
        <f t="shared" si="122"/>
        <v>60.275083018567464</v>
      </c>
      <c r="U109" s="1180">
        <f t="shared" si="122"/>
        <v>64.055218075425174</v>
      </c>
      <c r="V109" s="1180">
        <f t="shared" si="122"/>
        <v>67.173839775871372</v>
      </c>
      <c r="W109" s="1180">
        <f t="shared" si="122"/>
        <v>71.065137229177282</v>
      </c>
      <c r="X109" s="1180">
        <f t="shared" si="122"/>
        <v>73.809977171151431</v>
      </c>
      <c r="Y109" s="1180">
        <f t="shared" si="122"/>
        <v>76.781385275541751</v>
      </c>
      <c r="Z109" s="1180">
        <f t="shared" si="122"/>
        <v>80.001710160397749</v>
      </c>
      <c r="AA109" s="1180">
        <f t="shared" si="122"/>
        <v>83.495604073166362</v>
      </c>
      <c r="AB109" s="1181"/>
      <c r="AC109" s="1181"/>
      <c r="AD109" s="1181"/>
      <c r="AE109" s="1181"/>
      <c r="AF109" s="1181"/>
      <c r="AG109" s="1181"/>
      <c r="AH109" s="1181"/>
      <c r="AI109" s="1181"/>
      <c r="AJ109" s="1181"/>
      <c r="AK109" s="1181"/>
      <c r="AL109" s="1181"/>
      <c r="AM109" s="1181"/>
      <c r="AN109" s="1181"/>
      <c r="AO109" s="1181"/>
      <c r="AP109" s="1181"/>
      <c r="AQ109" s="1181"/>
      <c r="AR109" s="1181"/>
      <c r="AS109" s="1181"/>
      <c r="AT109" s="1181"/>
      <c r="AU109" s="1181"/>
      <c r="AV109" s="1181"/>
      <c r="AW109" s="1181"/>
      <c r="AX109" s="1181"/>
      <c r="AY109" s="1181"/>
      <c r="AZ109" s="1181"/>
      <c r="BA109" s="1181"/>
      <c r="BC109" s="2355"/>
      <c r="BD109" s="117"/>
      <c r="BE109" s="196"/>
    </row>
    <row r="110" spans="2:57" s="124" customFormat="1" ht="29.25" customHeight="1" x14ac:dyDescent="0.25">
      <c r="B110" s="1271" t="s">
        <v>1522</v>
      </c>
      <c r="D110" s="196"/>
      <c r="E110" s="196"/>
      <c r="F110" s="196"/>
      <c r="G110" s="196"/>
      <c r="H110" s="196"/>
      <c r="I110" s="196"/>
      <c r="J110" s="196">
        <f>J109/J12</f>
        <v>2.9744401143814082E-2</v>
      </c>
      <c r="K110" s="196">
        <f t="shared" ref="K110:P110" si="123">K109/K12</f>
        <v>3.1541335238805639E-2</v>
      </c>
      <c r="L110" s="196">
        <f t="shared" si="123"/>
        <v>2.7181581255563938E-2</v>
      </c>
      <c r="M110" s="196">
        <f t="shared" si="123"/>
        <v>1.7522881547618874E-2</v>
      </c>
      <c r="N110" s="196">
        <f t="shared" si="123"/>
        <v>1.8826589824383479E-2</v>
      </c>
      <c r="O110" s="196">
        <f t="shared" si="123"/>
        <v>2.3717520048435779E-2</v>
      </c>
      <c r="P110" s="1196">
        <f t="shared" si="123"/>
        <v>3.0805307156808591E-2</v>
      </c>
      <c r="Q110" s="274">
        <f>AVERAGE(J110:P110)</f>
        <v>2.5619945173632915E-2</v>
      </c>
      <c r="R110" s="274">
        <f>Q110</f>
        <v>2.5619945173632915E-2</v>
      </c>
      <c r="S110" s="274">
        <f t="shared" ref="S110:AA110" si="124">R110</f>
        <v>2.5619945173632915E-2</v>
      </c>
      <c r="T110" s="274">
        <f t="shared" si="124"/>
        <v>2.5619945173632915E-2</v>
      </c>
      <c r="U110" s="274">
        <f t="shared" si="124"/>
        <v>2.5619945173632915E-2</v>
      </c>
      <c r="V110" s="274">
        <f t="shared" si="124"/>
        <v>2.5619945173632915E-2</v>
      </c>
      <c r="W110" s="274">
        <f t="shared" si="124"/>
        <v>2.5619945173632915E-2</v>
      </c>
      <c r="X110" s="274">
        <f t="shared" si="124"/>
        <v>2.5619945173632915E-2</v>
      </c>
      <c r="Y110" s="274">
        <f t="shared" si="124"/>
        <v>2.5619945173632915E-2</v>
      </c>
      <c r="Z110" s="274">
        <f t="shared" si="124"/>
        <v>2.5619945173632915E-2</v>
      </c>
      <c r="AA110" s="274">
        <f t="shared" si="124"/>
        <v>2.5619945173632915E-2</v>
      </c>
      <c r="AB110" s="274"/>
      <c r="AC110" s="274"/>
      <c r="AD110" s="274"/>
      <c r="AE110" s="274"/>
      <c r="AF110" s="274"/>
      <c r="AG110" s="274"/>
      <c r="AH110" s="274"/>
      <c r="AI110" s="274"/>
      <c r="AJ110" s="274"/>
      <c r="AK110" s="274"/>
      <c r="AL110" s="274"/>
      <c r="AM110" s="274"/>
      <c r="AN110" s="274"/>
      <c r="AO110" s="274"/>
      <c r="AP110" s="274"/>
      <c r="AQ110" s="274"/>
      <c r="AR110" s="274"/>
      <c r="AS110" s="274"/>
      <c r="AT110" s="274"/>
      <c r="AU110" s="274"/>
      <c r="AV110" s="274"/>
      <c r="AW110" s="274"/>
      <c r="AX110" s="274"/>
      <c r="AY110" s="274"/>
      <c r="AZ110" s="274"/>
      <c r="BA110" s="274"/>
    </row>
    <row r="111" spans="2:57" s="124" customFormat="1" ht="35.4" customHeight="1" x14ac:dyDescent="0.25">
      <c r="B111" s="1270" t="s">
        <v>1524</v>
      </c>
      <c r="J111" s="204">
        <f>6424902287/D105</f>
        <v>6.4249022870000001</v>
      </c>
      <c r="K111" s="204">
        <f>9464063411/D105</f>
        <v>9.4640634109999997</v>
      </c>
      <c r="L111" s="204">
        <f>10956196676/D105</f>
        <v>10.956196675999999</v>
      </c>
      <c r="M111" s="204">
        <f>12516029605/D105</f>
        <v>12.516029605</v>
      </c>
      <c r="N111" s="204">
        <f>11420505965/D105</f>
        <v>11.420505965</v>
      </c>
      <c r="O111" s="204">
        <f>9870319490/D105</f>
        <v>9.87031949</v>
      </c>
      <c r="P111" s="1179">
        <f>(4513747538+2290513638+8346175399)/D105</f>
        <v>15.150436575000001</v>
      </c>
      <c r="Q111" s="1180">
        <f>Q112*Q12</f>
        <v>14.03464587677947</v>
      </c>
      <c r="R111" s="1180">
        <f t="shared" ref="R111:AA111" si="125">R112*R12</f>
        <v>14.641742085037036</v>
      </c>
      <c r="S111" s="1180">
        <f t="shared" si="125"/>
        <v>18.485286855335044</v>
      </c>
      <c r="T111" s="1180">
        <f t="shared" si="125"/>
        <v>19.717130840692604</v>
      </c>
      <c r="U111" s="1180">
        <f t="shared" si="125"/>
        <v>20.953685214057678</v>
      </c>
      <c r="V111" s="1180">
        <f t="shared" si="125"/>
        <v>21.973845934390145</v>
      </c>
      <c r="W111" s="1180">
        <f t="shared" si="125"/>
        <v>23.24676365070837</v>
      </c>
      <c r="X111" s="1180">
        <f t="shared" si="125"/>
        <v>24.144653219039483</v>
      </c>
      <c r="Y111" s="1180">
        <f t="shared" si="125"/>
        <v>25.116657560490335</v>
      </c>
      <c r="Z111" s="1180">
        <f t="shared" si="125"/>
        <v>26.170087334858039</v>
      </c>
      <c r="AA111" s="1180">
        <f t="shared" si="125"/>
        <v>27.313006763112284</v>
      </c>
      <c r="AB111" s="1181"/>
      <c r="AC111" s="1181"/>
      <c r="AD111" s="1181"/>
      <c r="AE111" s="1181"/>
      <c r="AF111" s="1181"/>
      <c r="AG111" s="1181"/>
      <c r="AH111" s="1181"/>
      <c r="AI111" s="1181"/>
      <c r="AJ111" s="1181"/>
      <c r="AK111" s="1181"/>
      <c r="AL111" s="1181"/>
      <c r="AM111" s="1181"/>
      <c r="AN111" s="1181"/>
      <c r="AO111" s="1181"/>
      <c r="AP111" s="1181"/>
      <c r="AQ111" s="1181"/>
      <c r="AR111" s="1181"/>
      <c r="AS111" s="1181"/>
      <c r="AT111" s="1181"/>
      <c r="AU111" s="1181"/>
      <c r="AV111" s="1181"/>
      <c r="AW111" s="1181"/>
      <c r="AX111" s="1181"/>
      <c r="AY111" s="1181"/>
      <c r="AZ111" s="1181"/>
      <c r="BA111" s="1181"/>
    </row>
    <row r="112" spans="2:57" s="124" customFormat="1" ht="29.4" customHeight="1" x14ac:dyDescent="0.25">
      <c r="B112" s="1271" t="s">
        <v>1522</v>
      </c>
      <c r="D112" s="196"/>
      <c r="E112" s="196"/>
      <c r="F112" s="196"/>
      <c r="G112" s="196"/>
      <c r="H112" s="196"/>
      <c r="I112" s="196"/>
      <c r="J112" s="196">
        <f>J111/J12</f>
        <v>5.2445269105909935E-3</v>
      </c>
      <c r="K112" s="196">
        <f t="shared" ref="K112:P112" si="126">K111/K12</f>
        <v>6.8337431397490992E-3</v>
      </c>
      <c r="L112" s="196">
        <f t="shared" si="126"/>
        <v>7.8922204593946978E-3</v>
      </c>
      <c r="M112" s="196">
        <f t="shared" si="126"/>
        <v>8.9334849222971625E-3</v>
      </c>
      <c r="N112" s="196">
        <f t="shared" si="126"/>
        <v>9.0514728365109764E-3</v>
      </c>
      <c r="O112" s="196">
        <f t="shared" si="126"/>
        <v>7.8525803470846454E-3</v>
      </c>
      <c r="P112" s="1196">
        <f t="shared" si="126"/>
        <v>9.7211385630770128E-3</v>
      </c>
      <c r="Q112" s="274">
        <f>AVERAGE(K112:P112)</f>
        <v>8.3807733780189315E-3</v>
      </c>
      <c r="R112" s="274">
        <f>Q112</f>
        <v>8.3807733780189315E-3</v>
      </c>
      <c r="S112" s="274">
        <f t="shared" ref="S112:AA112" si="127">R112</f>
        <v>8.3807733780189315E-3</v>
      </c>
      <c r="T112" s="274">
        <f t="shared" si="127"/>
        <v>8.3807733780189315E-3</v>
      </c>
      <c r="U112" s="274">
        <f t="shared" si="127"/>
        <v>8.3807733780189315E-3</v>
      </c>
      <c r="V112" s="274">
        <f t="shared" si="127"/>
        <v>8.3807733780189315E-3</v>
      </c>
      <c r="W112" s="274">
        <f t="shared" si="127"/>
        <v>8.3807733780189315E-3</v>
      </c>
      <c r="X112" s="274">
        <f t="shared" si="127"/>
        <v>8.3807733780189315E-3</v>
      </c>
      <c r="Y112" s="274">
        <f t="shared" si="127"/>
        <v>8.3807733780189315E-3</v>
      </c>
      <c r="Z112" s="274">
        <f t="shared" si="127"/>
        <v>8.3807733780189315E-3</v>
      </c>
      <c r="AA112" s="274">
        <f t="shared" si="127"/>
        <v>8.3807733780189315E-3</v>
      </c>
      <c r="AB112" s="274"/>
      <c r="AC112" s="274"/>
      <c r="AD112" s="274"/>
      <c r="AE112" s="274"/>
      <c r="AF112" s="274"/>
      <c r="AG112" s="274"/>
      <c r="AH112" s="274"/>
      <c r="AI112" s="274"/>
      <c r="AJ112" s="274"/>
      <c r="AK112" s="274"/>
      <c r="AL112" s="274"/>
      <c r="AM112" s="274"/>
      <c r="AN112" s="274"/>
      <c r="AO112" s="274"/>
      <c r="AP112" s="274"/>
      <c r="AQ112" s="274"/>
      <c r="AR112" s="274"/>
      <c r="AS112" s="274"/>
      <c r="AT112" s="274"/>
      <c r="AU112" s="274"/>
      <c r="AV112" s="274"/>
      <c r="AW112" s="274"/>
      <c r="AX112" s="274"/>
      <c r="AY112" s="274"/>
      <c r="AZ112" s="274"/>
      <c r="BA112" s="274"/>
    </row>
    <row r="113" spans="2:53" s="124" customFormat="1" ht="28.95" customHeight="1" x14ac:dyDescent="0.25">
      <c r="B113" s="1270" t="s">
        <v>1525</v>
      </c>
      <c r="J113" s="204">
        <f>12463231719/D105</f>
        <v>12.463231718999999</v>
      </c>
      <c r="K113" s="204">
        <f>32642008058/D105</f>
        <v>32.642008058000002</v>
      </c>
      <c r="L113" s="204">
        <f>35318689673/D105</f>
        <v>35.318689673000002</v>
      </c>
      <c r="M113" s="204">
        <f>17185795348/D105</f>
        <v>17.185795347999999</v>
      </c>
      <c r="N113" s="204">
        <f>15017098564/D105</f>
        <v>15.017098563999999</v>
      </c>
      <c r="O113" s="204">
        <f>21735735012/D105</f>
        <v>21.735735011999999</v>
      </c>
      <c r="P113" s="1179">
        <f>(6839958303+4158504196+9608570749)/D105</f>
        <v>20.607033248</v>
      </c>
      <c r="Q113" s="1180">
        <f>Q114*Q12</f>
        <v>27.24094407731992</v>
      </c>
      <c r="R113" s="1180">
        <f t="shared" ref="R113:AA113" si="128">R114*R12</f>
        <v>28.419304686051735</v>
      </c>
      <c r="S113" s="1180">
        <f t="shared" si="128"/>
        <v>35.879541949294271</v>
      </c>
      <c r="T113" s="1180">
        <f t="shared" si="128"/>
        <v>38.270524480077476</v>
      </c>
      <c r="U113" s="1180">
        <f t="shared" si="128"/>
        <v>40.670649772097526</v>
      </c>
      <c r="V113" s="1180">
        <f t="shared" si="128"/>
        <v>42.650759664177833</v>
      </c>
      <c r="W113" s="1180">
        <f t="shared" si="128"/>
        <v>45.121465418330537</v>
      </c>
      <c r="X113" s="1180">
        <f t="shared" si="128"/>
        <v>46.864249649102277</v>
      </c>
      <c r="Y113" s="1180">
        <f t="shared" si="128"/>
        <v>48.75088905139625</v>
      </c>
      <c r="Z113" s="1180">
        <f t="shared" si="128"/>
        <v>50.795573457749029</v>
      </c>
      <c r="AA113" s="1180">
        <f t="shared" si="128"/>
        <v>53.013955346633622</v>
      </c>
      <c r="AB113" s="1181"/>
      <c r="AC113" s="1181"/>
      <c r="AD113" s="1181"/>
      <c r="AE113" s="1181"/>
      <c r="AF113" s="1181"/>
      <c r="AG113" s="1181"/>
      <c r="AH113" s="1181"/>
      <c r="AI113" s="1181"/>
      <c r="AJ113" s="1181"/>
      <c r="AK113" s="1181"/>
      <c r="AL113" s="1181"/>
      <c r="AM113" s="1181"/>
      <c r="AN113" s="1181"/>
      <c r="AO113" s="1181"/>
      <c r="AP113" s="1181"/>
      <c r="AQ113" s="1181"/>
      <c r="AR113" s="1181"/>
      <c r="AS113" s="1181"/>
      <c r="AT113" s="1181"/>
      <c r="AU113" s="1181"/>
      <c r="AV113" s="1181"/>
      <c r="AW113" s="1181"/>
      <c r="AX113" s="1181"/>
      <c r="AY113" s="1181"/>
      <c r="AZ113" s="1181"/>
      <c r="BA113" s="1181"/>
    </row>
    <row r="114" spans="2:53" s="124" customFormat="1" ht="31.95" customHeight="1" x14ac:dyDescent="0.25">
      <c r="B114" s="1271" t="s">
        <v>1522</v>
      </c>
      <c r="D114" s="196"/>
      <c r="E114" s="196"/>
      <c r="F114" s="196"/>
      <c r="G114" s="196"/>
      <c r="H114" s="196"/>
      <c r="I114" s="196"/>
      <c r="J114" s="196">
        <f>J113/J12</f>
        <v>1.0173501669509009E-2</v>
      </c>
      <c r="K114" s="196">
        <f t="shared" ref="K114:P114" si="129">K113/K12</f>
        <v>2.3569907443215497E-2</v>
      </c>
      <c r="L114" s="196">
        <f t="shared" si="129"/>
        <v>2.5441573702931111E-2</v>
      </c>
      <c r="M114" s="196">
        <f t="shared" si="129"/>
        <v>1.2266593198030607E-2</v>
      </c>
      <c r="N114" s="196">
        <f t="shared" si="129"/>
        <v>1.1901999802094932E-2</v>
      </c>
      <c r="O114" s="196">
        <f t="shared" si="129"/>
        <v>1.729240940555115E-2</v>
      </c>
      <c r="P114" s="1196">
        <f t="shared" si="129"/>
        <v>1.3222313732417506E-2</v>
      </c>
      <c r="Q114" s="274">
        <f>AVERAGE(J114:P114)</f>
        <v>1.6266899850535688E-2</v>
      </c>
      <c r="R114" s="274">
        <f>Q114</f>
        <v>1.6266899850535688E-2</v>
      </c>
      <c r="S114" s="274">
        <f t="shared" ref="S114:AA114" si="130">R114</f>
        <v>1.6266899850535688E-2</v>
      </c>
      <c r="T114" s="274">
        <f t="shared" si="130"/>
        <v>1.6266899850535688E-2</v>
      </c>
      <c r="U114" s="274">
        <f t="shared" si="130"/>
        <v>1.6266899850535688E-2</v>
      </c>
      <c r="V114" s="274">
        <f t="shared" si="130"/>
        <v>1.6266899850535688E-2</v>
      </c>
      <c r="W114" s="274">
        <f t="shared" si="130"/>
        <v>1.6266899850535688E-2</v>
      </c>
      <c r="X114" s="274">
        <f t="shared" si="130"/>
        <v>1.6266899850535688E-2</v>
      </c>
      <c r="Y114" s="274">
        <f t="shared" si="130"/>
        <v>1.6266899850535688E-2</v>
      </c>
      <c r="Z114" s="274">
        <f t="shared" si="130"/>
        <v>1.6266899850535688E-2</v>
      </c>
      <c r="AA114" s="274">
        <f t="shared" si="130"/>
        <v>1.6266899850535688E-2</v>
      </c>
      <c r="AB114" s="274"/>
      <c r="AC114" s="274"/>
      <c r="AD114" s="274"/>
      <c r="AE114" s="274"/>
      <c r="AF114" s="274"/>
      <c r="AG114" s="274"/>
      <c r="AH114" s="274"/>
      <c r="AI114" s="274"/>
      <c r="AJ114" s="274"/>
      <c r="AK114" s="274"/>
      <c r="AL114" s="274"/>
      <c r="AM114" s="274"/>
      <c r="AN114" s="274"/>
      <c r="AO114" s="274"/>
      <c r="AP114" s="274"/>
      <c r="AQ114" s="274"/>
      <c r="AR114" s="274"/>
      <c r="AS114" s="274"/>
      <c r="AT114" s="274"/>
      <c r="AU114" s="274"/>
      <c r="AV114" s="274"/>
      <c r="AW114" s="274"/>
      <c r="AX114" s="274"/>
      <c r="AY114" s="274"/>
      <c r="AZ114" s="274"/>
      <c r="BA114" s="274"/>
    </row>
    <row r="115" spans="2:53" s="124" customFormat="1" ht="28.95" customHeight="1" x14ac:dyDescent="0.25">
      <c r="B115" s="1270" t="s">
        <v>1526</v>
      </c>
      <c r="J115" s="204">
        <f>27995723203/D105</f>
        <v>27.995723203000001</v>
      </c>
      <c r="K115" s="204">
        <f>9477339180/D105</f>
        <v>9.4773391799999995</v>
      </c>
      <c r="L115" s="204">
        <f>11412183722/D105</f>
        <v>11.412183722</v>
      </c>
      <c r="M115" s="204">
        <f>12148696772/D105</f>
        <v>12.148696771999999</v>
      </c>
      <c r="N115" s="204">
        <f>11995552410/D105</f>
        <v>11.99555241</v>
      </c>
      <c r="O115" s="204">
        <f>12794781096/D105</f>
        <v>12.794781095999999</v>
      </c>
      <c r="P115" s="1179">
        <f>(4583159755+1529430775+23823291038)/D105</f>
        <v>29.935881567999999</v>
      </c>
      <c r="Q115" s="1180">
        <f>Q116*Q12</f>
        <v>20.450085223941151</v>
      </c>
      <c r="R115" s="1180">
        <f t="shared" ref="R115:AA115" si="131">R116*R12</f>
        <v>21.334693877910816</v>
      </c>
      <c r="S115" s="1180">
        <f t="shared" si="131"/>
        <v>26.935178478998882</v>
      </c>
      <c r="T115" s="1180">
        <f t="shared" si="131"/>
        <v>28.73011614285835</v>
      </c>
      <c r="U115" s="1180">
        <f t="shared" si="131"/>
        <v>30.531917381120561</v>
      </c>
      <c r="V115" s="1180">
        <f t="shared" si="131"/>
        <v>32.018408301951936</v>
      </c>
      <c r="W115" s="1180">
        <f t="shared" si="131"/>
        <v>33.873195092464506</v>
      </c>
      <c r="X115" s="1180">
        <f t="shared" si="131"/>
        <v>35.181522951626171</v>
      </c>
      <c r="Y115" s="1180">
        <f t="shared" si="131"/>
        <v>36.597844517216828</v>
      </c>
      <c r="Z115" s="1180">
        <f t="shared" si="131"/>
        <v>38.132812257222248</v>
      </c>
      <c r="AA115" s="1180">
        <f t="shared" si="131"/>
        <v>39.798176664497255</v>
      </c>
      <c r="AB115" s="1181"/>
      <c r="AC115" s="1181"/>
      <c r="AD115" s="1181"/>
      <c r="AE115" s="1181"/>
      <c r="AF115" s="1181"/>
      <c r="AG115" s="1181"/>
      <c r="AH115" s="1181"/>
      <c r="AI115" s="1181"/>
      <c r="AJ115" s="1181"/>
      <c r="AK115" s="1181"/>
      <c r="AL115" s="1181"/>
      <c r="AM115" s="1181"/>
      <c r="AN115" s="1181"/>
      <c r="AO115" s="1181"/>
      <c r="AP115" s="1181"/>
      <c r="AQ115" s="1181"/>
      <c r="AR115" s="1181"/>
      <c r="AS115" s="1181"/>
      <c r="AT115" s="1181"/>
      <c r="AU115" s="1181"/>
      <c r="AV115" s="1181"/>
      <c r="AW115" s="1181"/>
      <c r="AX115" s="1181"/>
      <c r="AY115" s="1181"/>
      <c r="AZ115" s="1181"/>
      <c r="BA115" s="1181"/>
    </row>
    <row r="116" spans="2:53" s="124" customFormat="1" ht="30.75" customHeight="1" x14ac:dyDescent="0.25">
      <c r="B116" s="1271" t="s">
        <v>1522</v>
      </c>
      <c r="D116" s="196"/>
      <c r="E116" s="196"/>
      <c r="F116" s="196"/>
      <c r="G116" s="196"/>
      <c r="H116" s="196"/>
      <c r="I116" s="196"/>
      <c r="J116" s="196">
        <f>J115/J12</f>
        <v>2.2852382364891552E-2</v>
      </c>
      <c r="K116" s="196">
        <f t="shared" ref="K116:P116" si="132">K115/K12</f>
        <v>6.8433292119665775E-3</v>
      </c>
      <c r="L116" s="196">
        <f t="shared" si="132"/>
        <v>8.2206875725803676E-3</v>
      </c>
      <c r="M116" s="196">
        <f t="shared" si="132"/>
        <v>8.6712961588765909E-3</v>
      </c>
      <c r="N116" s="196">
        <f t="shared" si="132"/>
        <v>9.5072334913016941E-3</v>
      </c>
      <c r="O116" s="196">
        <f t="shared" si="132"/>
        <v>1.0179209161516184E-2</v>
      </c>
      <c r="P116" s="1196">
        <f t="shared" si="132"/>
        <v>1.9208083627807349E-2</v>
      </c>
      <c r="Q116" s="274">
        <f>AVERAGE(J116:P116)</f>
        <v>1.2211745941277189E-2</v>
      </c>
      <c r="R116" s="274">
        <f>Q116</f>
        <v>1.2211745941277189E-2</v>
      </c>
      <c r="S116" s="274">
        <f t="shared" ref="S116:AA116" si="133">R116</f>
        <v>1.2211745941277189E-2</v>
      </c>
      <c r="T116" s="274">
        <f t="shared" si="133"/>
        <v>1.2211745941277189E-2</v>
      </c>
      <c r="U116" s="274">
        <f t="shared" si="133"/>
        <v>1.2211745941277189E-2</v>
      </c>
      <c r="V116" s="274">
        <f t="shared" si="133"/>
        <v>1.2211745941277189E-2</v>
      </c>
      <c r="W116" s="274">
        <f t="shared" si="133"/>
        <v>1.2211745941277189E-2</v>
      </c>
      <c r="X116" s="274">
        <f t="shared" si="133"/>
        <v>1.2211745941277189E-2</v>
      </c>
      <c r="Y116" s="274">
        <f t="shared" si="133"/>
        <v>1.2211745941277189E-2</v>
      </c>
      <c r="Z116" s="274">
        <f t="shared" si="133"/>
        <v>1.2211745941277189E-2</v>
      </c>
      <c r="AA116" s="274">
        <f t="shared" si="133"/>
        <v>1.2211745941277189E-2</v>
      </c>
      <c r="AB116" s="274"/>
      <c r="AC116" s="274"/>
      <c r="AD116" s="274"/>
      <c r="AE116" s="274"/>
      <c r="AF116" s="274"/>
      <c r="AG116" s="274"/>
      <c r="AH116" s="274"/>
      <c r="AI116" s="274"/>
      <c r="AJ116" s="274"/>
      <c r="AK116" s="274"/>
      <c r="AL116" s="274"/>
      <c r="AM116" s="274"/>
      <c r="AN116" s="274"/>
      <c r="AO116" s="274"/>
      <c r="AP116" s="274"/>
      <c r="AQ116" s="274"/>
      <c r="AR116" s="274"/>
      <c r="AS116" s="274"/>
      <c r="AT116" s="274"/>
      <c r="AU116" s="274"/>
      <c r="AV116" s="274"/>
      <c r="AW116" s="274"/>
      <c r="AX116" s="274"/>
      <c r="AY116" s="274"/>
      <c r="AZ116" s="274"/>
      <c r="BA116" s="274"/>
    </row>
    <row r="117" spans="2:53" s="124" customFormat="1" ht="30.75" customHeight="1" x14ac:dyDescent="0.25">
      <c r="B117" s="147" t="s">
        <v>1506</v>
      </c>
      <c r="D117" s="196"/>
      <c r="E117" s="196"/>
      <c r="F117" s="196"/>
      <c r="G117" s="196"/>
      <c r="H117" s="196"/>
      <c r="I117" s="196"/>
      <c r="J117" s="204">
        <f>18695516395/D105</f>
        <v>18.695516394999999</v>
      </c>
      <c r="K117" s="204">
        <f>-4878066678/D105</f>
        <v>-4.8780666779999997</v>
      </c>
      <c r="L117" s="204">
        <f>-2644379422/D105</f>
        <v>-2.6443794220000001</v>
      </c>
      <c r="M117" s="204">
        <f>1120705235/D105</f>
        <v>1.120705235</v>
      </c>
      <c r="N117" s="204">
        <f>21921386233/D105</f>
        <v>21.921386233</v>
      </c>
      <c r="O117" s="204">
        <f>14288446894/D105</f>
        <v>14.288446894</v>
      </c>
      <c r="P117" s="1179">
        <f>(112488415+15000000000+7116693459)/D105</f>
        <v>22.229181873999998</v>
      </c>
      <c r="Q117" s="1180">
        <f>Q118*Q12</f>
        <v>12.83200029040148</v>
      </c>
      <c r="R117" s="1180">
        <f t="shared" ref="R117:AA117" si="134">R118*R12</f>
        <v>13.387073698669786</v>
      </c>
      <c r="S117" s="1180">
        <f t="shared" si="134"/>
        <v>16.901260521882506</v>
      </c>
      <c r="T117" s="1180">
        <f t="shared" si="134"/>
        <v>18.027546323221497</v>
      </c>
      <c r="U117" s="1180">
        <f t="shared" si="134"/>
        <v>19.158138873787433</v>
      </c>
      <c r="V117" s="1180">
        <f t="shared" si="134"/>
        <v>20.090880802190568</v>
      </c>
      <c r="W117" s="1180">
        <f t="shared" si="134"/>
        <v>21.254720677372433</v>
      </c>
      <c r="X117" s="1180">
        <f t="shared" si="134"/>
        <v>22.075669014988573</v>
      </c>
      <c r="Y117" s="1180">
        <f t="shared" si="134"/>
        <v>22.964381142196942</v>
      </c>
      <c r="Z117" s="1180">
        <f t="shared" si="134"/>
        <v>23.927541259615293</v>
      </c>
      <c r="AA117" s="1180">
        <f t="shared" si="134"/>
        <v>24.972522555476061</v>
      </c>
      <c r="AB117" s="1181"/>
      <c r="AC117" s="274"/>
      <c r="AD117" s="274"/>
      <c r="AE117" s="274"/>
      <c r="AF117" s="274"/>
      <c r="AG117" s="274"/>
      <c r="AH117" s="274"/>
      <c r="AI117" s="274"/>
      <c r="AJ117" s="274"/>
      <c r="AK117" s="274"/>
      <c r="AL117" s="274"/>
      <c r="AM117" s="274"/>
      <c r="AN117" s="274"/>
      <c r="AO117" s="274"/>
      <c r="AP117" s="274"/>
      <c r="AQ117" s="274"/>
      <c r="AR117" s="274"/>
      <c r="AS117" s="274"/>
      <c r="AT117" s="274"/>
      <c r="AU117" s="274"/>
      <c r="AV117" s="274"/>
      <c r="AW117" s="274"/>
      <c r="AX117" s="274"/>
      <c r="AY117" s="274"/>
      <c r="AZ117" s="274"/>
      <c r="BA117" s="274"/>
    </row>
    <row r="118" spans="2:53" s="124" customFormat="1" ht="30.75" customHeight="1" x14ac:dyDescent="0.25">
      <c r="B118" s="1271" t="s">
        <v>1522</v>
      </c>
      <c r="D118" s="196"/>
      <c r="E118" s="196"/>
      <c r="F118" s="196"/>
      <c r="G118" s="196"/>
      <c r="H118" s="196"/>
      <c r="I118" s="196"/>
      <c r="J118" s="196">
        <f>J117/J12</f>
        <v>1.5260798446594743E-2</v>
      </c>
      <c r="K118" s="196">
        <f t="shared" ref="K118:P118" si="135">K117/K12</f>
        <v>-3.5223194571240577E-3</v>
      </c>
      <c r="L118" s="196">
        <f t="shared" si="135"/>
        <v>-1.9048604177056602E-3</v>
      </c>
      <c r="M118" s="196">
        <f t="shared" si="135"/>
        <v>7.999184753615799E-4</v>
      </c>
      <c r="N118" s="196">
        <f t="shared" si="135"/>
        <v>1.7374084181100043E-2</v>
      </c>
      <c r="O118" s="196">
        <f t="shared" si="135"/>
        <v>1.136753246780536E-2</v>
      </c>
      <c r="P118" s="1196">
        <f t="shared" si="135"/>
        <v>1.4263150508650865E-2</v>
      </c>
      <c r="Q118" s="274">
        <f>AVERAGE(J118:P118)</f>
        <v>7.6626148863832679E-3</v>
      </c>
      <c r="R118" s="274">
        <f>Q118</f>
        <v>7.6626148863832679E-3</v>
      </c>
      <c r="S118" s="274">
        <f t="shared" ref="S118:AA118" si="136">R118</f>
        <v>7.6626148863832679E-3</v>
      </c>
      <c r="T118" s="274">
        <f t="shared" si="136"/>
        <v>7.6626148863832679E-3</v>
      </c>
      <c r="U118" s="274">
        <f t="shared" si="136"/>
        <v>7.6626148863832679E-3</v>
      </c>
      <c r="V118" s="274">
        <f t="shared" si="136"/>
        <v>7.6626148863832679E-3</v>
      </c>
      <c r="W118" s="274">
        <f t="shared" si="136"/>
        <v>7.6626148863832679E-3</v>
      </c>
      <c r="X118" s="274">
        <f t="shared" si="136"/>
        <v>7.6626148863832679E-3</v>
      </c>
      <c r="Y118" s="274">
        <f t="shared" si="136"/>
        <v>7.6626148863832679E-3</v>
      </c>
      <c r="Z118" s="274">
        <f t="shared" si="136"/>
        <v>7.6626148863832679E-3</v>
      </c>
      <c r="AA118" s="274">
        <f t="shared" si="136"/>
        <v>7.6626148863832679E-3</v>
      </c>
      <c r="AB118" s="274"/>
      <c r="AC118" s="274"/>
      <c r="AD118" s="274"/>
      <c r="AE118" s="274"/>
      <c r="AF118" s="274"/>
      <c r="AG118" s="274"/>
      <c r="AH118" s="274"/>
      <c r="AI118" s="274"/>
      <c r="AJ118" s="274"/>
      <c r="AK118" s="274"/>
      <c r="AL118" s="274"/>
      <c r="AM118" s="274"/>
      <c r="AN118" s="274"/>
      <c r="AO118" s="274"/>
      <c r="AP118" s="274"/>
      <c r="AQ118" s="274"/>
      <c r="AR118" s="274"/>
      <c r="AS118" s="274"/>
      <c r="AT118" s="274"/>
      <c r="AU118" s="274"/>
      <c r="AV118" s="274"/>
      <c r="AW118" s="274"/>
      <c r="AX118" s="274"/>
      <c r="AY118" s="274"/>
      <c r="AZ118" s="274"/>
      <c r="BA118" s="274"/>
    </row>
    <row r="119" spans="2:53" s="1274" customFormat="1" ht="25.5" customHeight="1" x14ac:dyDescent="0.25">
      <c r="B119" s="1272" t="s">
        <v>1530</v>
      </c>
      <c r="C119" s="1273"/>
      <c r="D119" s="1219"/>
      <c r="E119" s="1219"/>
      <c r="F119" s="1219"/>
      <c r="G119" s="1219"/>
      <c r="H119" s="1219"/>
      <c r="I119" s="1219"/>
      <c r="J119" s="1220">
        <f>IF('IS Raw'!J31, -'IS Raw'!J31,'Consol. Rev.'!J105)</f>
        <v>102.01818872299999</v>
      </c>
      <c r="K119" s="1220">
        <f>IF('IS Raw'!K31, -'IS Raw'!K31,'Consol. Rev.'!K105)</f>
        <v>90.386997007000005</v>
      </c>
      <c r="L119" s="1220">
        <f>IF('IS Raw'!L31, -'IS Raw'!L31,'Consol. Rev.'!L105)</f>
        <v>92.776906479999994</v>
      </c>
      <c r="M119" s="1220">
        <f>IF('IS Raw'!M31, -'IS Raw'!M31,'Consol. Rev.'!M105)</f>
        <v>67.521210099000001</v>
      </c>
      <c r="N119" s="1220">
        <f>IF('IS Raw'!N31, -'IS Raw'!N31,'Consol. Rev.'!N105)</f>
        <v>84.108597928999998</v>
      </c>
      <c r="O119" s="1220">
        <f>IF('IS Raw'!O31, -'IS Raw'!O31,'Consol. Rev.'!O105)</f>
        <v>88.501075564000004</v>
      </c>
      <c r="P119" s="1221">
        <f>IF('IS Raw'!P31, -'IS Raw'!P31,'Consol. Rev.'!P105)</f>
        <v>128.99777688099999</v>
      </c>
      <c r="Q119" s="1222">
        <f>IF('IS Raw'!Q31, -'IS Raw'!Q31,'Consol. Rev.'!Q105)</f>
        <v>117.46145554648521</v>
      </c>
      <c r="R119" s="1222">
        <f>IF('IS Raw'!R31, -'IS Raw'!R31,'Consol. Rev.'!R105)</f>
        <v>122.54248180854927</v>
      </c>
      <c r="S119" s="1222">
        <f>IF('IS Raw'!S31, -'IS Raw'!S31,'Consol. Rev.'!S105)</f>
        <v>154.71061537893357</v>
      </c>
      <c r="T119" s="1222">
        <f>IF('IS Raw'!T31, -'IS Raw'!T31,'Consol. Rev.'!T105)</f>
        <v>165.02040080541738</v>
      </c>
      <c r="U119" s="1222">
        <f>IF('IS Raw'!U31, -'IS Raw'!U31,'Consol. Rev.'!U105)</f>
        <v>175.36960931648838</v>
      </c>
      <c r="V119" s="1222">
        <f>IF('IS Raw'!V31, -'IS Raw'!V31,'Consol. Rev.'!V105)</f>
        <v>183.90773447858186</v>
      </c>
      <c r="W119" s="1222">
        <f>IF('IS Raw'!W31, -'IS Raw'!W31,'Consol. Rev.'!W105)</f>
        <v>194.56128206805312</v>
      </c>
      <c r="X119" s="1222">
        <f>IF('IS Raw'!X31, -'IS Raw'!X31,'Consol. Rev.'!X105)</f>
        <v>202.07607200590792</v>
      </c>
      <c r="Y119" s="1222">
        <f>IF('IS Raw'!Y31, -'IS Raw'!Y31,'Consol. Rev.'!Y105)</f>
        <v>210.21115754684212</v>
      </c>
      <c r="Z119" s="1222">
        <f>IF('IS Raw'!Z31, -'IS Raw'!Z31,'Consol. Rev.'!Z105)</f>
        <v>219.02772446984235</v>
      </c>
      <c r="AA119" s="1222">
        <f>IF('IS Raw'!AA31, -'IS Raw'!AA31,'Consol. Rev.'!AA105)</f>
        <v>228.59326540288561</v>
      </c>
      <c r="AB119" s="1223"/>
      <c r="AC119" s="1223"/>
      <c r="AD119" s="1223"/>
      <c r="AE119" s="1223"/>
      <c r="AF119" s="1223"/>
      <c r="AG119" s="1223"/>
      <c r="AH119" s="1223"/>
      <c r="AI119" s="1223"/>
      <c r="AJ119" s="1223"/>
      <c r="AK119" s="1223"/>
      <c r="AL119" s="1223"/>
      <c r="AM119" s="1223"/>
      <c r="AN119" s="1223"/>
      <c r="AO119" s="1223"/>
      <c r="AP119" s="1223"/>
      <c r="AQ119" s="1223"/>
      <c r="AR119" s="1223"/>
      <c r="AS119" s="1223"/>
      <c r="AT119" s="1223"/>
      <c r="AU119" s="1223"/>
      <c r="AV119" s="1223"/>
      <c r="AW119" s="1223"/>
      <c r="AX119" s="1223"/>
      <c r="AY119" s="1223"/>
      <c r="AZ119" s="1223"/>
      <c r="BA119" s="1223"/>
    </row>
    <row r="120" spans="2:53" s="226" customFormat="1" ht="21.6" customHeight="1" x14ac:dyDescent="0.25">
      <c r="B120" s="1260" t="s">
        <v>1528</v>
      </c>
      <c r="D120" s="1226"/>
      <c r="E120" s="1226"/>
      <c r="F120" s="1226"/>
      <c r="G120" s="1226"/>
      <c r="H120" s="1226"/>
      <c r="I120" s="1226"/>
      <c r="J120" s="1226"/>
      <c r="K120" s="1226"/>
      <c r="L120" s="1226"/>
      <c r="M120" s="1226"/>
      <c r="N120" s="1226"/>
      <c r="O120" s="1226"/>
      <c r="P120" s="1227"/>
      <c r="Q120" s="1228"/>
      <c r="R120" s="1228"/>
      <c r="S120" s="1228"/>
      <c r="T120" s="1228"/>
      <c r="U120" s="1228"/>
      <c r="V120" s="1228"/>
      <c r="W120" s="1228"/>
      <c r="X120" s="1228"/>
      <c r="Y120" s="1228"/>
      <c r="Z120" s="1228"/>
      <c r="AA120" s="1228"/>
      <c r="AB120" s="1228"/>
      <c r="AC120" s="1228"/>
      <c r="AD120" s="1228"/>
      <c r="AE120" s="1228"/>
      <c r="AF120" s="1228"/>
      <c r="AG120" s="1228"/>
      <c r="AH120" s="1228"/>
      <c r="AI120" s="1228"/>
      <c r="AJ120" s="1228"/>
      <c r="AK120" s="1228"/>
      <c r="AL120" s="1228"/>
      <c r="AM120" s="1228"/>
      <c r="AN120" s="1228"/>
      <c r="AO120" s="1228"/>
      <c r="AP120" s="1228"/>
      <c r="AQ120" s="1228"/>
      <c r="AR120" s="1228"/>
      <c r="AS120" s="1228"/>
      <c r="AT120" s="1228"/>
      <c r="AU120" s="1228"/>
      <c r="AV120" s="1228"/>
      <c r="AW120" s="1228"/>
      <c r="AX120" s="1228"/>
      <c r="AY120" s="1228"/>
      <c r="AZ120" s="1228"/>
      <c r="BA120" s="1228"/>
    </row>
    <row r="121" spans="2:53" s="226" customFormat="1" ht="22.2" customHeight="1" x14ac:dyDescent="0.25">
      <c r="B121" s="1260" t="s">
        <v>1520</v>
      </c>
      <c r="D121" s="1226" t="str">
        <f t="shared" ref="D121:I121" si="137">IFERROR(D119/D12," ")</f>
        <v xml:space="preserve"> </v>
      </c>
      <c r="E121" s="1226" t="str">
        <f t="shared" si="137"/>
        <v xml:space="preserve"> </v>
      </c>
      <c r="F121" s="1226" t="str">
        <f t="shared" si="137"/>
        <v xml:space="preserve"> </v>
      </c>
      <c r="G121" s="1226" t="str">
        <f t="shared" si="137"/>
        <v xml:space="preserve"> </v>
      </c>
      <c r="H121" s="1226" t="str">
        <f t="shared" si="137"/>
        <v xml:space="preserve"> </v>
      </c>
      <c r="I121" s="1226" t="str">
        <f t="shared" si="137"/>
        <v xml:space="preserve"> </v>
      </c>
      <c r="J121" s="1226"/>
      <c r="K121" s="1226"/>
      <c r="L121" s="1226"/>
      <c r="M121" s="1226"/>
      <c r="N121" s="1226"/>
      <c r="O121" s="1226"/>
      <c r="P121" s="1227"/>
      <c r="Q121" s="1228"/>
      <c r="R121" s="1228"/>
      <c r="S121" s="1228"/>
      <c r="T121" s="1228"/>
      <c r="U121" s="1228"/>
      <c r="V121" s="1228"/>
      <c r="W121" s="1228"/>
      <c r="X121" s="1228"/>
      <c r="Y121" s="1228"/>
      <c r="Z121" s="1228"/>
      <c r="AA121" s="1228"/>
      <c r="AB121" s="1228"/>
      <c r="AC121" s="1228"/>
      <c r="AD121" s="1228"/>
      <c r="AE121" s="1228"/>
      <c r="AF121" s="1228"/>
      <c r="AG121" s="1228"/>
      <c r="AH121" s="1228"/>
      <c r="AI121" s="1228"/>
      <c r="AJ121" s="1228"/>
      <c r="AK121" s="1228"/>
      <c r="AL121" s="1228"/>
      <c r="AM121" s="1228"/>
      <c r="AN121" s="1228"/>
      <c r="AO121" s="1228"/>
      <c r="AP121" s="1228"/>
      <c r="AQ121" s="1228"/>
      <c r="AR121" s="1228"/>
      <c r="AS121" s="1228"/>
      <c r="AT121" s="1228"/>
      <c r="AU121" s="1228"/>
      <c r="AV121" s="1228"/>
      <c r="AW121" s="1228"/>
      <c r="AX121" s="1228"/>
      <c r="AY121" s="1228"/>
      <c r="AZ121" s="1228"/>
      <c r="BA121" s="1228"/>
    </row>
    <row r="122" spans="2:53" s="1275" customFormat="1" ht="23.4" customHeight="1" x14ac:dyDescent="0.25">
      <c r="P122" s="1276"/>
    </row>
    <row r="123" spans="2:53" s="42" customFormat="1" ht="23.25" customHeight="1" x14ac:dyDescent="0.25">
      <c r="B123" s="42" t="s">
        <v>1531</v>
      </c>
      <c r="D123" s="117"/>
      <c r="E123" s="117"/>
      <c r="F123" s="117"/>
      <c r="G123" s="1203"/>
      <c r="H123" s="117"/>
      <c r="I123" s="117"/>
      <c r="J123" s="1203">
        <f>SUM(J124,J126,J128,J130,J132,J134)</f>
        <v>729.26034858600008</v>
      </c>
      <c r="K123" s="1203">
        <f t="shared" ref="K123:P123" si="138">SUM(K124,K126,K128,K130,K132,K134)</f>
        <v>827.35551879699995</v>
      </c>
      <c r="L123" s="1203">
        <f t="shared" si="138"/>
        <v>801.76139834099979</v>
      </c>
      <c r="M123" s="1203">
        <f t="shared" si="138"/>
        <v>685.83928616799994</v>
      </c>
      <c r="N123" s="1203">
        <f t="shared" si="138"/>
        <v>775.78665738100005</v>
      </c>
      <c r="O123" s="1203">
        <f t="shared" si="138"/>
        <v>891.26303157900009</v>
      </c>
      <c r="P123" s="1204">
        <f t="shared" si="138"/>
        <v>991.16897962900009</v>
      </c>
      <c r="Q123" s="1205">
        <f>SUM(Q124,Q126,Q128,Q130,Q132,Q134)</f>
        <v>1009.4787473215115</v>
      </c>
      <c r="R123" s="1205">
        <f t="shared" ref="R123:AA123" si="139">SUM(R124,R126,R128,R130,R132,R134)</f>
        <v>1048.1857943590317</v>
      </c>
      <c r="S123" s="1205">
        <f t="shared" si="139"/>
        <v>1293.2412998805257</v>
      </c>
      <c r="T123" s="1205">
        <f t="shared" si="139"/>
        <v>1371.7808170700191</v>
      </c>
      <c r="U123" s="1205">
        <f t="shared" si="139"/>
        <v>1450.620657680565</v>
      </c>
      <c r="V123" s="1205">
        <f t="shared" si="139"/>
        <v>1515.6637405571205</v>
      </c>
      <c r="W123" s="1205">
        <f t="shared" si="139"/>
        <v>1596.8220236270072</v>
      </c>
      <c r="X123" s="1205">
        <f t="shared" si="139"/>
        <v>1654.0693812668133</v>
      </c>
      <c r="Y123" s="1205">
        <f t="shared" si="139"/>
        <v>1716.0421250485533</v>
      </c>
      <c r="Z123" s="1205">
        <f t="shared" si="139"/>
        <v>1783.2063656953603</v>
      </c>
      <c r="AA123" s="1205">
        <f t="shared" si="139"/>
        <v>1856.0762592440349</v>
      </c>
      <c r="AB123" s="1205"/>
      <c r="AC123" s="1205"/>
      <c r="AD123" s="1205"/>
      <c r="AE123" s="1205"/>
      <c r="AF123" s="1205"/>
      <c r="AG123" s="1205"/>
      <c r="AH123" s="1205"/>
      <c r="AI123" s="1205"/>
      <c r="AJ123" s="1205"/>
      <c r="AK123" s="1205"/>
      <c r="AL123" s="1205"/>
      <c r="AM123" s="1205"/>
      <c r="AN123" s="1205"/>
      <c r="AO123" s="1205"/>
      <c r="AP123" s="1205"/>
      <c r="AQ123" s="1205"/>
      <c r="AR123" s="1205"/>
      <c r="AS123" s="1205"/>
      <c r="AT123" s="1205"/>
      <c r="AU123" s="1205"/>
      <c r="AV123" s="1205"/>
      <c r="AW123" s="1205"/>
      <c r="AX123" s="1205"/>
      <c r="AY123" s="1205"/>
      <c r="AZ123" s="1205"/>
      <c r="BA123" s="1205"/>
    </row>
    <row r="124" spans="2:53" s="29" customFormat="1" ht="27" customHeight="1" x14ac:dyDescent="0.25">
      <c r="B124" s="147" t="s">
        <v>1521</v>
      </c>
      <c r="D124" s="124"/>
      <c r="E124" s="124"/>
      <c r="F124" s="124"/>
      <c r="G124" s="204"/>
      <c r="H124" s="124"/>
      <c r="I124" s="124"/>
      <c r="J124" s="204">
        <f>Notes!J167</f>
        <v>303.23109411399997</v>
      </c>
      <c r="K124" s="204">
        <f>Notes!K167</f>
        <v>380.35389265999999</v>
      </c>
      <c r="L124" s="204">
        <f>Notes!L167</f>
        <v>394.12482461399998</v>
      </c>
      <c r="M124" s="204">
        <f>Notes!M167</f>
        <v>353.37877407799999</v>
      </c>
      <c r="N124" s="204">
        <f>Notes!N167</f>
        <v>432.11670657399998</v>
      </c>
      <c r="O124" s="204">
        <f>Notes!O167</f>
        <v>491.227528898</v>
      </c>
      <c r="P124" s="1179">
        <f>Notes!P167</f>
        <v>487.43203985700001</v>
      </c>
      <c r="Q124" s="1180">
        <f>Q12*Q125</f>
        <v>503.42636175051553</v>
      </c>
      <c r="R124" s="1180">
        <f t="shared" ref="R124:AA124" si="140">R12*R125</f>
        <v>525.20305907789918</v>
      </c>
      <c r="S124" s="1180">
        <f t="shared" si="140"/>
        <v>663.07199976401489</v>
      </c>
      <c r="T124" s="1180">
        <f t="shared" si="140"/>
        <v>707.25856073872728</v>
      </c>
      <c r="U124" s="1180">
        <f t="shared" si="140"/>
        <v>751.61408454427101</v>
      </c>
      <c r="V124" s="1180">
        <f t="shared" si="140"/>
        <v>788.20751229063671</v>
      </c>
      <c r="W124" s="1180">
        <f t="shared" si="140"/>
        <v>833.86739857206442</v>
      </c>
      <c r="X124" s="1180">
        <f t="shared" si="140"/>
        <v>866.07492860932382</v>
      </c>
      <c r="Y124" s="1180">
        <f t="shared" si="140"/>
        <v>900.94097464415233</v>
      </c>
      <c r="Z124" s="1180">
        <f t="shared" si="140"/>
        <v>938.72777192608646</v>
      </c>
      <c r="AA124" s="1180">
        <f t="shared" si="140"/>
        <v>979.72458613797778</v>
      </c>
      <c r="AB124" s="1181"/>
      <c r="AC124" s="1181"/>
      <c r="AD124" s="1181"/>
      <c r="AE124" s="1181"/>
      <c r="AF124" s="1181"/>
      <c r="AG124" s="1181"/>
      <c r="AH124" s="1181"/>
      <c r="AI124" s="1181"/>
      <c r="AJ124" s="1181"/>
      <c r="AK124" s="1181"/>
      <c r="AL124" s="1181"/>
      <c r="AM124" s="1181"/>
      <c r="AN124" s="1181"/>
      <c r="AO124" s="1181"/>
      <c r="AP124" s="1181"/>
      <c r="AQ124" s="1181"/>
      <c r="AR124" s="1181"/>
      <c r="AS124" s="1181"/>
      <c r="AT124" s="1181"/>
      <c r="AU124" s="1181"/>
      <c r="AV124" s="1181"/>
      <c r="AW124" s="1181"/>
      <c r="AX124" s="1181"/>
      <c r="AY124" s="1181"/>
      <c r="AZ124" s="1181"/>
      <c r="BA124" s="1181"/>
    </row>
    <row r="125" spans="2:53" s="124" customFormat="1" ht="19.5" customHeight="1" x14ac:dyDescent="0.25">
      <c r="B125" s="1271" t="s">
        <v>1522</v>
      </c>
      <c r="D125" s="196"/>
      <c r="E125" s="196"/>
      <c r="F125" s="196"/>
      <c r="G125" s="196"/>
      <c r="H125" s="196"/>
      <c r="I125" s="196"/>
      <c r="J125" s="196">
        <f>J124/J12</f>
        <v>0.24752183958137497</v>
      </c>
      <c r="K125" s="196">
        <f t="shared" ref="K125:P125" si="141">K124/K12</f>
        <v>0.27464321526217428</v>
      </c>
      <c r="L125" s="196">
        <f t="shared" si="141"/>
        <v>0.28390509009277642</v>
      </c>
      <c r="M125" s="196">
        <f t="shared" si="141"/>
        <v>0.25222886567993763</v>
      </c>
      <c r="N125" s="196">
        <f t="shared" si="141"/>
        <v>0.34247980288648666</v>
      </c>
      <c r="O125" s="196">
        <f t="shared" si="141"/>
        <v>0.39080838703138976</v>
      </c>
      <c r="P125" s="1196">
        <f t="shared" si="141"/>
        <v>0.31275629425439011</v>
      </c>
      <c r="Q125" s="274">
        <f>AVERAGE(J125:P125)</f>
        <v>0.30062049925550427</v>
      </c>
      <c r="R125" s="274">
        <f>Q125</f>
        <v>0.30062049925550427</v>
      </c>
      <c r="S125" s="274">
        <f t="shared" ref="S125:AA125" si="142">R125</f>
        <v>0.30062049925550427</v>
      </c>
      <c r="T125" s="274">
        <f t="shared" si="142"/>
        <v>0.30062049925550427</v>
      </c>
      <c r="U125" s="274">
        <f t="shared" si="142"/>
        <v>0.30062049925550427</v>
      </c>
      <c r="V125" s="274">
        <f t="shared" si="142"/>
        <v>0.30062049925550427</v>
      </c>
      <c r="W125" s="274">
        <f t="shared" si="142"/>
        <v>0.30062049925550427</v>
      </c>
      <c r="X125" s="274">
        <f t="shared" si="142"/>
        <v>0.30062049925550427</v>
      </c>
      <c r="Y125" s="274">
        <f t="shared" si="142"/>
        <v>0.30062049925550427</v>
      </c>
      <c r="Z125" s="274">
        <f t="shared" si="142"/>
        <v>0.30062049925550427</v>
      </c>
      <c r="AA125" s="274">
        <f t="shared" si="142"/>
        <v>0.30062049925550427</v>
      </c>
      <c r="AB125" s="274"/>
      <c r="AC125" s="274"/>
      <c r="AD125" s="274"/>
      <c r="AE125" s="274"/>
      <c r="AF125" s="274"/>
      <c r="AG125" s="274"/>
      <c r="AH125" s="274"/>
      <c r="AI125" s="274"/>
      <c r="AJ125" s="274"/>
      <c r="AK125" s="274"/>
      <c r="AL125" s="274"/>
      <c r="AM125" s="274"/>
      <c r="AN125" s="274"/>
      <c r="AO125" s="274"/>
      <c r="AP125" s="274"/>
      <c r="AQ125" s="274"/>
      <c r="AR125" s="274"/>
      <c r="AS125" s="274"/>
      <c r="AT125" s="274"/>
      <c r="AU125" s="274"/>
      <c r="AV125" s="274"/>
      <c r="AW125" s="274"/>
      <c r="AX125" s="274"/>
      <c r="AY125" s="274"/>
      <c r="AZ125" s="274"/>
      <c r="BA125" s="274"/>
    </row>
    <row r="126" spans="2:53" s="29" customFormat="1" ht="24.75" customHeight="1" x14ac:dyDescent="0.25">
      <c r="B126" s="147" t="s">
        <v>1523</v>
      </c>
      <c r="D126" s="124"/>
      <c r="E126" s="124"/>
      <c r="F126" s="124"/>
      <c r="G126" s="124"/>
      <c r="H126" s="124"/>
      <c r="I126" s="124"/>
      <c r="J126" s="204">
        <f>Notes!J168</f>
        <v>150.352712626</v>
      </c>
      <c r="K126" s="204">
        <f>Notes!K168</f>
        <v>206.37608523399999</v>
      </c>
      <c r="L126" s="204">
        <f>Notes!L168</f>
        <v>159.59329476799999</v>
      </c>
      <c r="M126" s="204">
        <f>Notes!M168</f>
        <v>135.73710127499999</v>
      </c>
      <c r="N126" s="204">
        <f>Notes!N168</f>
        <v>144.425357144</v>
      </c>
      <c r="O126" s="204">
        <f>Notes!O168</f>
        <v>188.37635693499999</v>
      </c>
      <c r="P126" s="1179">
        <f>Notes!P168</f>
        <v>245.33019011900001</v>
      </c>
      <c r="Q126" s="1180">
        <f>Q12*Q127</f>
        <v>216.58689746126103</v>
      </c>
      <c r="R126" s="1180">
        <f t="shared" ref="R126:AA126" si="143">R12*R127</f>
        <v>225.95578965572335</v>
      </c>
      <c r="S126" s="1180">
        <f t="shared" si="143"/>
        <v>285.27053434975375</v>
      </c>
      <c r="T126" s="1180">
        <f t="shared" si="143"/>
        <v>304.28072308464272</v>
      </c>
      <c r="U126" s="1180">
        <f t="shared" si="143"/>
        <v>323.36360395108551</v>
      </c>
      <c r="V126" s="1180">
        <f t="shared" si="143"/>
        <v>339.10703255402768</v>
      </c>
      <c r="W126" s="1180">
        <f t="shared" si="143"/>
        <v>358.75108352057066</v>
      </c>
      <c r="X126" s="1180">
        <f t="shared" si="143"/>
        <v>372.60758674659235</v>
      </c>
      <c r="Y126" s="1180">
        <f t="shared" si="143"/>
        <v>387.60785155427305</v>
      </c>
      <c r="Z126" s="1180">
        <f t="shared" si="143"/>
        <v>403.86469825541496</v>
      </c>
      <c r="AA126" s="1180">
        <f t="shared" si="143"/>
        <v>421.50257634561649</v>
      </c>
      <c r="AB126" s="1181"/>
      <c r="AC126" s="1181"/>
      <c r="AD126" s="1181"/>
      <c r="AE126" s="1181"/>
      <c r="AF126" s="1181"/>
      <c r="AG126" s="1181"/>
      <c r="AH126" s="1181"/>
      <c r="AI126" s="1181"/>
      <c r="AJ126" s="1181"/>
      <c r="AK126" s="1181"/>
      <c r="AL126" s="1181"/>
      <c r="AM126" s="1181"/>
      <c r="AN126" s="1181"/>
      <c r="AO126" s="1181"/>
      <c r="AP126" s="1181"/>
      <c r="AQ126" s="1181"/>
      <c r="AR126" s="1181"/>
      <c r="AS126" s="1181"/>
      <c r="AT126" s="1181"/>
      <c r="AU126" s="1181"/>
      <c r="AV126" s="1181"/>
      <c r="AW126" s="1181"/>
      <c r="AX126" s="1181"/>
      <c r="AY126" s="1181"/>
      <c r="AZ126" s="1181"/>
      <c r="BA126" s="1181"/>
    </row>
    <row r="127" spans="2:53" s="124" customFormat="1" ht="23.25" customHeight="1" x14ac:dyDescent="0.25">
      <c r="B127" s="1271" t="s">
        <v>1522</v>
      </c>
      <c r="D127" s="196"/>
      <c r="E127" s="196"/>
      <c r="F127" s="196"/>
      <c r="G127" s="196"/>
      <c r="H127" s="196"/>
      <c r="I127" s="196"/>
      <c r="J127" s="196">
        <f>J126/J12</f>
        <v>0.12273009179344291</v>
      </c>
      <c r="K127" s="196">
        <f t="shared" ref="K127:P127" si="144">K126/K12</f>
        <v>0.14901856585585835</v>
      </c>
      <c r="L127" s="196">
        <f t="shared" si="144"/>
        <v>0.1149619255110037</v>
      </c>
      <c r="M127" s="196">
        <f t="shared" si="144"/>
        <v>9.6884186591578075E-2</v>
      </c>
      <c r="N127" s="196">
        <f t="shared" si="144"/>
        <v>0.1144662242722547</v>
      </c>
      <c r="O127" s="196">
        <f t="shared" si="144"/>
        <v>0.14986753770451491</v>
      </c>
      <c r="P127" s="1196">
        <f t="shared" si="144"/>
        <v>0.15741386461352358</v>
      </c>
      <c r="Q127" s="274">
        <f>AVERAGE(J127:P127)</f>
        <v>0.12933462804888232</v>
      </c>
      <c r="R127" s="274">
        <f>Q127</f>
        <v>0.12933462804888232</v>
      </c>
      <c r="S127" s="274">
        <f t="shared" ref="S127:AA127" si="145">R127</f>
        <v>0.12933462804888232</v>
      </c>
      <c r="T127" s="274">
        <f t="shared" si="145"/>
        <v>0.12933462804888232</v>
      </c>
      <c r="U127" s="274">
        <f t="shared" si="145"/>
        <v>0.12933462804888232</v>
      </c>
      <c r="V127" s="274">
        <f t="shared" si="145"/>
        <v>0.12933462804888232</v>
      </c>
      <c r="W127" s="274">
        <f t="shared" si="145"/>
        <v>0.12933462804888232</v>
      </c>
      <c r="X127" s="274">
        <f t="shared" si="145"/>
        <v>0.12933462804888232</v>
      </c>
      <c r="Y127" s="274">
        <f t="shared" si="145"/>
        <v>0.12933462804888232</v>
      </c>
      <c r="Z127" s="274">
        <f t="shared" si="145"/>
        <v>0.12933462804888232</v>
      </c>
      <c r="AA127" s="274">
        <f t="shared" si="145"/>
        <v>0.12933462804888232</v>
      </c>
      <c r="AB127" s="274"/>
      <c r="AC127" s="274"/>
      <c r="AD127" s="274"/>
      <c r="AE127" s="274"/>
      <c r="AF127" s="274"/>
      <c r="AG127" s="274"/>
      <c r="AH127" s="274"/>
      <c r="AI127" s="274"/>
      <c r="AJ127" s="274"/>
      <c r="AK127" s="274"/>
      <c r="AL127" s="274"/>
      <c r="AM127" s="274"/>
      <c r="AN127" s="274"/>
      <c r="AO127" s="274"/>
      <c r="AP127" s="274"/>
      <c r="AQ127" s="274"/>
      <c r="AR127" s="274"/>
      <c r="AS127" s="274"/>
      <c r="AT127" s="274"/>
      <c r="AU127" s="274"/>
      <c r="AV127" s="274"/>
      <c r="AW127" s="274"/>
      <c r="AX127" s="274"/>
      <c r="AY127" s="274"/>
      <c r="AZ127" s="274"/>
      <c r="BA127" s="274"/>
    </row>
    <row r="128" spans="2:53" s="29" customFormat="1" ht="24.75" customHeight="1" x14ac:dyDescent="0.25">
      <c r="B128" s="147" t="s">
        <v>1524</v>
      </c>
      <c r="D128" s="124"/>
      <c r="E128" s="124"/>
      <c r="F128" s="196"/>
      <c r="G128" s="124"/>
      <c r="H128" s="124"/>
      <c r="I128" s="124"/>
      <c r="J128" s="204">
        <f>Notes!J169</f>
        <v>39.217133822999998</v>
      </c>
      <c r="K128" s="204">
        <f>Notes!K169</f>
        <v>33.793831392000001</v>
      </c>
      <c r="L128" s="204">
        <f>Notes!L169</f>
        <v>36.81384233</v>
      </c>
      <c r="M128" s="204">
        <f>Notes!M169</f>
        <v>36.516915462</v>
      </c>
      <c r="N128" s="204">
        <f>Notes!N169</f>
        <v>27.947538222999999</v>
      </c>
      <c r="O128" s="204">
        <f>Notes!O169</f>
        <v>31.808990529999999</v>
      </c>
      <c r="P128" s="1179">
        <f>Notes!P169</f>
        <v>40.674128404000001</v>
      </c>
      <c r="Q128" s="1180">
        <f>Q12*Q129</f>
        <v>43.672205343752324</v>
      </c>
      <c r="R128" s="1180">
        <f t="shared" ref="R128:AA128" si="146">R12*R129</f>
        <v>45.561332472660105</v>
      </c>
      <c r="S128" s="1180">
        <f t="shared" si="146"/>
        <v>57.521454440117814</v>
      </c>
      <c r="T128" s="1180">
        <f t="shared" si="146"/>
        <v>61.354635836522704</v>
      </c>
      <c r="U128" s="1180">
        <f t="shared" si="146"/>
        <v>65.202474747917208</v>
      </c>
      <c r="V128" s="1180">
        <f t="shared" si="146"/>
        <v>68.376952312449333</v>
      </c>
      <c r="W128" s="1180">
        <f t="shared" si="146"/>
        <v>72.337944586912499</v>
      </c>
      <c r="X128" s="1180">
        <f t="shared" si="146"/>
        <v>75.131945799942585</v>
      </c>
      <c r="Y128" s="1180">
        <f t="shared" si="146"/>
        <v>78.15657310921398</v>
      </c>
      <c r="Z128" s="1180">
        <f t="shared" si="146"/>
        <v>81.434575406195762</v>
      </c>
      <c r="AA128" s="1180">
        <f t="shared" si="146"/>
        <v>84.991046470753687</v>
      </c>
      <c r="AB128" s="1181"/>
      <c r="AC128" s="1181"/>
      <c r="AD128" s="1181"/>
      <c r="AE128" s="1181"/>
      <c r="AF128" s="1181"/>
      <c r="AG128" s="1181"/>
      <c r="AH128" s="1181"/>
      <c r="AI128" s="1181"/>
      <c r="AJ128" s="1181"/>
      <c r="AK128" s="1181"/>
      <c r="AL128" s="1181"/>
      <c r="AM128" s="1181"/>
      <c r="AN128" s="1181"/>
      <c r="AO128" s="1181"/>
      <c r="AP128" s="1181"/>
      <c r="AQ128" s="1181"/>
      <c r="AR128" s="1181"/>
      <c r="AS128" s="1181"/>
      <c r="AT128" s="1181"/>
      <c r="AU128" s="1181"/>
      <c r="AV128" s="1181"/>
      <c r="AW128" s="1181"/>
      <c r="AX128" s="1181"/>
      <c r="AY128" s="1181"/>
      <c r="AZ128" s="1181"/>
      <c r="BA128" s="1181"/>
    </row>
    <row r="129" spans="1:53" s="124" customFormat="1" ht="24.75" customHeight="1" x14ac:dyDescent="0.25">
      <c r="B129" s="1271" t="s">
        <v>1522</v>
      </c>
      <c r="D129" s="196"/>
      <c r="E129" s="196"/>
      <c r="F129" s="196"/>
      <c r="G129" s="196"/>
      <c r="H129" s="196"/>
      <c r="I129" s="196"/>
      <c r="J129" s="196">
        <f>J128/J12</f>
        <v>3.2012208824892238E-2</v>
      </c>
      <c r="K129" s="196">
        <f t="shared" ref="K129:P129" si="147">K128/K12</f>
        <v>2.4401607788521375E-2</v>
      </c>
      <c r="L129" s="196">
        <f t="shared" si="147"/>
        <v>2.6518596573042806E-2</v>
      </c>
      <c r="M129" s="196">
        <f t="shared" si="147"/>
        <v>2.6064440879738325E-2</v>
      </c>
      <c r="N129" s="196">
        <f t="shared" si="147"/>
        <v>2.21501905299199E-2</v>
      </c>
      <c r="O129" s="196">
        <f t="shared" si="147"/>
        <v>2.5306440602003211E-2</v>
      </c>
      <c r="P129" s="1196">
        <f t="shared" si="147"/>
        <v>2.6098181144174087E-2</v>
      </c>
      <c r="Q129" s="274">
        <f>AVERAGE(J129:P129)</f>
        <v>2.6078809477470277E-2</v>
      </c>
      <c r="R129" s="274">
        <f>Q129</f>
        <v>2.6078809477470277E-2</v>
      </c>
      <c r="S129" s="274">
        <f t="shared" ref="S129:AA129" si="148">R129</f>
        <v>2.6078809477470277E-2</v>
      </c>
      <c r="T129" s="274">
        <f t="shared" si="148"/>
        <v>2.6078809477470277E-2</v>
      </c>
      <c r="U129" s="274">
        <f t="shared" si="148"/>
        <v>2.6078809477470277E-2</v>
      </c>
      <c r="V129" s="274">
        <f t="shared" si="148"/>
        <v>2.6078809477470277E-2</v>
      </c>
      <c r="W129" s="274">
        <f t="shared" si="148"/>
        <v>2.6078809477470277E-2</v>
      </c>
      <c r="X129" s="274">
        <f t="shared" si="148"/>
        <v>2.6078809477470277E-2</v>
      </c>
      <c r="Y129" s="274">
        <f t="shared" si="148"/>
        <v>2.6078809477470277E-2</v>
      </c>
      <c r="Z129" s="274">
        <f t="shared" si="148"/>
        <v>2.6078809477470277E-2</v>
      </c>
      <c r="AA129" s="274">
        <f t="shared" si="148"/>
        <v>2.6078809477470277E-2</v>
      </c>
      <c r="AB129" s="274"/>
      <c r="AC129" s="274"/>
      <c r="AD129" s="274"/>
      <c r="AE129" s="274"/>
      <c r="AF129" s="274"/>
      <c r="AG129" s="274"/>
      <c r="AH129" s="274"/>
      <c r="AI129" s="274"/>
      <c r="AJ129" s="274"/>
      <c r="AK129" s="274"/>
      <c r="AL129" s="274"/>
      <c r="AM129" s="274"/>
      <c r="AN129" s="274"/>
      <c r="AO129" s="274"/>
      <c r="AP129" s="274"/>
      <c r="AQ129" s="274"/>
      <c r="AR129" s="274"/>
      <c r="AS129" s="274"/>
      <c r="AT129" s="274"/>
      <c r="AU129" s="274"/>
      <c r="AV129" s="274"/>
      <c r="AW129" s="274"/>
      <c r="AX129" s="274"/>
      <c r="AY129" s="274"/>
      <c r="AZ129" s="274"/>
      <c r="BA129" s="274"/>
    </row>
    <row r="130" spans="1:53" s="29" customFormat="1" ht="23.25" customHeight="1" x14ac:dyDescent="0.25">
      <c r="B130" s="147" t="s">
        <v>1525</v>
      </c>
      <c r="D130" s="124"/>
      <c r="E130" s="124"/>
      <c r="F130" s="124"/>
      <c r="G130" s="124"/>
      <c r="H130" s="124"/>
      <c r="I130" s="124"/>
      <c r="J130" s="204">
        <f>Notes!J170</f>
        <v>91.214850902999999</v>
      </c>
      <c r="K130" s="204">
        <f>Notes!K170</f>
        <v>120.130644781</v>
      </c>
      <c r="L130" s="204">
        <f>Notes!L170</f>
        <v>127.669310315</v>
      </c>
      <c r="M130" s="204">
        <f>Notes!M170</f>
        <v>94.204274049000006</v>
      </c>
      <c r="N130" s="204">
        <f>Notes!N170</f>
        <v>89.619845018999996</v>
      </c>
      <c r="O130" s="204">
        <f>Notes!O170</f>
        <v>98.994711971000001</v>
      </c>
      <c r="P130" s="1179">
        <f>Notes!P170</f>
        <v>121.471070426</v>
      </c>
      <c r="Q130" s="1180">
        <f>Q12*Q131</f>
        <v>131.13102534909629</v>
      </c>
      <c r="R130" s="1180">
        <f t="shared" ref="R130:AA130" si="149">R12*R131</f>
        <v>136.80335573586277</v>
      </c>
      <c r="S130" s="1180">
        <f t="shared" si="149"/>
        <v>172.71505390975281</v>
      </c>
      <c r="T130" s="1180">
        <f t="shared" si="149"/>
        <v>184.22463999324015</v>
      </c>
      <c r="U130" s="1180">
        <f t="shared" si="149"/>
        <v>195.77823702040504</v>
      </c>
      <c r="V130" s="1180">
        <f t="shared" si="149"/>
        <v>205.30998598312033</v>
      </c>
      <c r="W130" s="1180">
        <f t="shared" si="149"/>
        <v>217.20333953057315</v>
      </c>
      <c r="X130" s="1180">
        <f t="shared" si="149"/>
        <v>225.5926626940682</v>
      </c>
      <c r="Y130" s="1180">
        <f t="shared" si="149"/>
        <v>234.67446832402769</v>
      </c>
      <c r="Z130" s="1180">
        <f t="shared" si="149"/>
        <v>244.5170626907765</v>
      </c>
      <c r="AA130" s="1180">
        <f t="shared" si="149"/>
        <v>255.19579287280038</v>
      </c>
      <c r="AB130" s="1181"/>
      <c r="AC130" s="1181"/>
      <c r="AD130" s="1181"/>
      <c r="AE130" s="1181"/>
      <c r="AF130" s="1181"/>
      <c r="AG130" s="1181"/>
      <c r="AH130" s="1181"/>
      <c r="AI130" s="1181"/>
      <c r="AJ130" s="1181"/>
      <c r="AK130" s="1181"/>
      <c r="AL130" s="1181"/>
      <c r="AM130" s="1181"/>
      <c r="AN130" s="1181"/>
      <c r="AO130" s="1181"/>
      <c r="AP130" s="1181"/>
      <c r="AQ130" s="1181"/>
      <c r="AR130" s="1181"/>
      <c r="AS130" s="1181"/>
      <c r="AT130" s="1181"/>
      <c r="AU130" s="1181"/>
      <c r="AV130" s="1181"/>
      <c r="AW130" s="1181"/>
      <c r="AX130" s="1181"/>
      <c r="AY130" s="1181"/>
      <c r="AZ130" s="1181"/>
      <c r="BA130" s="1181"/>
    </row>
    <row r="131" spans="1:53" s="124" customFormat="1" ht="24.75" customHeight="1" x14ac:dyDescent="0.25">
      <c r="B131" s="1271" t="s">
        <v>1522</v>
      </c>
      <c r="D131" s="196"/>
      <c r="E131" s="196"/>
      <c r="F131" s="196"/>
      <c r="G131" s="196"/>
      <c r="H131" s="196"/>
      <c r="I131" s="196"/>
      <c r="J131" s="196">
        <f>J130/J12</f>
        <v>7.4456967411670877E-2</v>
      </c>
      <c r="K131" s="196">
        <f t="shared" ref="K131:P131" si="150">K130/K12</f>
        <v>8.6743075779862261E-2</v>
      </c>
      <c r="L131" s="196">
        <f t="shared" si="150"/>
        <v>9.1965704222162284E-2</v>
      </c>
      <c r="M131" s="196">
        <f t="shared" si="150"/>
        <v>6.7239571045477037E-2</v>
      </c>
      <c r="N131" s="196">
        <f t="shared" si="150"/>
        <v>7.1029391805216918E-2</v>
      </c>
      <c r="O131" s="196">
        <f t="shared" si="150"/>
        <v>7.8757727191744606E-2</v>
      </c>
      <c r="P131" s="1196">
        <f t="shared" si="150"/>
        <v>7.7940797360582473E-2</v>
      </c>
      <c r="Q131" s="274">
        <f>AVERAGE(J131:P131)</f>
        <v>7.8304747830959504E-2</v>
      </c>
      <c r="R131" s="274">
        <f>Q131</f>
        <v>7.8304747830959504E-2</v>
      </c>
      <c r="S131" s="274">
        <f t="shared" ref="S131:AA131" si="151">R131</f>
        <v>7.8304747830959504E-2</v>
      </c>
      <c r="T131" s="274">
        <f t="shared" si="151"/>
        <v>7.8304747830959504E-2</v>
      </c>
      <c r="U131" s="274">
        <f t="shared" si="151"/>
        <v>7.8304747830959504E-2</v>
      </c>
      <c r="V131" s="274">
        <f t="shared" si="151"/>
        <v>7.8304747830959504E-2</v>
      </c>
      <c r="W131" s="274">
        <f t="shared" si="151"/>
        <v>7.8304747830959504E-2</v>
      </c>
      <c r="X131" s="274">
        <f t="shared" si="151"/>
        <v>7.8304747830959504E-2</v>
      </c>
      <c r="Y131" s="274">
        <f t="shared" si="151"/>
        <v>7.8304747830959504E-2</v>
      </c>
      <c r="Z131" s="274">
        <f t="shared" si="151"/>
        <v>7.8304747830959504E-2</v>
      </c>
      <c r="AA131" s="274">
        <f t="shared" si="151"/>
        <v>7.8304747830959504E-2</v>
      </c>
      <c r="AB131" s="274"/>
      <c r="AC131" s="274"/>
      <c r="AD131" s="274"/>
      <c r="AE131" s="274"/>
      <c r="AF131" s="274"/>
      <c r="AG131" s="274"/>
      <c r="AH131" s="274"/>
      <c r="AI131" s="274"/>
      <c r="AJ131" s="274"/>
      <c r="AK131" s="274"/>
      <c r="AL131" s="274"/>
      <c r="AM131" s="274"/>
      <c r="AN131" s="274"/>
      <c r="AO131" s="274"/>
      <c r="AP131" s="274"/>
      <c r="AQ131" s="274"/>
      <c r="AR131" s="274"/>
      <c r="AS131" s="274"/>
      <c r="AT131" s="274"/>
      <c r="AU131" s="274"/>
      <c r="AV131" s="274"/>
      <c r="AW131" s="274"/>
      <c r="AX131" s="274"/>
      <c r="AY131" s="274"/>
      <c r="AZ131" s="274"/>
      <c r="BA131" s="274"/>
    </row>
    <row r="132" spans="1:53" s="29" customFormat="1" ht="24" customHeight="1" x14ac:dyDescent="0.25">
      <c r="B132" s="147" t="s">
        <v>1526</v>
      </c>
      <c r="D132" s="124"/>
      <c r="E132" s="124"/>
      <c r="F132" s="124"/>
      <c r="G132" s="124"/>
      <c r="H132" s="124"/>
      <c r="I132" s="124"/>
      <c r="J132" s="204">
        <f>Notes!J171</f>
        <v>126.549040725</v>
      </c>
      <c r="K132" s="204">
        <f>Notes!K171</f>
        <v>91.579131407999995</v>
      </c>
      <c r="L132" s="204">
        <f>Notes!L171</f>
        <v>86.204505736000002</v>
      </c>
      <c r="M132" s="204">
        <f>Notes!M171</f>
        <v>64.881516069</v>
      </c>
      <c r="N132" s="204">
        <f>Notes!N171</f>
        <v>59.755824187999998</v>
      </c>
      <c r="O132" s="204">
        <f>Notes!O171</f>
        <v>66.566996351</v>
      </c>
      <c r="P132" s="1179">
        <f>Notes!P171</f>
        <v>74.032368949000002</v>
      </c>
      <c r="Q132" s="1180">
        <f>Q12*Q133</f>
        <v>101.83025712648484</v>
      </c>
      <c r="R132" s="1180">
        <f>Q132</f>
        <v>101.83025712648484</v>
      </c>
      <c r="S132" s="1180">
        <f t="shared" ref="S132:AA132" si="152">R132</f>
        <v>101.83025712648484</v>
      </c>
      <c r="T132" s="1180">
        <f t="shared" si="152"/>
        <v>101.83025712648484</v>
      </c>
      <c r="U132" s="1180">
        <f t="shared" si="152"/>
        <v>101.83025712648484</v>
      </c>
      <c r="V132" s="1180">
        <f t="shared" si="152"/>
        <v>101.83025712648484</v>
      </c>
      <c r="W132" s="1180">
        <f t="shared" si="152"/>
        <v>101.83025712648484</v>
      </c>
      <c r="X132" s="1180">
        <f t="shared" si="152"/>
        <v>101.83025712648484</v>
      </c>
      <c r="Y132" s="1180">
        <f t="shared" si="152"/>
        <v>101.83025712648484</v>
      </c>
      <c r="Z132" s="1180">
        <f t="shared" si="152"/>
        <v>101.83025712648484</v>
      </c>
      <c r="AA132" s="1180">
        <f t="shared" si="152"/>
        <v>101.83025712648484</v>
      </c>
      <c r="AB132" s="1181"/>
      <c r="AC132" s="1181"/>
      <c r="AD132" s="1181"/>
      <c r="AE132" s="1181"/>
      <c r="AF132" s="1181"/>
      <c r="AG132" s="1181"/>
      <c r="AH132" s="1181"/>
      <c r="AI132" s="1181"/>
      <c r="AJ132" s="1181"/>
      <c r="AK132" s="1181"/>
      <c r="AL132" s="1181"/>
      <c r="AM132" s="1181"/>
      <c r="AN132" s="1181"/>
      <c r="AO132" s="1181"/>
      <c r="AP132" s="1181"/>
      <c r="AQ132" s="1181"/>
      <c r="AR132" s="1181"/>
      <c r="AS132" s="1181"/>
      <c r="AT132" s="1181"/>
      <c r="AU132" s="1181"/>
      <c r="AV132" s="1181"/>
      <c r="AW132" s="1181"/>
      <c r="AX132" s="1181"/>
      <c r="AY132" s="1181"/>
      <c r="AZ132" s="1181"/>
      <c r="BA132" s="1181"/>
    </row>
    <row r="133" spans="1:53" s="124" customFormat="1" ht="21.75" customHeight="1" x14ac:dyDescent="0.25">
      <c r="B133" s="1271" t="s">
        <v>1522</v>
      </c>
      <c r="D133" s="196"/>
      <c r="E133" s="196"/>
      <c r="F133" s="196"/>
      <c r="G133" s="196"/>
      <c r="H133" s="196"/>
      <c r="I133" s="196"/>
      <c r="J133" s="196">
        <f>J132/J12</f>
        <v>0.10329960207093467</v>
      </c>
      <c r="K133" s="196">
        <f t="shared" ref="K133:P133" si="153">K132/K12</f>
        <v>6.6126803448527866E-2</v>
      </c>
      <c r="L133" s="196">
        <f t="shared" si="153"/>
        <v>6.2096819177405831E-2</v>
      </c>
      <c r="M133" s="196">
        <f t="shared" si="153"/>
        <v>4.6310057089241963E-2</v>
      </c>
      <c r="N133" s="196">
        <f t="shared" si="153"/>
        <v>4.7360267672782355E-2</v>
      </c>
      <c r="O133" s="196">
        <f t="shared" si="153"/>
        <v>5.2959044318667534E-2</v>
      </c>
      <c r="P133" s="1196">
        <f t="shared" si="153"/>
        <v>4.7502189995872718E-2</v>
      </c>
      <c r="Q133" s="274">
        <f>AVERAGE(J133:P133)</f>
        <v>6.0807826253347561E-2</v>
      </c>
      <c r="R133" s="274">
        <f>Q133</f>
        <v>6.0807826253347561E-2</v>
      </c>
      <c r="S133" s="274">
        <f t="shared" ref="S133:AA134" si="154">R133</f>
        <v>6.0807826253347561E-2</v>
      </c>
      <c r="T133" s="274">
        <f t="shared" si="154"/>
        <v>6.0807826253347561E-2</v>
      </c>
      <c r="U133" s="274">
        <f t="shared" si="154"/>
        <v>6.0807826253347561E-2</v>
      </c>
      <c r="V133" s="274">
        <f t="shared" si="154"/>
        <v>6.0807826253347561E-2</v>
      </c>
      <c r="W133" s="274">
        <f t="shared" si="154"/>
        <v>6.0807826253347561E-2</v>
      </c>
      <c r="X133" s="274">
        <f t="shared" si="154"/>
        <v>6.0807826253347561E-2</v>
      </c>
      <c r="Y133" s="274">
        <f t="shared" si="154"/>
        <v>6.0807826253347561E-2</v>
      </c>
      <c r="Z133" s="274">
        <f t="shared" si="154"/>
        <v>6.0807826253347561E-2</v>
      </c>
      <c r="AA133" s="274">
        <f t="shared" si="154"/>
        <v>6.0807826253347561E-2</v>
      </c>
      <c r="AB133" s="274"/>
      <c r="AC133" s="274"/>
      <c r="AD133" s="274"/>
      <c r="AE133" s="274"/>
      <c r="AF133" s="274"/>
      <c r="AG133" s="274"/>
      <c r="AH133" s="274"/>
      <c r="AI133" s="274"/>
      <c r="AJ133" s="274"/>
      <c r="AK133" s="274"/>
      <c r="AL133" s="274"/>
      <c r="AM133" s="274"/>
      <c r="AN133" s="274"/>
      <c r="AO133" s="274"/>
      <c r="AP133" s="274"/>
      <c r="AQ133" s="274"/>
      <c r="AR133" s="274"/>
      <c r="AS133" s="274"/>
      <c r="AT133" s="274"/>
      <c r="AU133" s="274"/>
      <c r="AV133" s="274"/>
      <c r="AW133" s="274"/>
      <c r="AX133" s="274"/>
      <c r="AY133" s="274"/>
      <c r="AZ133" s="274"/>
      <c r="BA133" s="274"/>
    </row>
    <row r="134" spans="1:53" s="124" customFormat="1" ht="21.75" customHeight="1" x14ac:dyDescent="0.25">
      <c r="B134" s="147" t="s">
        <v>1506</v>
      </c>
      <c r="D134" s="196"/>
      <c r="E134" s="196"/>
      <c r="F134" s="196"/>
      <c r="G134" s="196"/>
      <c r="H134" s="196"/>
      <c r="I134" s="196"/>
      <c r="J134" s="204">
        <f>Notes!J172</f>
        <v>18.695516394999999</v>
      </c>
      <c r="K134" s="204">
        <f>Notes!K172</f>
        <v>-4.8780666779999997</v>
      </c>
      <c r="L134" s="204">
        <f>Notes!L172</f>
        <v>-2.6443794220000001</v>
      </c>
      <c r="M134" s="204">
        <f>Notes!M172</f>
        <v>1.120705235</v>
      </c>
      <c r="N134" s="204">
        <f>Notes!N172</f>
        <v>21.921386233</v>
      </c>
      <c r="O134" s="204">
        <f>Notes!O172</f>
        <v>14.288446894</v>
      </c>
      <c r="P134" s="1179">
        <f>Notes!P172</f>
        <v>22.229181873999998</v>
      </c>
      <c r="Q134" s="1180">
        <f>Q12*Q135</f>
        <v>12.83200029040148</v>
      </c>
      <c r="R134" s="1180">
        <f>Q134</f>
        <v>12.83200029040148</v>
      </c>
      <c r="S134" s="1180">
        <f t="shared" si="154"/>
        <v>12.83200029040148</v>
      </c>
      <c r="T134" s="1180">
        <f t="shared" si="154"/>
        <v>12.83200029040148</v>
      </c>
      <c r="U134" s="1180">
        <f t="shared" si="154"/>
        <v>12.83200029040148</v>
      </c>
      <c r="V134" s="1180">
        <f t="shared" si="154"/>
        <v>12.83200029040148</v>
      </c>
      <c r="W134" s="1180">
        <f t="shared" si="154"/>
        <v>12.83200029040148</v>
      </c>
      <c r="X134" s="1180">
        <f t="shared" si="154"/>
        <v>12.83200029040148</v>
      </c>
      <c r="Y134" s="1180">
        <f t="shared" si="154"/>
        <v>12.83200029040148</v>
      </c>
      <c r="Z134" s="1180">
        <f t="shared" si="154"/>
        <v>12.83200029040148</v>
      </c>
      <c r="AA134" s="1180">
        <f t="shared" si="154"/>
        <v>12.83200029040148</v>
      </c>
      <c r="AB134" s="1181"/>
      <c r="AC134" s="206"/>
      <c r="AD134" s="206"/>
      <c r="AE134" s="206"/>
      <c r="AF134" s="206"/>
      <c r="AG134" s="206"/>
      <c r="AH134" s="206"/>
      <c r="AI134" s="206"/>
      <c r="AJ134" s="206"/>
      <c r="AK134" s="206"/>
      <c r="AL134" s="206"/>
      <c r="AM134" s="1181"/>
      <c r="AN134" s="1181"/>
      <c r="AO134" s="1181"/>
      <c r="AP134" s="1181"/>
      <c r="AQ134" s="1181"/>
      <c r="AR134" s="1181"/>
      <c r="AS134" s="1181"/>
      <c r="AT134" s="1181"/>
      <c r="AU134" s="1181"/>
      <c r="AV134" s="1181"/>
      <c r="AW134" s="1181"/>
      <c r="AX134" s="1181"/>
      <c r="AY134" s="1181"/>
      <c r="AZ134" s="1181"/>
      <c r="BA134" s="1181"/>
    </row>
    <row r="135" spans="1:53" s="124" customFormat="1" ht="21.75" customHeight="1" x14ac:dyDescent="0.25">
      <c r="B135" s="1271" t="s">
        <v>1522</v>
      </c>
      <c r="D135" s="196"/>
      <c r="E135" s="196"/>
      <c r="F135" s="196"/>
      <c r="G135" s="196"/>
      <c r="H135" s="196"/>
      <c r="I135" s="196"/>
      <c r="J135" s="196">
        <f>J134/J12</f>
        <v>1.5260798446594743E-2</v>
      </c>
      <c r="K135" s="196">
        <f t="shared" ref="K135:P135" si="155">K134/K12</f>
        <v>-3.5223194571240577E-3</v>
      </c>
      <c r="L135" s="196">
        <f t="shared" si="155"/>
        <v>-1.9048604177056602E-3</v>
      </c>
      <c r="M135" s="196">
        <f t="shared" si="155"/>
        <v>7.999184753615799E-4</v>
      </c>
      <c r="N135" s="196">
        <f t="shared" si="155"/>
        <v>1.7374084181100043E-2</v>
      </c>
      <c r="O135" s="196">
        <f t="shared" si="155"/>
        <v>1.136753246780536E-2</v>
      </c>
      <c r="P135" s="1196">
        <f t="shared" si="155"/>
        <v>1.4263150508650865E-2</v>
      </c>
      <c r="Q135" s="274">
        <f>AVERAGE(J135:P135)</f>
        <v>7.6626148863832679E-3</v>
      </c>
      <c r="R135" s="274">
        <f>Q135</f>
        <v>7.6626148863832679E-3</v>
      </c>
      <c r="S135" s="274">
        <f t="shared" ref="S135:AA135" si="156">R135</f>
        <v>7.6626148863832679E-3</v>
      </c>
      <c r="T135" s="274">
        <f t="shared" si="156"/>
        <v>7.6626148863832679E-3</v>
      </c>
      <c r="U135" s="274">
        <f t="shared" si="156"/>
        <v>7.6626148863832679E-3</v>
      </c>
      <c r="V135" s="274">
        <f t="shared" si="156"/>
        <v>7.6626148863832679E-3</v>
      </c>
      <c r="W135" s="274">
        <f t="shared" si="156"/>
        <v>7.6626148863832679E-3</v>
      </c>
      <c r="X135" s="274">
        <f t="shared" si="156"/>
        <v>7.6626148863832679E-3</v>
      </c>
      <c r="Y135" s="274">
        <f t="shared" si="156"/>
        <v>7.6626148863832679E-3</v>
      </c>
      <c r="Z135" s="274">
        <f t="shared" si="156"/>
        <v>7.6626148863832679E-3</v>
      </c>
      <c r="AA135" s="274">
        <f t="shared" si="156"/>
        <v>7.6626148863832679E-3</v>
      </c>
      <c r="AB135" s="274"/>
      <c r="AC135" s="274"/>
      <c r="AD135" s="274"/>
      <c r="AE135" s="274"/>
      <c r="AF135" s="274"/>
      <c r="AG135" s="274"/>
      <c r="AH135" s="274"/>
      <c r="AI135" s="274"/>
      <c r="AJ135" s="274"/>
      <c r="AK135" s="274"/>
      <c r="AL135" s="274"/>
      <c r="AM135" s="274"/>
      <c r="AN135" s="274"/>
      <c r="AO135" s="274"/>
      <c r="AP135" s="274"/>
      <c r="AQ135" s="274"/>
      <c r="AR135" s="274"/>
      <c r="AS135" s="274"/>
      <c r="AT135" s="274"/>
      <c r="AU135" s="274"/>
      <c r="AV135" s="274"/>
      <c r="AW135" s="274"/>
      <c r="AX135" s="274"/>
      <c r="AY135" s="274"/>
      <c r="AZ135" s="274"/>
      <c r="BA135" s="274"/>
    </row>
    <row r="136" spans="1:53" s="518" customFormat="1" x14ac:dyDescent="0.25">
      <c r="B136" s="1186" t="s">
        <v>1532</v>
      </c>
      <c r="C136" s="1186"/>
      <c r="D136" s="1219"/>
      <c r="E136" s="1219"/>
      <c r="F136" s="1219"/>
      <c r="G136" s="1219"/>
      <c r="H136" s="1219"/>
      <c r="I136" s="1219"/>
      <c r="J136" s="1220">
        <f>IF(Notes!J166, Notes!J166, 'Consol. Rev.'!J123)</f>
        <v>729.26034858599996</v>
      </c>
      <c r="K136" s="1220">
        <f>IF(Notes!K166, Notes!K166, 'Consol. Rev.'!K123)</f>
        <v>827.36</v>
      </c>
      <c r="L136" s="1220">
        <f>IF(Notes!L166, Notes!L166, 'Consol. Rev.'!L123)</f>
        <v>801.76</v>
      </c>
      <c r="M136" s="1220">
        <f>IF(Notes!M166, Notes!M166, 'Consol. Rev.'!M123)</f>
        <v>685.83928616799994</v>
      </c>
      <c r="N136" s="1220">
        <f>IF(Notes!N166, Notes!N166, 'Consol. Rev.'!N123)</f>
        <v>775.78665738100005</v>
      </c>
      <c r="O136" s="1220">
        <f>IF(Notes!O166, Notes!O166, 'Consol. Rev.'!O123)</f>
        <v>891.26303157899997</v>
      </c>
      <c r="P136" s="1221">
        <f>IF(Notes!P166, Notes!P166, 'Consol. Rev.'!P123)</f>
        <v>991.16997962999994</v>
      </c>
      <c r="Q136" s="1222">
        <f>IF(Notes!Q166, Notes!Q166, 'Consol. Rev.'!Q123)</f>
        <v>1009.4787473215115</v>
      </c>
      <c r="R136" s="1222">
        <f>IF(Notes!R166, Notes!R166, 'Consol. Rev.'!R123)</f>
        <v>1048.1857943590317</v>
      </c>
      <c r="S136" s="1222">
        <f>IF(Notes!S166, Notes!S166, 'Consol. Rev.'!S123)</f>
        <v>1293.2412998805257</v>
      </c>
      <c r="T136" s="1222">
        <f>IF(Notes!T166, Notes!T166, 'Consol. Rev.'!T123)</f>
        <v>1371.7808170700191</v>
      </c>
      <c r="U136" s="1222">
        <f>IF(Notes!U166, Notes!U166, 'Consol. Rev.'!U123)</f>
        <v>1450.620657680565</v>
      </c>
      <c r="V136" s="1222">
        <f>IF(Notes!V166, Notes!V166, 'Consol. Rev.'!V123)</f>
        <v>1515.6637405571205</v>
      </c>
      <c r="W136" s="1222">
        <f>IF(Notes!W166, Notes!W166, 'Consol. Rev.'!W123)</f>
        <v>1596.8220236270072</v>
      </c>
      <c r="X136" s="1222">
        <f>IF(Notes!X166, Notes!X166, 'Consol. Rev.'!X123)</f>
        <v>1654.0693812668133</v>
      </c>
      <c r="Y136" s="1222">
        <f>IF(Notes!Y166, Notes!Y166, 'Consol. Rev.'!Y123)</f>
        <v>1716.0421250485533</v>
      </c>
      <c r="Z136" s="1222">
        <f>IF(Notes!Z166, Notes!Z166, 'Consol. Rev.'!Z123)</f>
        <v>1783.2063656953603</v>
      </c>
      <c r="AA136" s="1222">
        <f>IF(Notes!AA166, Notes!AA166, 'Consol. Rev.'!AA123)</f>
        <v>1856.0762592440349</v>
      </c>
      <c r="AB136" s="1223"/>
      <c r="AC136" s="1223"/>
      <c r="AD136" s="1223"/>
      <c r="AE136" s="1223"/>
      <c r="AF136" s="1223"/>
      <c r="AG136" s="1223"/>
      <c r="AH136" s="1223"/>
      <c r="AI136" s="1223"/>
      <c r="AJ136" s="1223"/>
      <c r="AK136" s="1223"/>
      <c r="AL136" s="1223"/>
      <c r="AM136" s="1223"/>
      <c r="AN136" s="1223"/>
      <c r="AO136" s="1223"/>
      <c r="AP136" s="1223"/>
      <c r="AQ136" s="1223"/>
      <c r="AR136" s="1223"/>
      <c r="AS136" s="1223"/>
      <c r="AT136" s="1223"/>
      <c r="AU136" s="1223"/>
      <c r="AV136" s="1223"/>
      <c r="AW136" s="1223"/>
      <c r="AX136" s="1223"/>
      <c r="AY136" s="1223"/>
      <c r="AZ136" s="1223"/>
      <c r="BA136" s="1223"/>
    </row>
    <row r="137" spans="1:53" s="518" customFormat="1" x14ac:dyDescent="0.25">
      <c r="D137" s="226"/>
      <c r="E137" s="1278"/>
      <c r="F137" s="1278"/>
      <c r="G137" s="1278"/>
      <c r="H137" s="1278"/>
      <c r="I137" s="1278"/>
      <c r="J137" s="1278"/>
      <c r="K137" s="1278"/>
      <c r="L137" s="1278"/>
      <c r="M137" s="1278"/>
      <c r="N137" s="1278"/>
      <c r="O137" s="1278"/>
      <c r="P137" s="1279"/>
      <c r="Q137" s="226"/>
      <c r="R137" s="226"/>
      <c r="S137" s="226"/>
      <c r="T137" s="226"/>
      <c r="U137" s="226"/>
      <c r="V137" s="226"/>
      <c r="W137" s="226"/>
      <c r="X137" s="226"/>
      <c r="Y137" s="226"/>
      <c r="Z137" s="226"/>
      <c r="AA137" s="226"/>
      <c r="AB137" s="226"/>
      <c r="AC137" s="226"/>
      <c r="AD137" s="226"/>
      <c r="AE137" s="226"/>
      <c r="AF137" s="226"/>
      <c r="AG137" s="226"/>
      <c r="AH137" s="226"/>
      <c r="AI137" s="226"/>
      <c r="AJ137" s="226"/>
      <c r="AK137" s="226"/>
      <c r="AL137" s="226"/>
      <c r="AM137" s="226"/>
      <c r="AN137" s="226"/>
      <c r="AO137" s="226"/>
      <c r="AP137" s="226"/>
      <c r="AQ137" s="226"/>
      <c r="AR137" s="226"/>
      <c r="AS137" s="226"/>
      <c r="AT137" s="226"/>
      <c r="AU137" s="226"/>
      <c r="AV137" s="226"/>
      <c r="AW137" s="226"/>
      <c r="AX137" s="226"/>
      <c r="AY137" s="226"/>
      <c r="AZ137" s="226"/>
      <c r="BA137" s="226"/>
    </row>
    <row r="138" spans="1:53" s="29" customFormat="1" x14ac:dyDescent="0.25">
      <c r="B138" s="42" t="s">
        <v>1533</v>
      </c>
      <c r="C138" s="42"/>
      <c r="D138" s="42"/>
      <c r="E138" s="1280"/>
      <c r="F138" s="281"/>
      <c r="G138" s="281"/>
      <c r="H138" s="281"/>
      <c r="I138" s="281"/>
      <c r="J138" s="281"/>
      <c r="K138" s="281"/>
      <c r="L138" s="281"/>
      <c r="M138" s="281"/>
      <c r="N138" s="281"/>
      <c r="O138" s="281"/>
      <c r="P138" s="32"/>
    </row>
    <row r="139" spans="1:53" s="29" customFormat="1" x14ac:dyDescent="0.25">
      <c r="B139" s="147" t="s">
        <v>1534</v>
      </c>
      <c r="G139" s="196"/>
      <c r="H139" s="196"/>
      <c r="I139" s="196"/>
      <c r="J139" s="196">
        <f>1-J140-J141</f>
        <v>0.76459008045647714</v>
      </c>
      <c r="K139" s="196">
        <f t="shared" ref="K139:AA139" si="157">1-K140-K141</f>
        <v>0.58754689643448876</v>
      </c>
      <c r="L139" s="196">
        <f t="shared" si="157"/>
        <v>0.54594952754012083</v>
      </c>
      <c r="M139" s="196">
        <f t="shared" si="157"/>
        <v>0.52104823439427217</v>
      </c>
      <c r="N139" s="196">
        <f t="shared" si="157"/>
        <v>0.40311357680614557</v>
      </c>
      <c r="O139" s="196">
        <f t="shared" si="157"/>
        <v>0.50872235608163452</v>
      </c>
      <c r="P139" s="1196">
        <f t="shared" si="157"/>
        <v>0.51190978762196071</v>
      </c>
      <c r="Q139" s="274">
        <f t="shared" si="157"/>
        <v>0.54175684569553006</v>
      </c>
      <c r="R139" s="274">
        <f t="shared" si="157"/>
        <v>0.54175684569553006</v>
      </c>
      <c r="S139" s="274">
        <f t="shared" si="157"/>
        <v>0.54175684569552995</v>
      </c>
      <c r="T139" s="274">
        <f t="shared" si="157"/>
        <v>0.54175684569553006</v>
      </c>
      <c r="U139" s="274">
        <f t="shared" si="157"/>
        <v>0.54175684569552995</v>
      </c>
      <c r="V139" s="274">
        <f t="shared" si="157"/>
        <v>0.54175684569552995</v>
      </c>
      <c r="W139" s="274">
        <f t="shared" si="157"/>
        <v>0.54175684569552995</v>
      </c>
      <c r="X139" s="274">
        <f t="shared" si="157"/>
        <v>0.54175684569552995</v>
      </c>
      <c r="Y139" s="274">
        <f t="shared" si="157"/>
        <v>0.54175684569553006</v>
      </c>
      <c r="Z139" s="274">
        <f t="shared" si="157"/>
        <v>0.54175684569552995</v>
      </c>
      <c r="AA139" s="274">
        <f t="shared" si="157"/>
        <v>0.54175684569552995</v>
      </c>
      <c r="AB139" s="274"/>
      <c r="AC139" s="206"/>
      <c r="AD139" s="206"/>
      <c r="AE139" s="206"/>
      <c r="AF139" s="206"/>
      <c r="AG139" s="206"/>
      <c r="AH139" s="206"/>
      <c r="AI139" s="206"/>
      <c r="AJ139" s="206"/>
      <c r="AK139" s="206"/>
      <c r="AL139" s="206"/>
      <c r="AM139" s="206"/>
      <c r="AN139" s="206"/>
      <c r="AO139" s="206"/>
      <c r="AP139" s="206"/>
      <c r="AQ139" s="206"/>
      <c r="AR139" s="206"/>
      <c r="AS139" s="206"/>
      <c r="AT139" s="206"/>
      <c r="AU139" s="206"/>
      <c r="AV139" s="206"/>
      <c r="AW139" s="206"/>
      <c r="AX139" s="206"/>
      <c r="AY139" s="206"/>
      <c r="AZ139" s="206"/>
      <c r="BA139" s="206"/>
    </row>
    <row r="140" spans="1:53" s="29" customFormat="1" x14ac:dyDescent="0.25">
      <c r="B140" s="147" t="s">
        <v>1535</v>
      </c>
      <c r="G140" s="196"/>
      <c r="H140" s="196"/>
      <c r="I140" s="196"/>
      <c r="J140" s="196">
        <f>J93/J128</f>
        <v>7.1580958559333524E-2</v>
      </c>
      <c r="K140" s="196">
        <f t="shared" ref="K140:AA140" si="158">K93/K128</f>
        <v>0.13240011693551862</v>
      </c>
      <c r="L140" s="196">
        <f t="shared" si="158"/>
        <v>0.15643968307830802</v>
      </c>
      <c r="M140" s="196">
        <f t="shared" si="158"/>
        <v>0.1362056862435661</v>
      </c>
      <c r="N140" s="196">
        <f t="shared" si="158"/>
        <v>0.18824556639018575</v>
      </c>
      <c r="O140" s="196">
        <f t="shared" si="158"/>
        <v>0.18097796682892722</v>
      </c>
      <c r="P140" s="1196">
        <f t="shared" si="158"/>
        <v>0.11560683856073908</v>
      </c>
      <c r="Q140" s="274">
        <f t="shared" si="158"/>
        <v>0.13687981196098004</v>
      </c>
      <c r="R140" s="274">
        <f t="shared" si="158"/>
        <v>0.13687981196098004</v>
      </c>
      <c r="S140" s="274">
        <f t="shared" si="158"/>
        <v>0.13687981196098004</v>
      </c>
      <c r="T140" s="274">
        <f t="shared" si="158"/>
        <v>0.13687981196098001</v>
      </c>
      <c r="U140" s="274">
        <f t="shared" si="158"/>
        <v>0.13687981196098001</v>
      </c>
      <c r="V140" s="274">
        <f t="shared" si="158"/>
        <v>0.13687981196098004</v>
      </c>
      <c r="W140" s="274">
        <f t="shared" si="158"/>
        <v>0.13687981196098001</v>
      </c>
      <c r="X140" s="274">
        <f t="shared" si="158"/>
        <v>0.13687981196098004</v>
      </c>
      <c r="Y140" s="274">
        <f t="shared" si="158"/>
        <v>0.13687981196098004</v>
      </c>
      <c r="Z140" s="274">
        <f t="shared" si="158"/>
        <v>0.13687981196098004</v>
      </c>
      <c r="AA140" s="274">
        <f t="shared" si="158"/>
        <v>0.13687981196098004</v>
      </c>
      <c r="AB140" s="274"/>
      <c r="AC140" s="274"/>
      <c r="AD140" s="274"/>
      <c r="AE140" s="274"/>
      <c r="AF140" s="274"/>
      <c r="AG140" s="274"/>
      <c r="AH140" s="274"/>
      <c r="AI140" s="274"/>
      <c r="AJ140" s="274"/>
      <c r="AK140" s="274"/>
      <c r="AL140" s="274"/>
      <c r="AM140" s="274"/>
      <c r="AN140" s="274"/>
      <c r="AO140" s="274"/>
      <c r="AP140" s="274"/>
      <c r="AQ140" s="274"/>
      <c r="AR140" s="274"/>
      <c r="AS140" s="274"/>
      <c r="AT140" s="274"/>
      <c r="AU140" s="274"/>
      <c r="AV140" s="274"/>
      <c r="AW140" s="274"/>
      <c r="AX140" s="274"/>
      <c r="AY140" s="274"/>
      <c r="AZ140" s="274"/>
      <c r="BA140" s="274"/>
    </row>
    <row r="141" spans="1:53" s="29" customFormat="1" x14ac:dyDescent="0.25">
      <c r="B141" s="147" t="s">
        <v>1536</v>
      </c>
      <c r="G141" s="196"/>
      <c r="H141" s="196"/>
      <c r="I141" s="196"/>
      <c r="J141" s="196">
        <f>J111/J128</f>
        <v>0.16382896098418936</v>
      </c>
      <c r="K141" s="196">
        <f t="shared" ref="K141:AA141" si="159">K111/K128</f>
        <v>0.28005298662999256</v>
      </c>
      <c r="L141" s="196">
        <f t="shared" si="159"/>
        <v>0.29761078938157115</v>
      </c>
      <c r="M141" s="196">
        <f t="shared" si="159"/>
        <v>0.34274607936216167</v>
      </c>
      <c r="N141" s="196">
        <f t="shared" si="159"/>
        <v>0.40864085680366868</v>
      </c>
      <c r="O141" s="196">
        <f t="shared" si="159"/>
        <v>0.31029967708943829</v>
      </c>
      <c r="P141" s="1196">
        <f t="shared" si="159"/>
        <v>0.37248337381730018</v>
      </c>
      <c r="Q141" s="274">
        <f t="shared" si="159"/>
        <v>0.32136334234348995</v>
      </c>
      <c r="R141" s="274">
        <f t="shared" si="159"/>
        <v>0.32136334234348995</v>
      </c>
      <c r="S141" s="274">
        <f t="shared" si="159"/>
        <v>0.32136334234349001</v>
      </c>
      <c r="T141" s="274">
        <f t="shared" si="159"/>
        <v>0.32136334234348995</v>
      </c>
      <c r="U141" s="274">
        <f t="shared" si="159"/>
        <v>0.32136334234349001</v>
      </c>
      <c r="V141" s="274">
        <f t="shared" si="159"/>
        <v>0.32136334234349001</v>
      </c>
      <c r="W141" s="274">
        <f t="shared" si="159"/>
        <v>0.32136334234349001</v>
      </c>
      <c r="X141" s="274">
        <f t="shared" si="159"/>
        <v>0.32136334234349001</v>
      </c>
      <c r="Y141" s="274">
        <f t="shared" si="159"/>
        <v>0.32136334234348995</v>
      </c>
      <c r="Z141" s="274">
        <f t="shared" si="159"/>
        <v>0.32136334234349001</v>
      </c>
      <c r="AA141" s="274">
        <f t="shared" si="159"/>
        <v>0.32136334234349001</v>
      </c>
      <c r="AB141" s="274"/>
      <c r="AC141" s="274"/>
      <c r="AD141" s="274"/>
      <c r="AE141" s="274"/>
      <c r="AF141" s="274"/>
      <c r="AG141" s="274"/>
      <c r="AH141" s="274"/>
      <c r="AI141" s="274"/>
      <c r="AJ141" s="274"/>
      <c r="AK141" s="274"/>
      <c r="AL141" s="274"/>
      <c r="AM141" s="274"/>
      <c r="AN141" s="274"/>
      <c r="AO141" s="274"/>
      <c r="AP141" s="274"/>
      <c r="AQ141" s="274"/>
      <c r="AR141" s="274"/>
      <c r="AS141" s="274"/>
      <c r="AT141" s="274"/>
      <c r="AU141" s="274"/>
      <c r="AV141" s="274"/>
      <c r="AW141" s="274"/>
      <c r="AX141" s="274"/>
      <c r="AY141" s="274"/>
      <c r="AZ141" s="274"/>
      <c r="BA141" s="274"/>
    </row>
    <row r="142" spans="1:53" s="93" customFormat="1" x14ac:dyDescent="0.25">
      <c r="A142" s="29"/>
      <c r="B142" s="93" t="s">
        <v>1537</v>
      </c>
      <c r="J142" s="1281">
        <f>SUM(J139:J141)</f>
        <v>1</v>
      </c>
      <c r="K142" s="1281">
        <f t="shared" ref="K142:BA142" si="160">SUM(K139:K141)</f>
        <v>1</v>
      </c>
      <c r="L142" s="1281">
        <f t="shared" si="160"/>
        <v>1</v>
      </c>
      <c r="M142" s="1281">
        <f t="shared" si="160"/>
        <v>1</v>
      </c>
      <c r="N142" s="1281">
        <f t="shared" si="160"/>
        <v>1</v>
      </c>
      <c r="O142" s="1281">
        <f t="shared" si="160"/>
        <v>1</v>
      </c>
      <c r="P142" s="1282">
        <f t="shared" si="160"/>
        <v>1</v>
      </c>
      <c r="Q142" s="1283">
        <f t="shared" si="160"/>
        <v>1</v>
      </c>
      <c r="R142" s="1283">
        <f t="shared" si="160"/>
        <v>1</v>
      </c>
      <c r="S142" s="1283">
        <f t="shared" si="160"/>
        <v>1</v>
      </c>
      <c r="T142" s="1283">
        <f t="shared" si="160"/>
        <v>1</v>
      </c>
      <c r="U142" s="1283">
        <f t="shared" si="160"/>
        <v>1</v>
      </c>
      <c r="V142" s="1283">
        <f t="shared" si="160"/>
        <v>1</v>
      </c>
      <c r="W142" s="1283">
        <f t="shared" si="160"/>
        <v>1</v>
      </c>
      <c r="X142" s="1283">
        <f t="shared" si="160"/>
        <v>1</v>
      </c>
      <c r="Y142" s="1283">
        <f t="shared" si="160"/>
        <v>1</v>
      </c>
      <c r="Z142" s="1283">
        <f t="shared" si="160"/>
        <v>1</v>
      </c>
      <c r="AA142" s="1283">
        <f t="shared" si="160"/>
        <v>1</v>
      </c>
      <c r="AB142" s="1281">
        <f t="shared" si="160"/>
        <v>0</v>
      </c>
      <c r="AC142" s="1281">
        <f t="shared" si="160"/>
        <v>0</v>
      </c>
      <c r="AD142" s="1281">
        <f t="shared" si="160"/>
        <v>0</v>
      </c>
      <c r="AE142" s="1281">
        <f t="shared" si="160"/>
        <v>0</v>
      </c>
      <c r="AF142" s="1281">
        <f t="shared" si="160"/>
        <v>0</v>
      </c>
      <c r="AG142" s="1281">
        <f t="shared" si="160"/>
        <v>0</v>
      </c>
      <c r="AH142" s="1281">
        <f t="shared" si="160"/>
        <v>0</v>
      </c>
      <c r="AI142" s="1281">
        <f t="shared" si="160"/>
        <v>0</v>
      </c>
      <c r="AJ142" s="1281">
        <f t="shared" si="160"/>
        <v>0</v>
      </c>
      <c r="AK142" s="1281">
        <f t="shared" si="160"/>
        <v>0</v>
      </c>
      <c r="AL142" s="1281">
        <f t="shared" si="160"/>
        <v>0</v>
      </c>
      <c r="AM142" s="1281">
        <f t="shared" si="160"/>
        <v>0</v>
      </c>
      <c r="AN142" s="1281">
        <f t="shared" si="160"/>
        <v>0</v>
      </c>
      <c r="AO142" s="1281">
        <f t="shared" si="160"/>
        <v>0</v>
      </c>
      <c r="AP142" s="1281">
        <f t="shared" si="160"/>
        <v>0</v>
      </c>
      <c r="AQ142" s="1281">
        <f t="shared" si="160"/>
        <v>0</v>
      </c>
      <c r="AR142" s="1281">
        <f t="shared" si="160"/>
        <v>0</v>
      </c>
      <c r="AS142" s="1281">
        <f t="shared" si="160"/>
        <v>0</v>
      </c>
      <c r="AT142" s="1281">
        <f t="shared" si="160"/>
        <v>0</v>
      </c>
      <c r="AU142" s="1281">
        <f t="shared" si="160"/>
        <v>0</v>
      </c>
      <c r="AV142" s="1281">
        <f t="shared" si="160"/>
        <v>0</v>
      </c>
      <c r="AW142" s="1281">
        <f t="shared" si="160"/>
        <v>0</v>
      </c>
      <c r="AX142" s="1281">
        <f t="shared" si="160"/>
        <v>0</v>
      </c>
      <c r="AY142" s="1281">
        <f t="shared" si="160"/>
        <v>0</v>
      </c>
      <c r="AZ142" s="1281">
        <f t="shared" si="160"/>
        <v>0</v>
      </c>
      <c r="BA142" s="1281">
        <f t="shared" si="160"/>
        <v>0</v>
      </c>
    </row>
    <row r="143" spans="1:53" x14ac:dyDescent="0.25">
      <c r="P143" s="1238"/>
    </row>
    <row r="148" spans="14:15" x14ac:dyDescent="0.25">
      <c r="N148" s="1284"/>
      <c r="O148" s="790"/>
    </row>
  </sheetData>
  <mergeCells count="5">
    <mergeCell ref="G30:I30"/>
    <mergeCell ref="G36:I39"/>
    <mergeCell ref="BC88:BC89"/>
    <mergeCell ref="BC106:BC109"/>
    <mergeCell ref="H4:I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B46D0-C940-4992-ACD9-6A83A8FDD333}">
  <dimension ref="A1:BT264"/>
  <sheetViews>
    <sheetView topLeftCell="A37" zoomScale="65" zoomScaleNormal="65" workbookViewId="0">
      <selection activeCell="C116" sqref="C116"/>
    </sheetView>
  </sheetViews>
  <sheetFormatPr defaultColWidth="9.109375" defaultRowHeight="13.8" x14ac:dyDescent="0.25"/>
  <cols>
    <col min="1" max="1" width="5.6640625" style="1592" customWidth="1"/>
    <col min="2" max="2" width="39.6640625" style="1593" bestFit="1" customWidth="1"/>
    <col min="3" max="3" width="44.88671875" style="1593" customWidth="1"/>
    <col min="4" max="4" width="13.88671875" style="1595" customWidth="1"/>
    <col min="5" max="5" width="7.6640625" style="1593" customWidth="1"/>
    <col min="6" max="6" width="11.109375" style="1002" customWidth="1"/>
    <col min="7" max="7" width="7.6640625" style="1593" customWidth="1"/>
    <col min="8" max="8" width="10.33203125" style="1593" customWidth="1"/>
    <col min="9" max="13" width="10.6640625" style="1593" hidden="1" customWidth="1"/>
    <col min="14" max="14" width="8.5546875" style="1593" hidden="1" customWidth="1"/>
    <col min="15" max="15" width="10.6640625" style="1593" hidden="1" customWidth="1"/>
    <col min="16" max="16" width="19.6640625" style="1593" hidden="1" customWidth="1"/>
    <col min="17" max="17" width="17.44140625" style="1593" customWidth="1"/>
    <col min="18" max="18" width="16.5546875" style="1593" customWidth="1"/>
    <col min="19" max="19" width="15.6640625" style="1593" customWidth="1"/>
    <col min="20" max="20" width="15.5546875" style="1593" customWidth="1"/>
    <col min="21" max="21" width="11.6640625" style="1593" customWidth="1"/>
    <col min="22" max="28" width="9.6640625" style="1593" customWidth="1"/>
    <col min="29" max="29" width="17" style="1593" customWidth="1"/>
    <col min="30" max="30" width="19.44140625" style="1593" customWidth="1"/>
    <col min="31" max="31" width="16.6640625" style="1593" customWidth="1"/>
    <col min="32" max="32" width="14.5546875" style="1593" customWidth="1"/>
    <col min="33" max="33" width="14.33203125" style="1593" customWidth="1"/>
    <col min="34" max="34" width="20.109375" style="1593" customWidth="1"/>
    <col min="35" max="35" width="21" style="1593" customWidth="1"/>
    <col min="36" max="36" width="24.77734375" style="1593" customWidth="1"/>
    <col min="37" max="37" width="21.21875" style="1593" customWidth="1"/>
    <col min="38" max="38" width="17.77734375" style="1593" customWidth="1"/>
    <col min="39" max="39" width="18.44140625" style="1593" customWidth="1"/>
    <col min="40" max="40" width="13.6640625" style="1593" customWidth="1"/>
    <col min="41" max="41" width="10" style="1593" customWidth="1"/>
    <col min="42" max="42" width="15.5546875" style="1593" customWidth="1"/>
    <col min="43" max="43" width="13.33203125" style="1593" customWidth="1"/>
    <col min="44" max="44" width="15.5546875" style="1593" customWidth="1"/>
    <col min="45" max="45" width="16.21875" style="1593" customWidth="1"/>
    <col min="46" max="46" width="13.44140625" style="1593" customWidth="1"/>
    <col min="47" max="47" width="12.88671875" style="1593" customWidth="1"/>
    <col min="48" max="48" width="8.109375" style="1593" customWidth="1"/>
    <col min="49" max="49" width="11.109375" style="1593" customWidth="1"/>
    <col min="50" max="50" width="14.88671875" style="1593" customWidth="1"/>
    <col min="51" max="51" width="15.109375" style="1593" customWidth="1"/>
    <col min="52" max="52" width="12.6640625" style="1593" customWidth="1"/>
    <col min="53" max="53" width="16.21875" style="1593" customWidth="1"/>
    <col min="54" max="54" width="11.21875" style="1593" customWidth="1"/>
    <col min="55" max="55" width="14.77734375" style="1593" customWidth="1"/>
    <col min="56" max="56" width="11.44140625" style="1593" customWidth="1"/>
    <col min="57" max="57" width="18.5546875" style="1593" customWidth="1"/>
    <col min="58" max="58" width="21.77734375" style="1593" customWidth="1"/>
    <col min="59" max="59" width="5.33203125" style="1593" customWidth="1"/>
    <col min="60" max="60" width="33.44140625" style="1593" bestFit="1" customWidth="1"/>
    <col min="61" max="61" width="9.33203125" style="1593" bestFit="1" customWidth="1"/>
    <col min="62" max="16384" width="9.109375" style="1593"/>
  </cols>
  <sheetData>
    <row r="1" spans="1:61" x14ac:dyDescent="0.25">
      <c r="B1" s="27">
        <f>'Consol. Rev.'!B1</f>
        <v>1</v>
      </c>
      <c r="C1" s="2364" t="s">
        <v>1599</v>
      </c>
      <c r="D1" s="2364"/>
      <c r="E1" s="2364"/>
      <c r="F1" s="2364"/>
      <c r="G1" s="2364"/>
      <c r="H1" s="2364"/>
      <c r="R1" s="2365" t="s">
        <v>1600</v>
      </c>
      <c r="S1" s="2366"/>
      <c r="T1" s="2366"/>
      <c r="U1" s="2366"/>
      <c r="V1" s="2366"/>
      <c r="W1" s="2366"/>
      <c r="X1" s="2366"/>
      <c r="Y1" s="1594"/>
      <c r="Z1" s="1594"/>
      <c r="AA1" s="1594"/>
      <c r="AB1" s="1594"/>
      <c r="AC1" s="1594"/>
      <c r="AD1" s="1594"/>
      <c r="AE1" s="1594"/>
      <c r="AF1" s="1594"/>
      <c r="AG1" s="1594"/>
      <c r="AH1" s="1594"/>
      <c r="AI1" s="1594"/>
      <c r="AJ1" s="1594"/>
      <c r="AK1" s="1594"/>
      <c r="AL1" s="1594"/>
      <c r="AM1" s="1594"/>
      <c r="AN1" s="1594"/>
      <c r="AO1" s="1594"/>
      <c r="AP1" s="1594"/>
      <c r="AQ1" s="1594"/>
      <c r="AR1" s="1594"/>
      <c r="AS1" s="1594"/>
      <c r="AT1" s="1594"/>
      <c r="AU1" s="1594"/>
      <c r="AV1" s="1594"/>
      <c r="AW1" s="1594"/>
      <c r="AX1" s="1594"/>
      <c r="AY1" s="1594"/>
      <c r="AZ1" s="1594"/>
      <c r="BA1" s="1594"/>
      <c r="BB1" s="1594"/>
      <c r="BC1" s="1594"/>
      <c r="BD1" s="1594"/>
      <c r="BE1" s="1594"/>
      <c r="BF1" s="1594"/>
    </row>
    <row r="2" spans="1:61" x14ac:dyDescent="0.25">
      <c r="I2" s="2367" t="s">
        <v>1601</v>
      </c>
      <c r="J2" s="2367"/>
      <c r="K2" s="2367"/>
      <c r="L2" s="2367"/>
      <c r="M2" s="2367"/>
      <c r="N2" s="2367"/>
      <c r="O2" s="2367"/>
      <c r="P2" s="2368"/>
      <c r="S2" s="1596">
        <v>1</v>
      </c>
      <c r="T2" s="1596">
        <v>2</v>
      </c>
      <c r="U2" s="1596">
        <v>3</v>
      </c>
      <c r="V2" s="1596">
        <v>4</v>
      </c>
      <c r="W2" s="1596">
        <v>5</v>
      </c>
      <c r="X2" s="1596">
        <v>6</v>
      </c>
      <c r="Y2" s="1596">
        <v>7</v>
      </c>
      <c r="Z2" s="1596">
        <v>8</v>
      </c>
      <c r="AA2" s="1596">
        <v>9</v>
      </c>
      <c r="AB2" s="1596">
        <v>10</v>
      </c>
      <c r="AC2" s="1596">
        <v>11</v>
      </c>
      <c r="AD2" s="1596">
        <v>12</v>
      </c>
      <c r="AE2" s="1596">
        <v>13</v>
      </c>
      <c r="AF2" s="1596">
        <v>14</v>
      </c>
      <c r="AG2" s="1596">
        <v>15</v>
      </c>
      <c r="AH2" s="1596">
        <v>16</v>
      </c>
      <c r="AI2" s="1596">
        <v>17</v>
      </c>
      <c r="AJ2" s="1596">
        <v>18</v>
      </c>
      <c r="AK2" s="1596">
        <v>19</v>
      </c>
      <c r="AL2" s="1596">
        <v>20</v>
      </c>
      <c r="AM2" s="1596">
        <v>21</v>
      </c>
      <c r="AN2" s="1596">
        <v>22</v>
      </c>
      <c r="AO2" s="1596">
        <v>23</v>
      </c>
      <c r="AP2" s="1596">
        <v>24</v>
      </c>
      <c r="AQ2" s="1596">
        <v>25</v>
      </c>
      <c r="AR2" s="1596">
        <v>26</v>
      </c>
      <c r="AS2" s="1596">
        <v>27</v>
      </c>
      <c r="AT2" s="1596">
        <v>28</v>
      </c>
      <c r="AU2" s="1596">
        <v>29</v>
      </c>
      <c r="AV2" s="1596">
        <v>30</v>
      </c>
      <c r="AW2" s="1596">
        <v>31</v>
      </c>
      <c r="AX2" s="1596">
        <v>32</v>
      </c>
      <c r="AY2" s="1596">
        <v>33</v>
      </c>
      <c r="AZ2" s="1596">
        <v>34</v>
      </c>
      <c r="BA2" s="1596">
        <v>35</v>
      </c>
      <c r="BB2" s="1596">
        <v>36</v>
      </c>
      <c r="BC2" s="1596">
        <v>37</v>
      </c>
      <c r="BD2" s="1596">
        <v>38</v>
      </c>
      <c r="BE2" s="1596">
        <v>39</v>
      </c>
      <c r="BF2" s="1596">
        <v>40</v>
      </c>
    </row>
    <row r="3" spans="1:61" x14ac:dyDescent="0.25">
      <c r="B3" s="1597"/>
      <c r="C3" s="2364"/>
      <c r="D3" s="2364"/>
      <c r="E3" s="2364"/>
      <c r="F3" s="2364"/>
      <c r="G3" s="2364"/>
      <c r="H3" s="2364"/>
      <c r="I3" s="2367"/>
      <c r="J3" s="2367"/>
      <c r="K3" s="2367"/>
      <c r="L3" s="2367"/>
      <c r="M3" s="2367"/>
      <c r="N3" s="2367"/>
      <c r="O3" s="2367"/>
      <c r="P3" s="2368"/>
      <c r="Q3" s="1598"/>
      <c r="R3" s="1599" t="str">
        <f ca="1">IF(TODAY()&lt;R4,"Proj","")</f>
        <v/>
      </c>
      <c r="S3" s="1600" t="str">
        <f t="shared" ref="S3:BF3" ca="1" si="0">IF(TODAY()&lt;S4,"Proj","")</f>
        <v/>
      </c>
      <c r="T3" s="1600" t="str">
        <f t="shared" ca="1" si="0"/>
        <v/>
      </c>
      <c r="U3" s="1600" t="str">
        <f t="shared" ca="1" si="0"/>
        <v/>
      </c>
      <c r="V3" s="1600" t="str">
        <f t="shared" ca="1" si="0"/>
        <v>Proj</v>
      </c>
      <c r="W3" s="1600" t="str">
        <f t="shared" ca="1" si="0"/>
        <v>Proj</v>
      </c>
      <c r="X3" s="1600" t="str">
        <f t="shared" ca="1" si="0"/>
        <v>Proj</v>
      </c>
      <c r="Y3" s="1600" t="str">
        <f t="shared" ca="1" si="0"/>
        <v>Proj</v>
      </c>
      <c r="Z3" s="1600" t="str">
        <f t="shared" ca="1" si="0"/>
        <v>Proj</v>
      </c>
      <c r="AA3" s="1600" t="str">
        <f t="shared" ca="1" si="0"/>
        <v>Proj</v>
      </c>
      <c r="AB3" s="1600" t="str">
        <f t="shared" ca="1" si="0"/>
        <v>Proj</v>
      </c>
      <c r="AC3" s="1600" t="str">
        <f t="shared" ca="1" si="0"/>
        <v>Proj</v>
      </c>
      <c r="AD3" s="1600" t="str">
        <f t="shared" ca="1" si="0"/>
        <v>Proj</v>
      </c>
      <c r="AE3" s="1600" t="str">
        <f t="shared" ca="1" si="0"/>
        <v>Proj</v>
      </c>
      <c r="AF3" s="1600" t="str">
        <f t="shared" ca="1" si="0"/>
        <v>Proj</v>
      </c>
      <c r="AG3" s="1600" t="str">
        <f t="shared" ca="1" si="0"/>
        <v>Proj</v>
      </c>
      <c r="AH3" s="1600" t="str">
        <f t="shared" ca="1" si="0"/>
        <v>Proj</v>
      </c>
      <c r="AI3" s="1600" t="str">
        <f t="shared" ca="1" si="0"/>
        <v>Proj</v>
      </c>
      <c r="AJ3" s="1600" t="str">
        <f t="shared" ca="1" si="0"/>
        <v>Proj</v>
      </c>
      <c r="AK3" s="1600" t="str">
        <f t="shared" ca="1" si="0"/>
        <v>Proj</v>
      </c>
      <c r="AL3" s="1600" t="str">
        <f t="shared" ca="1" si="0"/>
        <v>Proj</v>
      </c>
      <c r="AM3" s="1600" t="str">
        <f t="shared" ca="1" si="0"/>
        <v>Proj</v>
      </c>
      <c r="AN3" s="1600" t="str">
        <f t="shared" ca="1" si="0"/>
        <v>Proj</v>
      </c>
      <c r="AO3" s="1600" t="str">
        <f t="shared" ca="1" si="0"/>
        <v>Proj</v>
      </c>
      <c r="AP3" s="1600" t="str">
        <f t="shared" ca="1" si="0"/>
        <v>Proj</v>
      </c>
      <c r="AQ3" s="1600" t="str">
        <f t="shared" ca="1" si="0"/>
        <v>Proj</v>
      </c>
      <c r="AR3" s="1600" t="str">
        <f t="shared" ca="1" si="0"/>
        <v>Proj</v>
      </c>
      <c r="AS3" s="1600" t="str">
        <f t="shared" ca="1" si="0"/>
        <v>Proj</v>
      </c>
      <c r="AT3" s="1600" t="str">
        <f t="shared" ca="1" si="0"/>
        <v>Proj</v>
      </c>
      <c r="AU3" s="1600" t="str">
        <f t="shared" ca="1" si="0"/>
        <v>Proj</v>
      </c>
      <c r="AV3" s="1600" t="str">
        <f t="shared" ca="1" si="0"/>
        <v>Proj</v>
      </c>
      <c r="AW3" s="1600" t="str">
        <f t="shared" ca="1" si="0"/>
        <v>Proj</v>
      </c>
      <c r="AX3" s="1600" t="str">
        <f t="shared" ca="1" si="0"/>
        <v>Proj</v>
      </c>
      <c r="AY3" s="1600" t="str">
        <f t="shared" ca="1" si="0"/>
        <v>Proj</v>
      </c>
      <c r="AZ3" s="1600" t="str">
        <f t="shared" ca="1" si="0"/>
        <v>Proj</v>
      </c>
      <c r="BA3" s="1600" t="str">
        <f t="shared" ca="1" si="0"/>
        <v>Proj</v>
      </c>
      <c r="BB3" s="1600" t="str">
        <f t="shared" ca="1" si="0"/>
        <v>Proj</v>
      </c>
      <c r="BC3" s="1600" t="str">
        <f t="shared" ca="1" si="0"/>
        <v>Proj</v>
      </c>
      <c r="BD3" s="1600" t="str">
        <f t="shared" ca="1" si="0"/>
        <v>Proj</v>
      </c>
      <c r="BE3" s="1600" t="str">
        <f t="shared" ca="1" si="0"/>
        <v>Proj</v>
      </c>
      <c r="BF3" s="1600" t="str">
        <f t="shared" ca="1" si="0"/>
        <v>Proj</v>
      </c>
    </row>
    <row r="4" spans="1:61" s="1607" customFormat="1" ht="28.2" thickBot="1" x14ac:dyDescent="0.35">
      <c r="A4" s="1601"/>
      <c r="B4" s="1602" t="s">
        <v>1602</v>
      </c>
      <c r="C4" s="1603" t="s">
        <v>1603</v>
      </c>
      <c r="D4" s="1603" t="s">
        <v>1604</v>
      </c>
      <c r="E4" s="1603" t="s">
        <v>1605</v>
      </c>
      <c r="F4" s="1604" t="s">
        <v>1606</v>
      </c>
      <c r="G4" s="1603" t="s">
        <v>1607</v>
      </c>
      <c r="H4" s="1603" t="s">
        <v>1608</v>
      </c>
      <c r="I4" s="1603"/>
      <c r="J4" s="1603"/>
      <c r="K4" s="1603"/>
      <c r="L4" s="1603"/>
      <c r="M4" s="1603"/>
      <c r="N4" s="1603"/>
      <c r="O4" s="1603"/>
      <c r="P4" s="1603"/>
      <c r="Q4" s="1605"/>
      <c r="R4" s="1605">
        <v>44561</v>
      </c>
      <c r="S4" s="1606">
        <f t="shared" ref="S4:BF4" si="1">DATE(YEAR(R4),MONTH(R4)+13,0)</f>
        <v>44926</v>
      </c>
      <c r="T4" s="1606">
        <f t="shared" si="1"/>
        <v>45291</v>
      </c>
      <c r="U4" s="1606">
        <f t="shared" si="1"/>
        <v>45657</v>
      </c>
      <c r="V4" s="1606">
        <f t="shared" si="1"/>
        <v>46022</v>
      </c>
      <c r="W4" s="1606">
        <f t="shared" si="1"/>
        <v>46387</v>
      </c>
      <c r="X4" s="1606">
        <f t="shared" si="1"/>
        <v>46752</v>
      </c>
      <c r="Y4" s="1606">
        <f t="shared" si="1"/>
        <v>47118</v>
      </c>
      <c r="Z4" s="1606">
        <f t="shared" si="1"/>
        <v>47483</v>
      </c>
      <c r="AA4" s="1606">
        <f t="shared" si="1"/>
        <v>47848</v>
      </c>
      <c r="AB4" s="1606">
        <f t="shared" si="1"/>
        <v>48213</v>
      </c>
      <c r="AC4" s="1606">
        <f t="shared" si="1"/>
        <v>48579</v>
      </c>
      <c r="AD4" s="1606">
        <f t="shared" si="1"/>
        <v>48944</v>
      </c>
      <c r="AE4" s="1606">
        <f t="shared" si="1"/>
        <v>49309</v>
      </c>
      <c r="AF4" s="1606">
        <f t="shared" si="1"/>
        <v>49674</v>
      </c>
      <c r="AG4" s="1606">
        <f t="shared" si="1"/>
        <v>50040</v>
      </c>
      <c r="AH4" s="1606">
        <f t="shared" si="1"/>
        <v>50405</v>
      </c>
      <c r="AI4" s="1606">
        <f t="shared" si="1"/>
        <v>50770</v>
      </c>
      <c r="AJ4" s="1606">
        <f t="shared" si="1"/>
        <v>51135</v>
      </c>
      <c r="AK4" s="1606">
        <f t="shared" si="1"/>
        <v>51501</v>
      </c>
      <c r="AL4" s="1606">
        <f t="shared" si="1"/>
        <v>51866</v>
      </c>
      <c r="AM4" s="1606">
        <f t="shared" si="1"/>
        <v>52231</v>
      </c>
      <c r="AN4" s="1606">
        <f t="shared" si="1"/>
        <v>52596</v>
      </c>
      <c r="AO4" s="1606">
        <f t="shared" si="1"/>
        <v>52962</v>
      </c>
      <c r="AP4" s="1606">
        <f t="shared" si="1"/>
        <v>53327</v>
      </c>
      <c r="AQ4" s="1606">
        <f t="shared" si="1"/>
        <v>53692</v>
      </c>
      <c r="AR4" s="1606">
        <f t="shared" si="1"/>
        <v>54057</v>
      </c>
      <c r="AS4" s="1606">
        <f t="shared" si="1"/>
        <v>54423</v>
      </c>
      <c r="AT4" s="1606">
        <f t="shared" si="1"/>
        <v>54788</v>
      </c>
      <c r="AU4" s="1606">
        <f t="shared" si="1"/>
        <v>55153</v>
      </c>
      <c r="AV4" s="1606">
        <f t="shared" si="1"/>
        <v>55518</v>
      </c>
      <c r="AW4" s="1606">
        <f t="shared" si="1"/>
        <v>55884</v>
      </c>
      <c r="AX4" s="1606">
        <f t="shared" si="1"/>
        <v>56249</v>
      </c>
      <c r="AY4" s="1606">
        <f t="shared" si="1"/>
        <v>56614</v>
      </c>
      <c r="AZ4" s="1606">
        <f t="shared" si="1"/>
        <v>56979</v>
      </c>
      <c r="BA4" s="1606">
        <f t="shared" si="1"/>
        <v>57345</v>
      </c>
      <c r="BB4" s="1606">
        <f t="shared" si="1"/>
        <v>57710</v>
      </c>
      <c r="BC4" s="1606">
        <f t="shared" si="1"/>
        <v>58075</v>
      </c>
      <c r="BD4" s="1606">
        <f t="shared" si="1"/>
        <v>58440</v>
      </c>
      <c r="BE4" s="1606">
        <f t="shared" si="1"/>
        <v>58806</v>
      </c>
      <c r="BF4" s="1606">
        <f t="shared" si="1"/>
        <v>59171</v>
      </c>
      <c r="BH4" s="1608" t="s">
        <v>1495</v>
      </c>
    </row>
    <row r="5" spans="1:61" s="1607" customFormat="1" ht="17.25" customHeight="1" thickTop="1" x14ac:dyDescent="0.3">
      <c r="A5" s="1601"/>
      <c r="B5" s="1609"/>
      <c r="C5" s="1610"/>
      <c r="D5" s="1610"/>
      <c r="E5" s="1610"/>
      <c r="F5" s="1611"/>
      <c r="G5" s="1610"/>
      <c r="H5" s="1610"/>
      <c r="I5" s="1610"/>
      <c r="J5" s="1610"/>
      <c r="K5" s="1610"/>
      <c r="L5" s="1610"/>
      <c r="M5" s="1610"/>
      <c r="N5" s="1610"/>
      <c r="O5" s="1610"/>
      <c r="P5" s="1610"/>
      <c r="Q5" s="1610"/>
      <c r="R5" s="1610"/>
      <c r="S5" s="1610"/>
      <c r="T5" s="1610"/>
      <c r="U5" s="1610"/>
      <c r="V5" s="1610"/>
      <c r="W5" s="1610"/>
      <c r="X5" s="1610"/>
      <c r="Y5" s="1610"/>
      <c r="Z5" s="1610"/>
      <c r="AA5" s="1610"/>
      <c r="AB5" s="1610"/>
      <c r="AC5" s="1610"/>
      <c r="AD5" s="1610"/>
      <c r="AE5" s="1610"/>
      <c r="AF5" s="1610"/>
      <c r="AG5" s="1610"/>
      <c r="AH5" s="1610"/>
      <c r="AI5" s="1610"/>
      <c r="AJ5" s="1610"/>
      <c r="AK5" s="1610"/>
      <c r="AL5" s="1610"/>
      <c r="AM5" s="1610"/>
      <c r="AN5" s="1610"/>
      <c r="AO5" s="1610"/>
      <c r="AP5" s="1610"/>
      <c r="AQ5" s="1610"/>
      <c r="AR5" s="1610"/>
      <c r="AS5" s="1610"/>
      <c r="AT5" s="1610"/>
      <c r="AU5" s="1610"/>
      <c r="AV5" s="1610"/>
      <c r="AW5" s="1610"/>
      <c r="AX5" s="1610"/>
      <c r="AY5" s="1610"/>
      <c r="AZ5" s="1610"/>
      <c r="BA5" s="1610"/>
      <c r="BB5" s="1610"/>
      <c r="BC5" s="1610"/>
      <c r="BD5" s="1610"/>
      <c r="BE5" s="1610"/>
      <c r="BF5" s="1610"/>
    </row>
    <row r="6" spans="1:61" x14ac:dyDescent="0.25">
      <c r="B6" s="1612" t="s">
        <v>1609</v>
      </c>
      <c r="C6" s="1001"/>
      <c r="D6" s="1613"/>
      <c r="E6" s="1001"/>
      <c r="G6" s="1001"/>
      <c r="H6" s="1001"/>
      <c r="I6" s="1001"/>
      <c r="J6" s="1001"/>
      <c r="K6" s="1001"/>
      <c r="L6" s="1001"/>
      <c r="M6" s="1001"/>
      <c r="N6" s="1001"/>
      <c r="O6" s="1001"/>
      <c r="P6" s="1001"/>
      <c r="Q6" s="1001"/>
      <c r="R6" s="1001"/>
      <c r="S6" s="1001"/>
      <c r="T6" s="1001"/>
      <c r="U6" s="1001"/>
      <c r="V6" s="1001"/>
      <c r="W6" s="1001"/>
      <c r="X6" s="1001"/>
      <c r="Y6" s="1001"/>
      <c r="Z6" s="1001"/>
      <c r="AA6" s="1001"/>
      <c r="AB6" s="1001"/>
      <c r="AC6" s="1001"/>
      <c r="AD6" s="1001"/>
      <c r="AE6" s="1001"/>
      <c r="AF6" s="1001"/>
      <c r="AG6" s="1001"/>
      <c r="AH6" s="1001"/>
      <c r="AI6" s="1001"/>
      <c r="AJ6" s="1001"/>
      <c r="AK6" s="1001"/>
      <c r="AL6" s="1001"/>
      <c r="AM6" s="1001"/>
      <c r="AN6" s="1001"/>
      <c r="AO6" s="1001"/>
      <c r="AP6" s="1001"/>
      <c r="AQ6" s="1001"/>
      <c r="AR6" s="1001"/>
      <c r="AS6" s="1001"/>
      <c r="AT6" s="1001"/>
      <c r="AU6" s="1001"/>
      <c r="AV6" s="1001"/>
      <c r="AW6" s="1001"/>
      <c r="AX6" s="1001"/>
      <c r="AY6" s="1001"/>
      <c r="AZ6" s="1001"/>
      <c r="BA6" s="1001"/>
      <c r="BB6" s="1001"/>
      <c r="BC6" s="1001"/>
      <c r="BD6" s="1001"/>
      <c r="BE6" s="1001"/>
      <c r="BF6" s="1001"/>
      <c r="BG6" s="1001"/>
    </row>
    <row r="7" spans="1:61" x14ac:dyDescent="0.25">
      <c r="B7" s="1597" t="s">
        <v>1610</v>
      </c>
      <c r="C7" s="1001"/>
      <c r="D7" s="1613"/>
      <c r="E7" s="1001"/>
      <c r="G7" s="1001"/>
      <c r="H7" s="1001"/>
      <c r="I7" s="1001"/>
      <c r="J7" s="1001"/>
      <c r="K7" s="1001"/>
      <c r="L7" s="1001"/>
      <c r="M7" s="1001"/>
      <c r="N7" s="1001"/>
      <c r="O7" s="1001"/>
      <c r="P7" s="1001"/>
      <c r="Q7" s="1001"/>
      <c r="R7" s="1001"/>
      <c r="S7" s="1001"/>
      <c r="T7" s="1001"/>
      <c r="U7" s="1001"/>
      <c r="V7" s="1001"/>
      <c r="W7" s="1001"/>
      <c r="X7" s="1001"/>
      <c r="Y7" s="1001"/>
      <c r="Z7" s="1001"/>
      <c r="AA7" s="1001"/>
      <c r="AB7" s="1001"/>
      <c r="AC7" s="1001"/>
      <c r="AD7" s="1001"/>
      <c r="AE7" s="1001"/>
      <c r="AF7" s="1001"/>
      <c r="AG7" s="1001"/>
      <c r="AH7" s="1001"/>
      <c r="AI7" s="1001"/>
      <c r="AJ7" s="1001"/>
      <c r="AK7" s="1001"/>
      <c r="AL7" s="1001"/>
      <c r="AM7" s="1001"/>
      <c r="AN7" s="1001"/>
      <c r="AO7" s="1001"/>
      <c r="AP7" s="1001"/>
      <c r="AQ7" s="1001"/>
      <c r="AR7" s="1001"/>
      <c r="AS7" s="1001"/>
      <c r="AT7" s="1001"/>
      <c r="AU7" s="1001"/>
      <c r="AV7" s="1001"/>
      <c r="AW7" s="1001"/>
      <c r="AX7" s="1001"/>
      <c r="AY7" s="1001"/>
      <c r="AZ7" s="1001"/>
      <c r="BA7" s="1001"/>
      <c r="BB7" s="1001"/>
      <c r="BC7" s="1001"/>
      <c r="BD7" s="1001"/>
      <c r="BE7" s="1001"/>
      <c r="BF7" s="1001"/>
      <c r="BG7" s="1001"/>
      <c r="BH7" s="1593" t="s">
        <v>1611</v>
      </c>
      <c r="BI7" s="1614">
        <v>1.7000000000000001E-2</v>
      </c>
    </row>
    <row r="8" spans="1:61" x14ac:dyDescent="0.25">
      <c r="B8" s="1615" t="s">
        <v>1612</v>
      </c>
      <c r="C8" s="1001"/>
      <c r="D8" s="1613"/>
      <c r="E8" s="1001"/>
      <c r="G8" s="1001"/>
      <c r="H8" s="1001"/>
      <c r="I8" s="1001"/>
      <c r="J8" s="1001"/>
      <c r="K8" s="1001"/>
      <c r="L8" s="1001"/>
      <c r="M8" s="1001"/>
      <c r="N8" s="1001"/>
      <c r="O8" s="1001"/>
      <c r="P8" s="1001"/>
      <c r="Q8" s="1001"/>
      <c r="R8" s="1616">
        <f>IF(ISTEXT('BS Raw'!O11),('BS Raw'!O92+'BS Raw'!O105)/Debt!$B$1,R17+R24)</f>
        <v>82.820316582000004</v>
      </c>
      <c r="S8" s="1617">
        <f>IF(ISTEXT('BS Raw'!P11),('BS Raw'!P92+'BS Raw'!P105)/Debt!$B$1,S17+S24)</f>
        <v>97.029471059999992</v>
      </c>
      <c r="T8" s="1617">
        <f>IF(ISTEXT('BS Raw'!Q11),('BS Raw'!Q92+'BS Raw'!Q105)/Debt!$B$1,T17+T24)</f>
        <v>309.97534145615117</v>
      </c>
      <c r="U8" s="1617">
        <f>IF(ISTEXT('BS Raw'!R11),('BS Raw'!R92+'BS Raw'!R105)/Debt!$B$1,U17+U24)</f>
        <v>403.59740388885723</v>
      </c>
      <c r="V8" s="1617">
        <f>IF(ISTEXT('BS Raw'!S11),('BS Raw'!S92+'BS Raw'!S105)/Debt!$B$1,V17+V24)</f>
        <v>362.1491073277956</v>
      </c>
      <c r="W8" s="1617">
        <f>IF(ISTEXT('BS Raw'!T11),('BS Raw'!T92+'BS Raw'!T105)/Debt!$B$1,W17+W24)</f>
        <v>280.75208772960889</v>
      </c>
      <c r="X8" s="1617">
        <f>IF(ISTEXT('BS Raw'!U11),('BS Raw'!U92+'BS Raw'!U105)/Debt!$B$1,X17+X24)</f>
        <v>227.86493398617759</v>
      </c>
      <c r="Y8" s="1617">
        <f>IF(ISTEXT('BS Raw'!V11),('BS Raw'!V92+'BS Raw'!V105)/Debt!$B$1,Y17+Y24)</f>
        <v>158.83839296253723</v>
      </c>
      <c r="Z8" s="1617">
        <f>IF(ISTEXT('BS Raw'!W11),('BS Raw'!W92+'BS Raw'!W105)/Debt!$B$1,Z17+Z24)</f>
        <v>139.6040737768873</v>
      </c>
      <c r="AA8" s="1617">
        <f>IF(ISTEXT('BS Raw'!X11),('BS Raw'!X92+'BS Raw'!X105)/Debt!$B$1,AA17+AA24)</f>
        <v>148.88599950866714</v>
      </c>
      <c r="AB8" s="1617">
        <f>IF(ISTEXT('BS Raw'!Y11),('BS Raw'!Y92+'BS Raw'!Y105)/Debt!$B$1,AB17+AB24)</f>
        <v>149.81887333666759</v>
      </c>
      <c r="AC8" s="1617"/>
      <c r="AD8" s="1618"/>
      <c r="AE8" s="1618"/>
      <c r="AF8" s="1618"/>
      <c r="AG8" s="1618"/>
      <c r="AH8" s="1618"/>
      <c r="AI8" s="1618"/>
      <c r="AJ8" s="1618"/>
      <c r="AK8" s="1618"/>
      <c r="AL8" s="1618"/>
      <c r="AM8" s="1618"/>
      <c r="AN8" s="1618"/>
      <c r="AO8" s="1618"/>
      <c r="AP8" s="1618"/>
      <c r="AQ8" s="1618"/>
      <c r="AR8" s="1618"/>
      <c r="AS8" s="1618"/>
      <c r="AT8" s="1618"/>
      <c r="AU8" s="1618"/>
      <c r="AV8" s="1618"/>
      <c r="AW8" s="1618"/>
      <c r="AX8" s="1618"/>
      <c r="AY8" s="1618"/>
      <c r="AZ8" s="1618"/>
      <c r="BA8" s="1618"/>
      <c r="BB8" s="1618"/>
      <c r="BC8" s="1618"/>
      <c r="BD8" s="1618"/>
      <c r="BE8" s="1618"/>
      <c r="BF8" s="1618"/>
      <c r="BG8" s="1001"/>
    </row>
    <row r="9" spans="1:61" s="1627" customFormat="1" x14ac:dyDescent="0.25">
      <c r="A9" s="1619"/>
      <c r="B9" s="1620" t="s">
        <v>1613</v>
      </c>
      <c r="C9" s="1621"/>
      <c r="D9" s="1622"/>
      <c r="E9" s="1621"/>
      <c r="F9" s="1623"/>
      <c r="G9" s="1621"/>
      <c r="H9" s="1621"/>
      <c r="I9" s="1621"/>
      <c r="J9" s="1621"/>
      <c r="K9" s="1621"/>
      <c r="L9" s="1621"/>
      <c r="M9" s="1621"/>
      <c r="N9" s="1621"/>
      <c r="O9" s="1621"/>
      <c r="P9" s="1621"/>
      <c r="Q9" s="1621"/>
      <c r="R9" s="1624"/>
      <c r="S9" s="1625"/>
      <c r="T9" s="1625"/>
      <c r="U9" s="1625"/>
      <c r="V9" s="1625"/>
      <c r="W9" s="1625"/>
      <c r="X9" s="1625"/>
      <c r="Y9" s="1625"/>
      <c r="Z9" s="1625"/>
      <c r="AA9" s="1625"/>
      <c r="AB9" s="1625"/>
      <c r="AC9" s="1625"/>
      <c r="AD9" s="1626"/>
      <c r="AE9" s="1626"/>
      <c r="AF9" s="1626"/>
      <c r="AG9" s="1626"/>
      <c r="AH9" s="1626"/>
      <c r="AI9" s="1626"/>
      <c r="AJ9" s="1626"/>
      <c r="AK9" s="1626"/>
      <c r="AL9" s="1626"/>
      <c r="AM9" s="1626"/>
      <c r="AN9" s="1626"/>
      <c r="AO9" s="1626"/>
      <c r="AP9" s="1626"/>
      <c r="AQ9" s="1626"/>
      <c r="AR9" s="1626"/>
      <c r="AS9" s="1626"/>
      <c r="AT9" s="1626"/>
      <c r="AU9" s="1626"/>
      <c r="AV9" s="1626"/>
      <c r="AW9" s="1626"/>
      <c r="AX9" s="1626"/>
      <c r="AY9" s="1626"/>
      <c r="AZ9" s="1626"/>
      <c r="BA9" s="1626"/>
      <c r="BB9" s="1626"/>
      <c r="BC9" s="1626"/>
      <c r="BD9" s="1626"/>
      <c r="BE9" s="1626"/>
      <c r="BF9" s="1626"/>
      <c r="BG9" s="1621"/>
    </row>
    <row r="10" spans="1:61" s="1627" customFormat="1" x14ac:dyDescent="0.25">
      <c r="A10" s="1619"/>
      <c r="B10" s="1620" t="s">
        <v>1614</v>
      </c>
      <c r="C10" s="1621"/>
      <c r="D10" s="1622"/>
      <c r="E10" s="1621"/>
      <c r="F10" s="1623"/>
      <c r="G10" s="1621"/>
      <c r="H10" s="1621"/>
      <c r="I10" s="1621"/>
      <c r="J10" s="1621"/>
      <c r="K10" s="1621"/>
      <c r="L10" s="1621"/>
      <c r="M10" s="1621"/>
      <c r="N10" s="1621"/>
      <c r="O10" s="1621"/>
      <c r="P10" s="1621"/>
      <c r="Q10" s="1621"/>
      <c r="R10" s="1624"/>
      <c r="S10" s="1625"/>
      <c r="T10" s="1625"/>
      <c r="U10" s="1625"/>
      <c r="V10" s="1625"/>
      <c r="W10" s="1625"/>
      <c r="X10" s="1625"/>
      <c r="Y10" s="1625"/>
      <c r="Z10" s="1625"/>
      <c r="AA10" s="1625"/>
      <c r="AB10" s="1625"/>
      <c r="AC10" s="1625"/>
      <c r="AD10" s="1626"/>
      <c r="AE10" s="1626"/>
      <c r="AF10" s="1626"/>
      <c r="AG10" s="1626"/>
      <c r="AH10" s="1626"/>
      <c r="AI10" s="1626"/>
      <c r="AJ10" s="1626"/>
      <c r="AK10" s="1626"/>
      <c r="AL10" s="1626"/>
      <c r="AM10" s="1626"/>
      <c r="AN10" s="1626"/>
      <c r="AO10" s="1626"/>
      <c r="AP10" s="1626"/>
      <c r="AQ10" s="1626"/>
      <c r="AR10" s="1626"/>
      <c r="AS10" s="1626"/>
      <c r="AT10" s="1626"/>
      <c r="AU10" s="1626"/>
      <c r="AV10" s="1626"/>
      <c r="AW10" s="1626"/>
      <c r="AX10" s="1626"/>
      <c r="AY10" s="1626"/>
      <c r="AZ10" s="1626"/>
      <c r="BA10" s="1626"/>
      <c r="BB10" s="1626"/>
      <c r="BC10" s="1626"/>
      <c r="BD10" s="1626"/>
      <c r="BE10" s="1626"/>
      <c r="BF10" s="1626"/>
      <c r="BG10" s="1621"/>
    </row>
    <row r="11" spans="1:61" x14ac:dyDescent="0.25">
      <c r="B11" s="1615" t="s">
        <v>1615</v>
      </c>
      <c r="C11" s="1001"/>
      <c r="D11" s="1613"/>
      <c r="E11" s="1001"/>
      <c r="G11" s="1001"/>
      <c r="H11" s="1001"/>
      <c r="I11" s="1001"/>
      <c r="J11" s="1001"/>
      <c r="K11" s="1001"/>
      <c r="L11" s="1001"/>
      <c r="M11" s="1001"/>
      <c r="N11" s="1001"/>
      <c r="O11" s="1001"/>
      <c r="P11" s="1001"/>
      <c r="Q11" s="1001"/>
      <c r="R11" s="1616">
        <f>IF(ISTEXT('BS Raw'!P11),('BS Raw'!P92+'BS Raw'!P105)/Debt!$B$1,R20+R27)</f>
        <v>97.029471059999992</v>
      </c>
      <c r="S11" s="1617">
        <f>IF(ISTEXT('BS Raw'!Q11),('BS Raw'!Q92+'BS Raw'!Q105)/Debt!$B$1,S20+S27)</f>
        <v>309.97534145615117</v>
      </c>
      <c r="T11" s="1617">
        <f>IF(ISTEXT('BS Raw'!R11),('BS Raw'!R92+'BS Raw'!R105)/Debt!$B$1,T20+T27)</f>
        <v>403.59740388885723</v>
      </c>
      <c r="U11" s="1617">
        <f>IF(ISTEXT('BS Raw'!S11),('BS Raw'!S92+'BS Raw'!S105)/Debt!$B$1,U20+U27)</f>
        <v>362.1491073277956</v>
      </c>
      <c r="V11" s="1617">
        <f>IF(ISTEXT('BS Raw'!T11),('BS Raw'!T92+'BS Raw'!T105)/Debt!$B$1,V20+V27)</f>
        <v>280.75208772960889</v>
      </c>
      <c r="W11" s="1617">
        <f>IF(ISTEXT('BS Raw'!U11),('BS Raw'!U92+'BS Raw'!U105)/Debt!$B$1,W20+W27)</f>
        <v>227.86493398617759</v>
      </c>
      <c r="X11" s="1617">
        <f>IF(ISTEXT('BS Raw'!V11),('BS Raw'!V92+'BS Raw'!V105)/Debt!$B$1,X20+X27)</f>
        <v>158.83839296253723</v>
      </c>
      <c r="Y11" s="1617">
        <f>IF(ISTEXT('BS Raw'!W11),('BS Raw'!W92+'BS Raw'!W105)/Debt!$B$1,Y20+Y27)</f>
        <v>139.6040737768873</v>
      </c>
      <c r="Z11" s="1617">
        <f>IF(ISTEXT('BS Raw'!X11),('BS Raw'!X92+'BS Raw'!X105)/Debt!$B$1,Z20+Z27)</f>
        <v>148.88599950866714</v>
      </c>
      <c r="AA11" s="1617">
        <f>IF(ISTEXT('BS Raw'!Y11),('BS Raw'!Y92+'BS Raw'!Y105)/Debt!$B$1,AA20+AA27)</f>
        <v>149.81887333666759</v>
      </c>
      <c r="AB11" s="1617">
        <f>IF(ISTEXT('BS Raw'!Z11),('BS Raw'!Z92+'BS Raw'!Z105)/Debt!$B$1,AB20+AB27)</f>
        <v>158.88217944832397</v>
      </c>
      <c r="AC11" s="1617"/>
      <c r="AD11" s="1618"/>
      <c r="AE11" s="1618"/>
      <c r="AF11" s="1618"/>
      <c r="AG11" s="1618"/>
      <c r="AH11" s="1618"/>
      <c r="AI11" s="1618"/>
      <c r="AJ11" s="1618"/>
      <c r="AK11" s="1618"/>
      <c r="AL11" s="1618"/>
      <c r="AM11" s="1618"/>
      <c r="AN11" s="1618"/>
      <c r="AO11" s="1618"/>
      <c r="AP11" s="1618"/>
      <c r="AQ11" s="1618"/>
      <c r="AR11" s="1618"/>
      <c r="AS11" s="1618"/>
      <c r="AT11" s="1618"/>
      <c r="AU11" s="1618"/>
      <c r="AV11" s="1618"/>
      <c r="AW11" s="1618"/>
      <c r="AX11" s="1618"/>
      <c r="AY11" s="1618"/>
      <c r="AZ11" s="1618"/>
      <c r="BA11" s="1618"/>
      <c r="BB11" s="1618"/>
      <c r="BC11" s="1618"/>
      <c r="BD11" s="1618"/>
      <c r="BE11" s="1618"/>
      <c r="BF11" s="1618"/>
      <c r="BG11" s="1001"/>
    </row>
    <row r="12" spans="1:61" s="1627" customFormat="1" x14ac:dyDescent="0.25">
      <c r="A12" s="1619"/>
      <c r="B12" s="1620" t="s">
        <v>1616</v>
      </c>
      <c r="C12" s="1621"/>
      <c r="D12" s="1622"/>
      <c r="E12" s="1628"/>
      <c r="F12" s="1623"/>
      <c r="G12" s="1621"/>
      <c r="H12" s="1621"/>
      <c r="I12" s="1621"/>
      <c r="J12" s="1621"/>
      <c r="K12" s="1621"/>
      <c r="L12" s="1621"/>
      <c r="M12" s="1621"/>
      <c r="N12" s="1621"/>
      <c r="O12" s="1621"/>
      <c r="P12" s="1621"/>
      <c r="Q12" s="1621"/>
      <c r="R12" s="1629">
        <f>Notes!P158/Debt!$B$1</f>
        <v>1.3245273529999999</v>
      </c>
      <c r="S12" s="1626"/>
      <c r="T12" s="1626"/>
      <c r="U12" s="1626"/>
      <c r="V12" s="1626"/>
      <c r="W12" s="1626"/>
      <c r="X12" s="1626"/>
      <c r="Y12" s="1626"/>
      <c r="Z12" s="1626"/>
      <c r="AA12" s="1626"/>
      <c r="AB12" s="1626"/>
      <c r="AC12" s="1626"/>
      <c r="AD12" s="1626"/>
      <c r="AE12" s="1626"/>
      <c r="AF12" s="1626"/>
      <c r="AG12" s="1626"/>
      <c r="AH12" s="1626"/>
      <c r="AI12" s="1626"/>
      <c r="AJ12" s="1626"/>
      <c r="AK12" s="1626"/>
      <c r="AL12" s="1626"/>
      <c r="AM12" s="1626"/>
      <c r="AN12" s="1626"/>
      <c r="AO12" s="1626"/>
      <c r="AP12" s="1626"/>
      <c r="AQ12" s="1626"/>
      <c r="AR12" s="1626"/>
      <c r="AS12" s="1626"/>
      <c r="AT12" s="1626"/>
      <c r="AU12" s="1626"/>
      <c r="AV12" s="1626"/>
      <c r="AW12" s="1626"/>
      <c r="AX12" s="1626"/>
      <c r="AY12" s="1626"/>
      <c r="AZ12" s="1626"/>
      <c r="BA12" s="1626"/>
      <c r="BB12" s="1626"/>
      <c r="BC12" s="1626"/>
      <c r="BD12" s="1626"/>
      <c r="BE12" s="1626"/>
      <c r="BF12" s="1626"/>
      <c r="BG12" s="1621"/>
    </row>
    <row r="13" spans="1:61" s="1627" customFormat="1" x14ac:dyDescent="0.25">
      <c r="A13" s="1619"/>
      <c r="B13" s="1620" t="s">
        <v>1617</v>
      </c>
      <c r="C13" s="1621"/>
      <c r="D13" s="1622"/>
      <c r="E13" s="1621"/>
      <c r="F13" s="1623"/>
      <c r="G13" s="1621"/>
      <c r="H13" s="1621"/>
      <c r="I13" s="1621"/>
      <c r="J13" s="1621"/>
      <c r="K13" s="1621"/>
      <c r="L13" s="1621"/>
      <c r="M13" s="1621"/>
      <c r="N13" s="1621"/>
      <c r="O13" s="1621"/>
      <c r="P13" s="1621"/>
      <c r="Q13" s="1621"/>
      <c r="R13" s="1630">
        <f>IFERROR(R12/AVERAGE(R8,R11),0) + 0.04</f>
        <v>5.4729262351274365E-2</v>
      </c>
      <c r="S13" s="1631">
        <f>IF(S12="",R13,S12/AVERAGE(S8,S11))</f>
        <v>5.4729262351274365E-2</v>
      </c>
      <c r="T13" s="1631">
        <f t="shared" ref="T13:AB13" si="2">IF(T12="",S13,T12/AVERAGE(T8,T11))</f>
        <v>5.4729262351274365E-2</v>
      </c>
      <c r="U13" s="1631">
        <f t="shared" si="2"/>
        <v>5.4729262351274365E-2</v>
      </c>
      <c r="V13" s="1631">
        <f t="shared" si="2"/>
        <v>5.4729262351274365E-2</v>
      </c>
      <c r="W13" s="1631">
        <f t="shared" si="2"/>
        <v>5.4729262351274365E-2</v>
      </c>
      <c r="X13" s="1631">
        <f t="shared" si="2"/>
        <v>5.4729262351274365E-2</v>
      </c>
      <c r="Y13" s="1631">
        <f t="shared" si="2"/>
        <v>5.4729262351274365E-2</v>
      </c>
      <c r="Z13" s="1631">
        <f t="shared" si="2"/>
        <v>5.4729262351274365E-2</v>
      </c>
      <c r="AA13" s="1631">
        <f t="shared" si="2"/>
        <v>5.4729262351274365E-2</v>
      </c>
      <c r="AB13" s="1631">
        <f t="shared" si="2"/>
        <v>5.4729262351274365E-2</v>
      </c>
      <c r="AC13" s="1631"/>
      <c r="AD13" s="1632"/>
      <c r="AE13" s="1632"/>
      <c r="AF13" s="1632"/>
      <c r="AG13" s="1632"/>
      <c r="AH13" s="1632"/>
      <c r="AI13" s="1632"/>
      <c r="AJ13" s="1632"/>
      <c r="AK13" s="1632"/>
      <c r="AL13" s="1632"/>
      <c r="AM13" s="1632"/>
      <c r="AN13" s="1632"/>
      <c r="AO13" s="1632"/>
      <c r="AP13" s="1632"/>
      <c r="AQ13" s="1632"/>
      <c r="AR13" s="1632"/>
      <c r="AS13" s="1632"/>
      <c r="AT13" s="1632"/>
      <c r="AU13" s="1632"/>
      <c r="AV13" s="1632"/>
      <c r="AW13" s="1632"/>
      <c r="AX13" s="1632"/>
      <c r="AY13" s="1632"/>
      <c r="AZ13" s="1632"/>
      <c r="BA13" s="1632"/>
      <c r="BB13" s="1632"/>
      <c r="BC13" s="1632"/>
      <c r="BD13" s="1632"/>
      <c r="BE13" s="1632"/>
      <c r="BF13" s="1632"/>
      <c r="BG13" s="1621"/>
    </row>
    <row r="14" spans="1:61" x14ac:dyDescent="0.25">
      <c r="B14" s="1597"/>
      <c r="C14" s="1001"/>
      <c r="D14" s="1613"/>
      <c r="E14" s="1001"/>
      <c r="G14" s="1001"/>
      <c r="H14" s="1001"/>
      <c r="I14" s="1001"/>
      <c r="J14" s="1001"/>
      <c r="K14" s="1001"/>
      <c r="L14" s="1001"/>
      <c r="M14" s="1001"/>
      <c r="N14" s="1001"/>
      <c r="O14" s="1001"/>
      <c r="P14" s="1001"/>
      <c r="Q14" s="1001"/>
      <c r="R14" s="1001"/>
      <c r="S14" s="1001"/>
      <c r="T14" s="1001"/>
      <c r="U14" s="1001"/>
      <c r="V14" s="1001"/>
      <c r="W14" s="1001"/>
      <c r="X14" s="1001"/>
      <c r="Y14" s="1001"/>
      <c r="Z14" s="1001"/>
      <c r="AA14" s="1001"/>
      <c r="AB14" s="1001"/>
      <c r="AC14" s="1001"/>
      <c r="AD14" s="1001"/>
      <c r="AE14" s="1001"/>
      <c r="AF14" s="1001"/>
      <c r="AG14" s="1001"/>
      <c r="AH14" s="1001"/>
      <c r="AI14" s="1001"/>
      <c r="AJ14" s="1001"/>
      <c r="AK14" s="1001"/>
      <c r="AL14" s="1001"/>
      <c r="AM14" s="1001"/>
      <c r="AN14" s="1001"/>
      <c r="AO14" s="1001"/>
      <c r="AP14" s="1001"/>
      <c r="AQ14" s="1001"/>
      <c r="AR14" s="1001"/>
      <c r="AS14" s="1001"/>
      <c r="AT14" s="1001"/>
      <c r="AU14" s="1001"/>
      <c r="AV14" s="1001"/>
      <c r="AW14" s="1001"/>
      <c r="AX14" s="1001"/>
      <c r="AY14" s="1001"/>
      <c r="AZ14" s="1001"/>
      <c r="BA14" s="1001"/>
      <c r="BB14" s="1001"/>
      <c r="BC14" s="1001"/>
      <c r="BD14" s="1001"/>
      <c r="BE14" s="1001"/>
      <c r="BF14" s="1001"/>
      <c r="BG14" s="1001"/>
    </row>
    <row r="15" spans="1:61" x14ac:dyDescent="0.25">
      <c r="B15" s="1612" t="s">
        <v>1618</v>
      </c>
      <c r="C15" s="1001"/>
      <c r="D15" s="1613"/>
      <c r="E15" s="1001"/>
      <c r="G15" s="1001"/>
      <c r="H15" s="1001"/>
      <c r="I15" s="1001"/>
      <c r="J15" s="1001"/>
      <c r="K15" s="1001"/>
      <c r="L15" s="1001"/>
      <c r="M15" s="1001"/>
      <c r="N15" s="1001"/>
      <c r="O15" s="1001"/>
      <c r="P15" s="1001"/>
      <c r="Q15" s="1001"/>
      <c r="R15" s="1001"/>
      <c r="S15" s="1001"/>
      <c r="T15" s="1001"/>
      <c r="U15" s="1001"/>
      <c r="V15" s="1001"/>
      <c r="W15" s="1001"/>
      <c r="X15" s="1001"/>
      <c r="Y15" s="1001"/>
      <c r="Z15" s="1001"/>
      <c r="AA15" s="1001"/>
      <c r="AB15" s="1001"/>
      <c r="AC15" s="1001"/>
      <c r="AD15" s="1001"/>
      <c r="AE15" s="1001"/>
      <c r="AF15" s="1001"/>
      <c r="AG15" s="1001"/>
      <c r="AH15" s="1001"/>
      <c r="AI15" s="1001"/>
      <c r="AJ15" s="1001"/>
      <c r="AK15" s="1001"/>
      <c r="AL15" s="1001"/>
      <c r="AM15" s="1001"/>
      <c r="AN15" s="1001"/>
      <c r="AO15" s="1001"/>
      <c r="AP15" s="1001"/>
      <c r="AQ15" s="1001"/>
      <c r="AR15" s="1001"/>
      <c r="AS15" s="1001"/>
      <c r="AT15" s="1001"/>
      <c r="AU15" s="1001"/>
      <c r="AV15" s="1001"/>
      <c r="AW15" s="1001"/>
      <c r="AX15" s="1001"/>
      <c r="AY15" s="1001"/>
      <c r="AZ15" s="1001"/>
      <c r="BA15" s="1001"/>
      <c r="BB15" s="1001"/>
      <c r="BC15" s="1001"/>
      <c r="BD15" s="1001"/>
      <c r="BE15" s="1001"/>
      <c r="BF15" s="1001"/>
      <c r="BG15" s="1001"/>
    </row>
    <row r="16" spans="1:61" x14ac:dyDescent="0.25">
      <c r="A16" s="1592">
        <v>1</v>
      </c>
      <c r="B16" s="1597" t="s">
        <v>1619</v>
      </c>
      <c r="C16" s="1001"/>
      <c r="D16" s="1613"/>
      <c r="E16" s="1001"/>
      <c r="G16" s="1001"/>
      <c r="H16" s="1001"/>
      <c r="I16" s="1001"/>
      <c r="J16" s="1001"/>
      <c r="K16" s="1001"/>
      <c r="L16" s="1001"/>
      <c r="M16" s="1001"/>
      <c r="N16" s="1001"/>
      <c r="O16" s="1001"/>
      <c r="P16" s="1001"/>
      <c r="Q16" s="1001"/>
      <c r="R16" s="1001"/>
      <c r="S16" s="1001"/>
      <c r="T16" s="1001"/>
      <c r="U16" s="1001"/>
      <c r="V16" s="1001"/>
      <c r="W16" s="1001"/>
      <c r="X16" s="1001"/>
      <c r="Y16" s="1001"/>
      <c r="Z16" s="1001"/>
      <c r="AA16" s="1001"/>
      <c r="AB16" s="1001"/>
      <c r="AC16" s="1001"/>
      <c r="AD16" s="1001"/>
      <c r="AE16" s="1001"/>
      <c r="AF16" s="1001"/>
      <c r="AG16" s="1001"/>
      <c r="AH16" s="1001"/>
      <c r="AI16" s="1001"/>
      <c r="AJ16" s="1001"/>
      <c r="AK16" s="1001"/>
      <c r="AL16" s="1001"/>
      <c r="AM16" s="1001"/>
      <c r="AN16" s="1001"/>
      <c r="AO16" s="1001"/>
      <c r="AP16" s="1001"/>
      <c r="AQ16" s="1001"/>
      <c r="AR16" s="1001"/>
      <c r="AS16" s="1001"/>
      <c r="AT16" s="1001"/>
      <c r="AU16" s="1001"/>
      <c r="AV16" s="1001"/>
      <c r="AW16" s="1001"/>
      <c r="AX16" s="1001"/>
      <c r="AY16" s="1001"/>
      <c r="AZ16" s="1001"/>
      <c r="BA16" s="1001"/>
      <c r="BB16" s="1001"/>
      <c r="BC16" s="1001"/>
      <c r="BD16" s="1001"/>
      <c r="BE16" s="1001"/>
      <c r="BF16" s="1001"/>
      <c r="BG16" s="1001"/>
    </row>
    <row r="17" spans="1:59" x14ac:dyDescent="0.25">
      <c r="B17" s="1615" t="s">
        <v>1612</v>
      </c>
      <c r="C17" s="1001"/>
      <c r="D17" s="1613"/>
      <c r="E17" s="1001"/>
      <c r="G17" s="1001"/>
      <c r="H17" s="1001"/>
      <c r="I17" s="1001"/>
      <c r="J17" s="1001"/>
      <c r="K17" s="1001"/>
      <c r="L17" s="1001"/>
      <c r="M17" s="1001"/>
      <c r="N17" s="1001"/>
      <c r="O17" s="1001"/>
      <c r="P17" s="1001"/>
      <c r="Q17" s="1001"/>
      <c r="R17" s="1633">
        <f>R43</f>
        <v>20.094668665</v>
      </c>
      <c r="S17" s="1634">
        <f>S43</f>
        <v>21.029471059999999</v>
      </c>
      <c r="T17" s="1634">
        <f t="shared" ref="T17:AB17" si="3">T43</f>
        <v>72.647503604887973</v>
      </c>
      <c r="U17" s="1634">
        <f t="shared" si="3"/>
        <v>76.070303035653609</v>
      </c>
      <c r="V17" s="1634">
        <f t="shared" si="3"/>
        <v>94.961281776965492</v>
      </c>
      <c r="W17" s="1634">
        <f t="shared" si="3"/>
        <v>101.33540287663715</v>
      </c>
      <c r="X17" s="1634">
        <f t="shared" si="3"/>
        <v>107.52301845349675</v>
      </c>
      <c r="Y17" s="1634">
        <f t="shared" si="3"/>
        <v>113.31186682073751</v>
      </c>
      <c r="Z17" s="1634">
        <f t="shared" si="3"/>
        <v>121.16783928875023</v>
      </c>
      <c r="AA17" s="1634">
        <f t="shared" si="3"/>
        <v>139.32054238281134</v>
      </c>
      <c r="AB17" s="1634">
        <f t="shared" si="3"/>
        <v>146.63038762804899</v>
      </c>
      <c r="AC17" s="1634"/>
      <c r="AD17" s="1618"/>
      <c r="AE17" s="1618"/>
      <c r="AF17" s="1618"/>
      <c r="AG17" s="1618"/>
      <c r="AH17" s="1618"/>
      <c r="AI17" s="1618"/>
      <c r="AJ17" s="1618"/>
      <c r="AK17" s="1618"/>
      <c r="AL17" s="1618"/>
      <c r="AM17" s="1618"/>
      <c r="AN17" s="1618"/>
      <c r="AO17" s="1618"/>
      <c r="AP17" s="1618"/>
      <c r="AQ17" s="1618"/>
      <c r="AR17" s="1618"/>
      <c r="AS17" s="1618"/>
      <c r="AT17" s="1618"/>
      <c r="AU17" s="1618"/>
      <c r="AV17" s="1618"/>
      <c r="AW17" s="1618"/>
      <c r="AX17" s="1618"/>
      <c r="AY17" s="1618"/>
      <c r="AZ17" s="1618"/>
      <c r="BA17" s="1618"/>
      <c r="BB17" s="1618"/>
      <c r="BC17" s="1618"/>
      <c r="BD17" s="1618"/>
      <c r="BE17" s="1618"/>
      <c r="BF17" s="1618"/>
      <c r="BG17" s="1001"/>
    </row>
    <row r="18" spans="1:59" x14ac:dyDescent="0.25">
      <c r="B18" s="1620" t="s">
        <v>1613</v>
      </c>
      <c r="C18" s="1001"/>
      <c r="D18" s="1613"/>
      <c r="E18" s="1001"/>
      <c r="G18" s="1001"/>
      <c r="H18" s="1001"/>
      <c r="I18" s="1001"/>
      <c r="J18" s="1001"/>
      <c r="K18" s="1001"/>
      <c r="L18" s="1001"/>
      <c r="M18" s="1001"/>
      <c r="N18" s="1001"/>
      <c r="O18" s="1001"/>
      <c r="P18" s="1001"/>
      <c r="Q18" s="1001"/>
      <c r="R18" s="1633"/>
      <c r="S18" s="1634"/>
      <c r="T18" s="1634"/>
      <c r="U18" s="1634"/>
      <c r="V18" s="1634"/>
      <c r="W18" s="1634"/>
      <c r="X18" s="1634"/>
      <c r="Y18" s="1634"/>
      <c r="Z18" s="1634"/>
      <c r="AA18" s="1634"/>
      <c r="AB18" s="1634"/>
      <c r="AC18" s="1634"/>
      <c r="AD18" s="1618"/>
      <c r="AE18" s="1618"/>
      <c r="AF18" s="1618"/>
      <c r="AG18" s="1618"/>
      <c r="AH18" s="1618"/>
      <c r="AI18" s="1618"/>
      <c r="AJ18" s="1618"/>
      <c r="AK18" s="1618"/>
      <c r="AL18" s="1618"/>
      <c r="AM18" s="1618"/>
      <c r="AN18" s="1618"/>
      <c r="AO18" s="1618"/>
      <c r="AP18" s="1618"/>
      <c r="AQ18" s="1618"/>
      <c r="AR18" s="1618"/>
      <c r="AS18" s="1618"/>
      <c r="AT18" s="1618"/>
      <c r="AU18" s="1618"/>
      <c r="AV18" s="1618"/>
      <c r="AW18" s="1618"/>
      <c r="AX18" s="1618"/>
      <c r="AY18" s="1618"/>
      <c r="AZ18" s="1618"/>
      <c r="BA18" s="1618"/>
      <c r="BB18" s="1618"/>
      <c r="BC18" s="1618"/>
      <c r="BD18" s="1618"/>
      <c r="BE18" s="1618"/>
      <c r="BF18" s="1618"/>
      <c r="BG18" s="1001"/>
    </row>
    <row r="19" spans="1:59" x14ac:dyDescent="0.25">
      <c r="B19" s="1620" t="s">
        <v>1614</v>
      </c>
      <c r="C19" s="1001"/>
      <c r="D19" s="1613"/>
      <c r="E19" s="1001"/>
      <c r="G19" s="1001"/>
      <c r="H19" s="1001"/>
      <c r="I19" s="1001"/>
      <c r="J19" s="1001"/>
      <c r="K19" s="1001"/>
      <c r="L19" s="1001"/>
      <c r="M19" s="1001"/>
      <c r="N19" s="1001"/>
      <c r="O19" s="1001"/>
      <c r="P19" s="1001"/>
      <c r="Q19" s="1001"/>
      <c r="R19" s="1633"/>
      <c r="S19" s="1634"/>
      <c r="T19" s="1634"/>
      <c r="U19" s="1634"/>
      <c r="V19" s="1634"/>
      <c r="W19" s="1634"/>
      <c r="X19" s="1634"/>
      <c r="Y19" s="1634"/>
      <c r="Z19" s="1634"/>
      <c r="AA19" s="1634"/>
      <c r="AB19" s="1634"/>
      <c r="AC19" s="1634"/>
      <c r="AD19" s="1618"/>
      <c r="AE19" s="1618"/>
      <c r="AF19" s="1618"/>
      <c r="AG19" s="1618"/>
      <c r="AH19" s="1618"/>
      <c r="AI19" s="1618"/>
      <c r="AJ19" s="1618"/>
      <c r="AK19" s="1618"/>
      <c r="AL19" s="1618"/>
      <c r="AM19" s="1618"/>
      <c r="AN19" s="1618"/>
      <c r="AO19" s="1618"/>
      <c r="AP19" s="1618"/>
      <c r="AQ19" s="1618"/>
      <c r="AR19" s="1618"/>
      <c r="AS19" s="1618"/>
      <c r="AT19" s="1618"/>
      <c r="AU19" s="1618"/>
      <c r="AV19" s="1618"/>
      <c r="AW19" s="1618"/>
      <c r="AX19" s="1618"/>
      <c r="AY19" s="1618"/>
      <c r="AZ19" s="1618"/>
      <c r="BA19" s="1618"/>
      <c r="BB19" s="1618"/>
      <c r="BC19" s="1618"/>
      <c r="BD19" s="1618"/>
      <c r="BE19" s="1618"/>
      <c r="BF19" s="1618"/>
      <c r="BG19" s="1001"/>
    </row>
    <row r="20" spans="1:59" x14ac:dyDescent="0.25">
      <c r="B20" s="1615" t="s">
        <v>1615</v>
      </c>
      <c r="C20" s="1001"/>
      <c r="D20" s="1613"/>
      <c r="E20" s="1001"/>
      <c r="G20" s="1001"/>
      <c r="H20" s="1001"/>
      <c r="I20" s="1001"/>
      <c r="J20" s="1001"/>
      <c r="K20" s="1001"/>
      <c r="L20" s="1001"/>
      <c r="M20" s="1001"/>
      <c r="N20" s="1001"/>
      <c r="O20" s="1001"/>
      <c r="P20" s="1001"/>
      <c r="Q20" s="1001"/>
      <c r="R20" s="1633">
        <f>R46</f>
        <v>21.029471059999999</v>
      </c>
      <c r="S20" s="1634">
        <f>S46</f>
        <v>72.647503604887973</v>
      </c>
      <c r="T20" s="1634">
        <f t="shared" ref="T20:AB20" si="4">T46</f>
        <v>76.070303035653609</v>
      </c>
      <c r="U20" s="1634">
        <f t="shared" si="4"/>
        <v>94.961281776965492</v>
      </c>
      <c r="V20" s="1634">
        <f t="shared" si="4"/>
        <v>101.33540287663715</v>
      </c>
      <c r="W20" s="1634">
        <f t="shared" si="4"/>
        <v>107.52301845349675</v>
      </c>
      <c r="X20" s="1634">
        <f t="shared" si="4"/>
        <v>113.31186682073751</v>
      </c>
      <c r="Y20" s="1634">
        <f t="shared" si="4"/>
        <v>121.16783928875023</v>
      </c>
      <c r="Z20" s="1634">
        <f t="shared" si="4"/>
        <v>139.32054238281134</v>
      </c>
      <c r="AA20" s="1634">
        <f t="shared" si="4"/>
        <v>146.63038762804899</v>
      </c>
      <c r="AB20" s="1634">
        <f t="shared" si="4"/>
        <v>158.88217944832397</v>
      </c>
      <c r="AC20" s="1634"/>
      <c r="AD20" s="1618"/>
      <c r="AE20" s="1618"/>
      <c r="AF20" s="1618"/>
      <c r="AG20" s="1618"/>
      <c r="AH20" s="1618"/>
      <c r="AI20" s="1618"/>
      <c r="AJ20" s="1618"/>
      <c r="AK20" s="1618"/>
      <c r="AL20" s="1618"/>
      <c r="AM20" s="1618"/>
      <c r="AN20" s="1618"/>
      <c r="AO20" s="1618"/>
      <c r="AP20" s="1618"/>
      <c r="AQ20" s="1618"/>
      <c r="AR20" s="1618"/>
      <c r="AS20" s="1618"/>
      <c r="AT20" s="1618"/>
      <c r="AU20" s="1618"/>
      <c r="AV20" s="1618"/>
      <c r="AW20" s="1618"/>
      <c r="AX20" s="1618"/>
      <c r="AY20" s="1618"/>
      <c r="AZ20" s="1618"/>
      <c r="BA20" s="1618"/>
      <c r="BB20" s="1618"/>
      <c r="BC20" s="1618"/>
      <c r="BD20" s="1618"/>
      <c r="BE20" s="1618"/>
      <c r="BF20" s="1618"/>
      <c r="BG20" s="1001"/>
    </row>
    <row r="21" spans="1:59" s="1642" customFormat="1" x14ac:dyDescent="0.25">
      <c r="A21" s="1635"/>
      <c r="B21" s="1620" t="s">
        <v>1616</v>
      </c>
      <c r="C21" s="1636"/>
      <c r="D21" s="1637"/>
      <c r="E21" s="1636"/>
      <c r="F21" s="1638"/>
      <c r="G21" s="1636"/>
      <c r="H21" s="1636"/>
      <c r="I21" s="1636"/>
      <c r="J21" s="1636"/>
      <c r="K21" s="1636"/>
      <c r="L21" s="1636"/>
      <c r="M21" s="1636"/>
      <c r="N21" s="1636"/>
      <c r="O21" s="1636"/>
      <c r="P21" s="1636"/>
      <c r="Q21" s="1636"/>
      <c r="R21" s="1639">
        <f>+R48</f>
        <v>0.85572040974270802</v>
      </c>
      <c r="S21" s="1640">
        <f>+S48</f>
        <v>1.95044892430223</v>
      </c>
      <c r="T21" s="1640">
        <f t="shared" ref="T21:AB21" si="5">+T48</f>
        <v>3.068961674493992</v>
      </c>
      <c r="U21" s="1640">
        <f t="shared" si="5"/>
        <v>3.5511509446076137</v>
      </c>
      <c r="V21" s="1640">
        <f t="shared" si="5"/>
        <v>4.212513448933791</v>
      </c>
      <c r="W21" s="1640">
        <f t="shared" si="5"/>
        <v>4.6690446215239083</v>
      </c>
      <c r="X21" s="1640">
        <f t="shared" si="5"/>
        <v>5.2379232240499247</v>
      </c>
      <c r="Y21" s="1640">
        <f t="shared" si="5"/>
        <v>5.9892904912981058</v>
      </c>
      <c r="Z21" s="1640">
        <f t="shared" si="5"/>
        <v>6.9132564840981452</v>
      </c>
      <c r="AA21" s="1640">
        <f t="shared" si="5"/>
        <v>7.7211619894396923</v>
      </c>
      <c r="AB21" s="1640">
        <f t="shared" si="5"/>
        <v>8.333416519250358</v>
      </c>
      <c r="AC21" s="1640"/>
      <c r="AD21" s="1641"/>
      <c r="AE21" s="1641"/>
      <c r="AF21" s="1641"/>
      <c r="AG21" s="1641"/>
      <c r="AH21" s="1641"/>
      <c r="AI21" s="1641"/>
      <c r="AJ21" s="1641"/>
      <c r="AK21" s="1641"/>
      <c r="AL21" s="1641"/>
      <c r="AM21" s="1641"/>
      <c r="AN21" s="1641"/>
      <c r="AO21" s="1641"/>
      <c r="AP21" s="1641"/>
      <c r="AQ21" s="1641"/>
      <c r="AR21" s="1641"/>
      <c r="AS21" s="1641"/>
      <c r="AT21" s="1641"/>
      <c r="AU21" s="1641"/>
      <c r="AV21" s="1641"/>
      <c r="AW21" s="1641"/>
      <c r="AX21" s="1641"/>
      <c r="AY21" s="1641"/>
      <c r="AZ21" s="1641"/>
      <c r="BA21" s="1641"/>
      <c r="BB21" s="1641"/>
      <c r="BC21" s="1641"/>
      <c r="BD21" s="1641"/>
      <c r="BE21" s="1641"/>
      <c r="BF21" s="1641"/>
      <c r="BG21" s="1636"/>
    </row>
    <row r="22" spans="1:59" x14ac:dyDescent="0.25">
      <c r="B22" s="1597"/>
      <c r="C22" s="1001"/>
      <c r="D22" s="1613"/>
      <c r="E22" s="1001"/>
      <c r="G22" s="1001"/>
      <c r="H22" s="1001"/>
      <c r="I22" s="1001"/>
      <c r="J22" s="1001"/>
      <c r="K22" s="1001"/>
      <c r="L22" s="1001"/>
      <c r="M22" s="1001"/>
      <c r="N22" s="1001"/>
      <c r="O22" s="1001"/>
      <c r="P22" s="1001"/>
      <c r="Q22" s="1001"/>
      <c r="R22" s="1001"/>
      <c r="S22" s="1001"/>
      <c r="T22" s="1001"/>
      <c r="U22" s="1001"/>
      <c r="V22" s="1001"/>
      <c r="W22" s="1001"/>
      <c r="X22" s="1001"/>
      <c r="Y22" s="1001"/>
      <c r="Z22" s="1001"/>
      <c r="AA22" s="1001"/>
      <c r="AB22" s="1001"/>
      <c r="AC22" s="1001"/>
      <c r="AD22" s="1001"/>
      <c r="AE22" s="1001"/>
      <c r="AF22" s="1001"/>
      <c r="AG22" s="1001"/>
      <c r="AH22" s="1001"/>
      <c r="AI22" s="1001"/>
      <c r="AJ22" s="1001"/>
      <c r="AK22" s="1001"/>
      <c r="AL22" s="1001"/>
      <c r="AM22" s="1001"/>
      <c r="AN22" s="1001"/>
      <c r="AO22" s="1001"/>
      <c r="AP22" s="1001"/>
      <c r="AQ22" s="1001"/>
      <c r="AR22" s="1001"/>
      <c r="AS22" s="1001"/>
      <c r="AT22" s="1001"/>
      <c r="AU22" s="1001"/>
      <c r="AV22" s="1001"/>
      <c r="AW22" s="1001"/>
      <c r="AX22" s="1001"/>
      <c r="AY22" s="1001"/>
      <c r="AZ22" s="1001"/>
      <c r="BA22" s="1001"/>
      <c r="BB22" s="1001"/>
      <c r="BC22" s="1001"/>
      <c r="BD22" s="1001"/>
      <c r="BE22" s="1001"/>
      <c r="BF22" s="1001"/>
      <c r="BG22" s="1001"/>
    </row>
    <row r="23" spans="1:59" x14ac:dyDescent="0.25">
      <c r="A23" s="1592">
        <v>2</v>
      </c>
      <c r="B23" s="1597" t="s">
        <v>1620</v>
      </c>
      <c r="C23" s="1001"/>
      <c r="D23" s="1613"/>
      <c r="E23" s="1001"/>
      <c r="G23" s="1001"/>
      <c r="H23" s="1001"/>
      <c r="I23" s="1001"/>
      <c r="J23" s="1001"/>
      <c r="K23" s="1001"/>
      <c r="L23" s="1001"/>
      <c r="M23" s="1001"/>
      <c r="N23" s="1001"/>
      <c r="O23" s="1001"/>
      <c r="P23" s="1001"/>
      <c r="Q23" s="1001"/>
      <c r="R23" s="1001"/>
      <c r="S23" s="1001"/>
      <c r="T23" s="1001"/>
      <c r="U23" s="1001"/>
      <c r="V23" s="1001"/>
      <c r="W23" s="1001"/>
      <c r="X23" s="1001"/>
      <c r="Y23" s="1001"/>
      <c r="Z23" s="1001"/>
      <c r="AA23" s="1001"/>
      <c r="AB23" s="1001"/>
      <c r="AC23" s="1001"/>
      <c r="AD23" s="1001"/>
      <c r="AE23" s="1001"/>
      <c r="AF23" s="1001"/>
      <c r="AG23" s="1001"/>
      <c r="AH23" s="1001"/>
      <c r="AI23" s="1001"/>
      <c r="AJ23" s="1001"/>
      <c r="AK23" s="1001"/>
      <c r="AL23" s="1001"/>
      <c r="AM23" s="1001"/>
      <c r="AN23" s="1001"/>
      <c r="AO23" s="1001"/>
      <c r="AP23" s="1001"/>
      <c r="AQ23" s="1001"/>
      <c r="AR23" s="1001"/>
      <c r="AS23" s="1001"/>
      <c r="AT23" s="1001"/>
      <c r="AU23" s="1001"/>
      <c r="AV23" s="1001"/>
      <c r="AW23" s="1001"/>
      <c r="AX23" s="1001"/>
      <c r="AY23" s="1001"/>
      <c r="AZ23" s="1001"/>
      <c r="BA23" s="1001"/>
      <c r="BB23" s="1001"/>
      <c r="BC23" s="1001"/>
      <c r="BD23" s="1001"/>
      <c r="BE23" s="1001"/>
      <c r="BF23" s="1001"/>
      <c r="BG23" s="1001"/>
    </row>
    <row r="24" spans="1:59" x14ac:dyDescent="0.25">
      <c r="B24" s="1615" t="s">
        <v>1612</v>
      </c>
      <c r="C24" s="1001"/>
      <c r="D24" s="1613"/>
      <c r="E24" s="1001"/>
      <c r="G24" s="1001"/>
      <c r="H24" s="1001"/>
      <c r="I24" s="1001"/>
      <c r="J24" s="1001"/>
      <c r="K24" s="1001"/>
      <c r="L24" s="1001"/>
      <c r="M24" s="1001"/>
      <c r="N24" s="1001"/>
      <c r="O24" s="1001"/>
      <c r="P24" s="1001"/>
      <c r="Q24" s="1001"/>
      <c r="R24" s="1633">
        <f>R54</f>
        <v>62.725647917000003</v>
      </c>
      <c r="S24" s="1634">
        <f>+S54+S110+S163+S178+S189+S204+S215+S226+S237+S248+S259</f>
        <v>76</v>
      </c>
      <c r="T24" s="1634">
        <f t="shared" ref="T24:AB24" si="6">+T54+T110+T163+T178+T189+T204+T215+T226+T237+T248+T259</f>
        <v>237.32783785126321</v>
      </c>
      <c r="U24" s="1634">
        <f t="shared" si="6"/>
        <v>327.52710085320365</v>
      </c>
      <c r="V24" s="1634">
        <f t="shared" si="6"/>
        <v>267.1878255508301</v>
      </c>
      <c r="W24" s="1634">
        <f t="shared" si="6"/>
        <v>179.41668485297177</v>
      </c>
      <c r="X24" s="1634">
        <f t="shared" si="6"/>
        <v>120.34191553268084</v>
      </c>
      <c r="Y24" s="1634">
        <f t="shared" si="6"/>
        <v>45.526526141799735</v>
      </c>
      <c r="Z24" s="1634">
        <f t="shared" si="6"/>
        <v>18.436234488137067</v>
      </c>
      <c r="AA24" s="1634">
        <f t="shared" si="6"/>
        <v>9.5654571258558008</v>
      </c>
      <c r="AB24" s="1634">
        <f t="shared" si="6"/>
        <v>3.1884857086186003</v>
      </c>
      <c r="AC24" s="1634"/>
      <c r="AD24" s="1618"/>
      <c r="AE24" s="1618"/>
      <c r="AF24" s="1618"/>
      <c r="AG24" s="1618"/>
      <c r="AH24" s="1618"/>
      <c r="AI24" s="1618"/>
      <c r="AJ24" s="1618"/>
      <c r="AK24" s="1618"/>
      <c r="AL24" s="1618"/>
      <c r="AM24" s="1618"/>
      <c r="AN24" s="1618"/>
      <c r="AO24" s="1618"/>
      <c r="AP24" s="1618"/>
      <c r="AQ24" s="1618"/>
      <c r="AR24" s="1618"/>
      <c r="AS24" s="1618"/>
      <c r="AT24" s="1618"/>
      <c r="AU24" s="1618"/>
      <c r="AV24" s="1618"/>
      <c r="AW24" s="1618"/>
      <c r="AX24" s="1618"/>
      <c r="AY24" s="1618"/>
      <c r="AZ24" s="1618"/>
      <c r="BA24" s="1618"/>
      <c r="BB24" s="1618"/>
      <c r="BC24" s="1618"/>
      <c r="BD24" s="1618"/>
      <c r="BE24" s="1618"/>
      <c r="BF24" s="1618"/>
      <c r="BG24" s="1001"/>
    </row>
    <row r="25" spans="1:59" s="1642" customFormat="1" x14ac:dyDescent="0.25">
      <c r="A25" s="1635"/>
      <c r="B25" s="1620" t="s">
        <v>1613</v>
      </c>
      <c r="C25" s="1636"/>
      <c r="D25" s="1637"/>
      <c r="E25" s="1636"/>
      <c r="F25" s="1638"/>
      <c r="G25" s="1636"/>
      <c r="H25" s="1636"/>
      <c r="I25" s="1636"/>
      <c r="J25" s="1636"/>
      <c r="K25" s="1636"/>
      <c r="L25" s="1636"/>
      <c r="M25" s="1636"/>
      <c r="N25" s="1636"/>
      <c r="O25" s="1636"/>
      <c r="P25" s="1636"/>
      <c r="Q25" s="1636"/>
      <c r="R25" s="1639"/>
      <c r="S25" s="1640">
        <f>+S55+S112+S165+S180+S191+S206+S217+S228+S239+S250+S261</f>
        <v>51.332112115095519</v>
      </c>
      <c r="T25" s="1640">
        <f t="shared" ref="T25:AB25" si="7">+T55+T112+T165+T180+T191+T206+T217+T228+T239+T250+T261</f>
        <v>82.783528807770182</v>
      </c>
      <c r="U25" s="1640">
        <f t="shared" si="7"/>
        <v>87.771140697858314</v>
      </c>
      <c r="V25" s="1640">
        <f t="shared" si="7"/>
        <v>87.771140697858314</v>
      </c>
      <c r="W25" s="1640">
        <f t="shared" si="7"/>
        <v>94.148112115095515</v>
      </c>
      <c r="X25" s="1640">
        <f t="shared" si="7"/>
        <v>74.815389390881094</v>
      </c>
      <c r="Y25" s="1640">
        <f t="shared" si="7"/>
        <v>27.090291653662664</v>
      </c>
      <c r="Z25" s="1640">
        <f t="shared" si="7"/>
        <v>8.8707773622812667</v>
      </c>
      <c r="AA25" s="1640">
        <f t="shared" si="7"/>
        <v>6.3769714172372005</v>
      </c>
      <c r="AB25" s="1640">
        <f t="shared" si="7"/>
        <v>3.1884857086186003</v>
      </c>
      <c r="AC25" s="1640"/>
      <c r="AD25" s="1641"/>
      <c r="AE25" s="1641"/>
      <c r="AF25" s="1641"/>
      <c r="AG25" s="1641"/>
      <c r="AH25" s="1641"/>
      <c r="AI25" s="1641"/>
      <c r="AJ25" s="1641"/>
      <c r="AK25" s="1641"/>
      <c r="AL25" s="1641"/>
      <c r="AM25" s="1641"/>
      <c r="AN25" s="1641"/>
      <c r="AO25" s="1641"/>
      <c r="AP25" s="1641"/>
      <c r="AQ25" s="1641"/>
      <c r="AR25" s="1641"/>
      <c r="AS25" s="1641"/>
      <c r="AT25" s="1641"/>
      <c r="AU25" s="1641"/>
      <c r="AV25" s="1641"/>
      <c r="AW25" s="1641"/>
      <c r="AX25" s="1641"/>
      <c r="AY25" s="1641"/>
      <c r="AZ25" s="1641"/>
      <c r="BA25" s="1641"/>
      <c r="BB25" s="1641"/>
      <c r="BC25" s="1641"/>
      <c r="BD25" s="1641"/>
      <c r="BE25" s="1641"/>
      <c r="BF25" s="1641"/>
      <c r="BG25" s="1636"/>
    </row>
    <row r="26" spans="1:59" s="1642" customFormat="1" x14ac:dyDescent="0.25">
      <c r="A26" s="1635"/>
      <c r="B26" s="1620" t="s">
        <v>1614</v>
      </c>
      <c r="C26" s="2206"/>
      <c r="D26" s="1637"/>
      <c r="E26" s="1636"/>
      <c r="F26" s="1638"/>
      <c r="G26" s="1636"/>
      <c r="H26" s="1636"/>
      <c r="I26" s="1636"/>
      <c r="J26" s="1636"/>
      <c r="K26" s="1636"/>
      <c r="L26" s="1636"/>
      <c r="M26" s="1636"/>
      <c r="N26" s="1636"/>
      <c r="O26" s="1636"/>
      <c r="P26" s="1636"/>
      <c r="Q26" s="1636"/>
      <c r="R26" s="1639"/>
      <c r="S26" s="1640">
        <f>+S56+S111+S164+S179+S190+S205+S216+S227+S238+S249+S260</f>
        <v>193.32722724214429</v>
      </c>
      <c r="T26" s="1640">
        <f t="shared" ref="T26:AB26" si="8">+T56+T111+T164+T179+T190+T205+T216+T227+T238+T249+T260</f>
        <v>157.25708346337331</v>
      </c>
      <c r="U26" s="1640">
        <f t="shared" si="8"/>
        <v>24.938059450440679</v>
      </c>
      <c r="V26" s="1640">
        <f t="shared" si="8"/>
        <v>0</v>
      </c>
      <c r="W26" s="1640">
        <f t="shared" si="8"/>
        <v>31.884857086186003</v>
      </c>
      <c r="X26" s="1640">
        <f t="shared" si="8"/>
        <v>0</v>
      </c>
      <c r="Y26" s="1640">
        <f t="shared" si="8"/>
        <v>0</v>
      </c>
      <c r="Z26" s="1640">
        <f t="shared" si="8"/>
        <v>0</v>
      </c>
      <c r="AA26" s="1640">
        <f t="shared" si="8"/>
        <v>0</v>
      </c>
      <c r="AB26" s="1640">
        <f t="shared" si="8"/>
        <v>0</v>
      </c>
      <c r="AC26" s="1640"/>
      <c r="AD26" s="1641"/>
      <c r="AE26" s="1641"/>
      <c r="AF26" s="1641"/>
      <c r="AG26" s="1641"/>
      <c r="AH26" s="1641"/>
      <c r="AI26" s="1641"/>
      <c r="AJ26" s="1641"/>
      <c r="AK26" s="1641"/>
      <c r="AL26" s="1641"/>
      <c r="AM26" s="1641"/>
      <c r="AN26" s="1641"/>
      <c r="AO26" s="1641"/>
      <c r="AP26" s="1641"/>
      <c r="AQ26" s="1641"/>
      <c r="AR26" s="1641"/>
      <c r="AS26" s="1641"/>
      <c r="AT26" s="1641"/>
      <c r="AU26" s="1641"/>
      <c r="AV26" s="1641"/>
      <c r="AW26" s="1641"/>
      <c r="AX26" s="1641"/>
      <c r="AY26" s="1641"/>
      <c r="AZ26" s="1641"/>
      <c r="BA26" s="1641"/>
      <c r="BB26" s="1641"/>
      <c r="BC26" s="1641"/>
      <c r="BD26" s="1641"/>
      <c r="BE26" s="1641"/>
      <c r="BF26" s="1641"/>
      <c r="BG26" s="1636"/>
    </row>
    <row r="27" spans="1:59" x14ac:dyDescent="0.25">
      <c r="B27" s="1615" t="s">
        <v>1615</v>
      </c>
      <c r="C27" s="1001"/>
      <c r="D27" s="1613"/>
      <c r="E27" s="1001"/>
      <c r="G27" s="1001"/>
      <c r="H27" s="1001"/>
      <c r="I27" s="1001"/>
      <c r="J27" s="1001"/>
      <c r="K27" s="1001"/>
      <c r="L27" s="1001"/>
      <c r="M27" s="1001"/>
      <c r="N27" s="1001"/>
      <c r="O27" s="1001"/>
      <c r="P27" s="1001"/>
      <c r="Q27" s="1001"/>
      <c r="R27" s="1633">
        <f>R57</f>
        <v>76</v>
      </c>
      <c r="S27" s="1634">
        <f>+S57+S113+S166+S181+S192+S207+S218+S229+S240+S251+S262</f>
        <v>237.32783785126321</v>
      </c>
      <c r="T27" s="1634">
        <f t="shared" ref="T27:AB27" si="9">+T57+T113+T166+T181+T192+T207+T218+T229+T240+T251+T262</f>
        <v>327.52710085320365</v>
      </c>
      <c r="U27" s="1634">
        <f t="shared" si="9"/>
        <v>267.1878255508301</v>
      </c>
      <c r="V27" s="1634">
        <f t="shared" si="9"/>
        <v>179.41668485297177</v>
      </c>
      <c r="W27" s="1634">
        <f t="shared" si="9"/>
        <v>120.34191553268084</v>
      </c>
      <c r="X27" s="1634">
        <f t="shared" si="9"/>
        <v>45.526526141799735</v>
      </c>
      <c r="Y27" s="1634">
        <f t="shared" si="9"/>
        <v>18.436234488137067</v>
      </c>
      <c r="Z27" s="1634">
        <f t="shared" si="9"/>
        <v>9.5654571258558008</v>
      </c>
      <c r="AA27" s="1634">
        <f t="shared" si="9"/>
        <v>3.1884857086186003</v>
      </c>
      <c r="AB27" s="1634">
        <f t="shared" si="9"/>
        <v>0</v>
      </c>
      <c r="AC27" s="1634"/>
      <c r="AD27" s="1618"/>
      <c r="AE27" s="1618"/>
      <c r="AF27" s="1618"/>
      <c r="AG27" s="1618"/>
      <c r="AH27" s="1618"/>
      <c r="AI27" s="1618"/>
      <c r="AJ27" s="1618"/>
      <c r="AK27" s="1618"/>
      <c r="AL27" s="1618"/>
      <c r="AM27" s="1618"/>
      <c r="AN27" s="1618"/>
      <c r="AO27" s="1618"/>
      <c r="AP27" s="1618"/>
      <c r="AQ27" s="1618"/>
      <c r="AR27" s="1618"/>
      <c r="AS27" s="1618"/>
      <c r="AT27" s="1618"/>
      <c r="AU27" s="1618"/>
      <c r="AV27" s="1618"/>
      <c r="AW27" s="1618"/>
      <c r="AX27" s="1618"/>
      <c r="AY27" s="1618"/>
      <c r="AZ27" s="1618"/>
      <c r="BA27" s="1618"/>
      <c r="BB27" s="1618"/>
      <c r="BC27" s="1618"/>
      <c r="BD27" s="1618"/>
      <c r="BE27" s="1618"/>
      <c r="BF27" s="1618"/>
      <c r="BG27" s="1001"/>
    </row>
    <row r="28" spans="1:59" s="1642" customFormat="1" x14ac:dyDescent="0.25">
      <c r="A28" s="1635"/>
      <c r="B28" s="1620" t="s">
        <v>1616</v>
      </c>
      <c r="C28" s="1636"/>
      <c r="D28" s="1637"/>
      <c r="E28" s="1636"/>
      <c r="F28" s="1638"/>
      <c r="G28" s="1636"/>
      <c r="H28" s="1636"/>
      <c r="I28" s="1636"/>
      <c r="J28" s="1636"/>
      <c r="K28" s="1636"/>
      <c r="L28" s="1636"/>
      <c r="M28" s="1636"/>
      <c r="N28" s="1636"/>
      <c r="O28" s="1636"/>
      <c r="P28" s="1636"/>
      <c r="Q28" s="1636"/>
      <c r="R28" s="1639">
        <f>+R59+R115+R168+R183+R194+R209+R220+R231+R242+R253+R264</f>
        <v>4.8553976770950005</v>
      </c>
      <c r="S28" s="1640">
        <f>+S59+S115+S168+S183+S194+S209+S220+S231+S242+S253+S264</f>
        <v>10.966474324794213</v>
      </c>
      <c r="T28" s="1640">
        <f t="shared" ref="T28:AB28" si="10">+T59+T115+T168+T183+T194+T209+T220+T231+T242+T253+T264</f>
        <v>19.76992285465634</v>
      </c>
      <c r="U28" s="1640">
        <f t="shared" si="10"/>
        <v>20.81502242414118</v>
      </c>
      <c r="V28" s="1640">
        <f t="shared" si="10"/>
        <v>15.631157864133066</v>
      </c>
      <c r="W28" s="1640">
        <f t="shared" si="10"/>
        <v>10.491551013497844</v>
      </c>
      <c r="X28" s="1640">
        <f t="shared" si="10"/>
        <v>5.8053954586068208</v>
      </c>
      <c r="Y28" s="1640">
        <f t="shared" si="10"/>
        <v>2.2386966220477884</v>
      </c>
      <c r="Z28" s="1640">
        <f t="shared" si="10"/>
        <v>0.98005920648975053</v>
      </c>
      <c r="AA28" s="1640">
        <f t="shared" si="10"/>
        <v>0.4463879992066041</v>
      </c>
      <c r="AB28" s="1640">
        <f t="shared" si="10"/>
        <v>0.11159699980165103</v>
      </c>
      <c r="AC28" s="1640"/>
      <c r="AD28" s="1641"/>
      <c r="AE28" s="1641"/>
      <c r="AF28" s="1641"/>
      <c r="AG28" s="1641"/>
      <c r="AH28" s="1641"/>
      <c r="AI28" s="1641"/>
      <c r="AJ28" s="1641"/>
      <c r="AK28" s="1641"/>
      <c r="AL28" s="1641"/>
      <c r="AM28" s="1641"/>
      <c r="AN28" s="1641"/>
      <c r="AO28" s="1641"/>
      <c r="AP28" s="1641"/>
      <c r="AQ28" s="1641"/>
      <c r="AR28" s="1641"/>
      <c r="AS28" s="1641"/>
      <c r="AT28" s="1641"/>
      <c r="AU28" s="1641"/>
      <c r="AV28" s="1641"/>
      <c r="AW28" s="1641"/>
      <c r="AX28" s="1641"/>
      <c r="AY28" s="1641"/>
      <c r="AZ28" s="1641"/>
      <c r="BA28" s="1641"/>
      <c r="BB28" s="1641"/>
      <c r="BC28" s="1641"/>
      <c r="BD28" s="1641"/>
      <c r="BE28" s="1641"/>
      <c r="BF28" s="1641"/>
      <c r="BG28" s="1636"/>
    </row>
    <row r="29" spans="1:59" x14ac:dyDescent="0.25">
      <c r="B29" s="1597"/>
      <c r="C29" s="1001"/>
      <c r="D29" s="1613"/>
      <c r="E29" s="1001"/>
      <c r="G29" s="1001"/>
      <c r="H29" s="1001"/>
      <c r="I29" s="1001"/>
      <c r="J29" s="1001"/>
      <c r="K29" s="1001"/>
      <c r="L29" s="1001"/>
      <c r="M29" s="1001"/>
      <c r="N29" s="1001"/>
      <c r="O29" s="1001"/>
      <c r="P29" s="1001"/>
      <c r="Q29" s="1001"/>
      <c r="R29" s="1001"/>
      <c r="S29" s="1633"/>
      <c r="T29" s="1633"/>
      <c r="U29" s="1633"/>
      <c r="V29" s="1633"/>
      <c r="W29" s="1633"/>
      <c r="X29" s="1633"/>
      <c r="Y29" s="1633"/>
      <c r="Z29" s="1633"/>
      <c r="AA29" s="1633"/>
      <c r="AB29" s="1001"/>
      <c r="AC29" s="1001"/>
      <c r="AD29" s="1001"/>
      <c r="AE29" s="1001"/>
      <c r="AF29" s="1001"/>
      <c r="AG29" s="1001"/>
      <c r="AH29" s="1001"/>
      <c r="AI29" s="1001"/>
      <c r="AJ29" s="1001"/>
      <c r="AK29" s="1001"/>
      <c r="AL29" s="1001"/>
      <c r="AM29" s="1001"/>
      <c r="AN29" s="1001"/>
      <c r="AO29" s="1001"/>
      <c r="AP29" s="1001"/>
      <c r="AQ29" s="1001"/>
      <c r="AR29" s="1001"/>
      <c r="AS29" s="1001"/>
      <c r="AT29" s="1001"/>
      <c r="AU29" s="1001"/>
      <c r="AV29" s="1001"/>
      <c r="AW29" s="1001"/>
      <c r="AX29" s="1001"/>
      <c r="AY29" s="1001"/>
      <c r="AZ29" s="1001"/>
      <c r="BA29" s="1001"/>
      <c r="BB29" s="1001"/>
      <c r="BC29" s="1001"/>
      <c r="BD29" s="1001"/>
      <c r="BE29" s="1001"/>
      <c r="BF29" s="1001"/>
      <c r="BG29" s="1001"/>
    </row>
    <row r="30" spans="1:59" x14ac:dyDescent="0.25">
      <c r="A30" s="1592">
        <v>3</v>
      </c>
      <c r="B30" s="1597" t="s">
        <v>1621</v>
      </c>
      <c r="C30" s="1001"/>
      <c r="D30" s="1613"/>
      <c r="E30" s="1001"/>
      <c r="G30" s="1001"/>
      <c r="H30" s="1001"/>
      <c r="I30" s="1001"/>
      <c r="J30" s="1001"/>
      <c r="K30" s="1001"/>
      <c r="L30" s="1001"/>
      <c r="M30" s="1001"/>
      <c r="N30" s="1001"/>
      <c r="O30" s="1001"/>
      <c r="P30" s="1001"/>
      <c r="Q30" s="1001"/>
      <c r="R30" s="1001"/>
      <c r="S30" s="1643"/>
      <c r="T30" s="1643"/>
      <c r="U30" s="1643"/>
      <c r="V30" s="1643"/>
      <c r="W30" s="1643"/>
      <c r="X30" s="1643"/>
      <c r="Y30" s="1643"/>
      <c r="Z30" s="1643"/>
      <c r="AA30" s="1643"/>
      <c r="AB30" s="1643"/>
      <c r="AC30" s="1643"/>
      <c r="AD30" s="1001"/>
      <c r="AE30" s="1001"/>
      <c r="AF30" s="1001"/>
      <c r="AG30" s="1001"/>
      <c r="AH30" s="1001"/>
      <c r="AI30" s="1001"/>
      <c r="AJ30" s="1001"/>
      <c r="AK30" s="1001"/>
      <c r="AL30" s="1001"/>
      <c r="AM30" s="1001"/>
      <c r="AN30" s="1001"/>
      <c r="AO30" s="1001"/>
      <c r="AP30" s="1001"/>
      <c r="AQ30" s="1001"/>
      <c r="AR30" s="1001"/>
      <c r="AS30" s="1001"/>
      <c r="AT30" s="1001"/>
      <c r="AU30" s="1001"/>
      <c r="AV30" s="1001"/>
      <c r="AW30" s="1001"/>
      <c r="AX30" s="1001"/>
      <c r="AY30" s="1001"/>
      <c r="AZ30" s="1001"/>
      <c r="BA30" s="1001"/>
      <c r="BB30" s="1001"/>
      <c r="BC30" s="1001"/>
      <c r="BD30" s="1001"/>
      <c r="BE30" s="1001"/>
      <c r="BF30" s="1001"/>
      <c r="BG30" s="1001"/>
    </row>
    <row r="31" spans="1:59" x14ac:dyDescent="0.25">
      <c r="B31" s="1615" t="s">
        <v>1612</v>
      </c>
      <c r="C31" s="1001"/>
      <c r="D31" s="1613"/>
      <c r="E31" s="1001"/>
      <c r="G31" s="1001"/>
      <c r="H31" s="1001"/>
      <c r="I31" s="1001"/>
      <c r="J31" s="1001"/>
      <c r="K31" s="1001"/>
      <c r="L31" s="1001"/>
      <c r="M31" s="1001"/>
      <c r="N31" s="1001"/>
      <c r="O31" s="1001"/>
      <c r="P31" s="1001"/>
      <c r="Q31" s="1001"/>
      <c r="R31" s="1001"/>
      <c r="S31" s="1618"/>
      <c r="T31" s="1618"/>
      <c r="U31" s="1618"/>
      <c r="V31" s="1618"/>
      <c r="W31" s="1618"/>
      <c r="X31" s="1618"/>
      <c r="Y31" s="1618"/>
      <c r="Z31" s="1618"/>
      <c r="AA31" s="1618"/>
      <c r="AB31" s="1618"/>
      <c r="AC31" s="1618"/>
      <c r="AD31" s="1618"/>
      <c r="AE31" s="1618"/>
      <c r="AF31" s="1618"/>
      <c r="AG31" s="1618"/>
      <c r="AH31" s="1618"/>
      <c r="AI31" s="1618"/>
      <c r="AJ31" s="1618"/>
      <c r="AK31" s="1618"/>
      <c r="AL31" s="1618"/>
      <c r="AM31" s="1618"/>
      <c r="AN31" s="1618"/>
      <c r="AO31" s="1618"/>
      <c r="AP31" s="1618"/>
      <c r="AQ31" s="1618"/>
      <c r="AR31" s="1618"/>
      <c r="AS31" s="1618"/>
      <c r="AT31" s="1618"/>
      <c r="AU31" s="1618"/>
      <c r="AV31" s="1618"/>
      <c r="AW31" s="1618"/>
      <c r="AX31" s="1618"/>
      <c r="AY31" s="1618"/>
      <c r="AZ31" s="1618"/>
      <c r="BA31" s="1618"/>
      <c r="BB31" s="1618"/>
      <c r="BC31" s="1618"/>
      <c r="BD31" s="1618"/>
      <c r="BE31" s="1618"/>
      <c r="BF31" s="1618"/>
      <c r="BG31" s="1001"/>
    </row>
    <row r="32" spans="1:59" x14ac:dyDescent="0.25">
      <c r="B32" s="1620" t="s">
        <v>1613</v>
      </c>
      <c r="C32" s="1001"/>
      <c r="D32" s="1613"/>
      <c r="E32" s="1001"/>
      <c r="G32" s="1001"/>
      <c r="H32" s="1001"/>
      <c r="I32" s="1001"/>
      <c r="J32" s="1001"/>
      <c r="K32" s="1001"/>
      <c r="L32" s="1001"/>
      <c r="M32" s="1001"/>
      <c r="N32" s="1001"/>
      <c r="O32" s="1001"/>
      <c r="P32" s="1001"/>
      <c r="Q32" s="1001"/>
      <c r="R32" s="1001"/>
      <c r="S32" s="1618"/>
      <c r="T32" s="1618"/>
      <c r="U32" s="1618"/>
      <c r="V32" s="1618"/>
      <c r="W32" s="1618"/>
      <c r="X32" s="1618"/>
      <c r="Y32" s="1618"/>
      <c r="Z32" s="1618"/>
      <c r="AA32" s="1618"/>
      <c r="AB32" s="1618"/>
      <c r="AC32" s="1618"/>
      <c r="AD32" s="1618"/>
      <c r="AE32" s="1618"/>
      <c r="AF32" s="1618"/>
      <c r="AG32" s="1618"/>
      <c r="AH32" s="1618"/>
      <c r="AI32" s="1618"/>
      <c r="AJ32" s="1618"/>
      <c r="AK32" s="1618"/>
      <c r="AL32" s="1618"/>
      <c r="AM32" s="1618"/>
      <c r="AN32" s="1618"/>
      <c r="AO32" s="1618"/>
      <c r="AP32" s="1618"/>
      <c r="AQ32" s="1618"/>
      <c r="AR32" s="1618"/>
      <c r="AS32" s="1618"/>
      <c r="AT32" s="1618"/>
      <c r="AU32" s="1618"/>
      <c r="AV32" s="1618"/>
      <c r="AW32" s="1618"/>
      <c r="AX32" s="1618"/>
      <c r="AY32" s="1618"/>
      <c r="AZ32" s="1618"/>
      <c r="BA32" s="1618"/>
      <c r="BB32" s="1618"/>
      <c r="BC32" s="1618"/>
      <c r="BD32" s="1618"/>
      <c r="BE32" s="1618"/>
      <c r="BF32" s="1618"/>
      <c r="BG32" s="1001"/>
    </row>
    <row r="33" spans="1:60" x14ac:dyDescent="0.25">
      <c r="B33" s="1620" t="s">
        <v>1614</v>
      </c>
      <c r="C33" s="1001"/>
      <c r="D33" s="1613"/>
      <c r="E33" s="1001"/>
      <c r="G33" s="1001"/>
      <c r="H33" s="1001"/>
      <c r="I33" s="1001"/>
      <c r="J33" s="1001"/>
      <c r="K33" s="1001"/>
      <c r="L33" s="1001"/>
      <c r="M33" s="1001"/>
      <c r="N33" s="1001"/>
      <c r="O33" s="1001"/>
      <c r="P33" s="1001"/>
      <c r="Q33" s="1001"/>
      <c r="R33" s="1001"/>
      <c r="S33" s="1618"/>
      <c r="T33" s="1618"/>
      <c r="U33" s="1618"/>
      <c r="V33" s="1618"/>
      <c r="W33" s="1618"/>
      <c r="X33" s="1618"/>
      <c r="Y33" s="1618"/>
      <c r="Z33" s="1618"/>
      <c r="AA33" s="1618"/>
      <c r="AB33" s="1618"/>
      <c r="AC33" s="1618"/>
      <c r="AD33" s="1618"/>
      <c r="AE33" s="1618"/>
      <c r="AF33" s="1618"/>
      <c r="AG33" s="1618"/>
      <c r="AH33" s="1618"/>
      <c r="AI33" s="1618"/>
      <c r="AJ33" s="1618"/>
      <c r="AK33" s="1618"/>
      <c r="AL33" s="1618"/>
      <c r="AM33" s="1618"/>
      <c r="AN33" s="1618"/>
      <c r="AO33" s="1618"/>
      <c r="AP33" s="1618"/>
      <c r="AQ33" s="1618"/>
      <c r="AR33" s="1618"/>
      <c r="AS33" s="1618"/>
      <c r="AT33" s="1618"/>
      <c r="AU33" s="1618"/>
      <c r="AV33" s="1618"/>
      <c r="AW33" s="1618"/>
      <c r="AX33" s="1618"/>
      <c r="AY33" s="1618"/>
      <c r="AZ33" s="1618"/>
      <c r="BA33" s="1618"/>
      <c r="BB33" s="1618"/>
      <c r="BC33" s="1618"/>
      <c r="BD33" s="1618"/>
      <c r="BE33" s="1618"/>
      <c r="BF33" s="1618"/>
      <c r="BG33" s="1001"/>
    </row>
    <row r="34" spans="1:60" x14ac:dyDescent="0.25">
      <c r="B34" s="1615" t="s">
        <v>1615</v>
      </c>
      <c r="C34" s="1001"/>
      <c r="D34" s="1613"/>
      <c r="E34" s="1001"/>
      <c r="G34" s="1001"/>
      <c r="H34" s="1001"/>
      <c r="I34" s="1001"/>
      <c r="J34" s="1001"/>
      <c r="K34" s="1001"/>
      <c r="L34" s="1001"/>
      <c r="M34" s="1001"/>
      <c r="N34" s="1001"/>
      <c r="O34" s="1001"/>
      <c r="P34" s="1001"/>
      <c r="Q34" s="1001"/>
      <c r="R34" s="1001"/>
      <c r="S34" s="1618"/>
      <c r="T34" s="1618"/>
      <c r="U34" s="1618"/>
      <c r="V34" s="1618"/>
      <c r="W34" s="1618"/>
      <c r="X34" s="1618"/>
      <c r="Y34" s="1618"/>
      <c r="Z34" s="1618"/>
      <c r="AA34" s="1618"/>
      <c r="AB34" s="1618"/>
      <c r="AC34" s="1618"/>
      <c r="AD34" s="1618"/>
      <c r="AE34" s="1618"/>
      <c r="AF34" s="1618"/>
      <c r="AG34" s="1618"/>
      <c r="AH34" s="1618"/>
      <c r="AI34" s="1618"/>
      <c r="AJ34" s="1618"/>
      <c r="AK34" s="1618"/>
      <c r="AL34" s="1618"/>
      <c r="AM34" s="1618"/>
      <c r="AN34" s="1618"/>
      <c r="AO34" s="1618"/>
      <c r="AP34" s="1618"/>
      <c r="AQ34" s="1618"/>
      <c r="AR34" s="1618"/>
      <c r="AS34" s="1618"/>
      <c r="AT34" s="1618"/>
      <c r="AU34" s="1618"/>
      <c r="AV34" s="1618"/>
      <c r="AW34" s="1618"/>
      <c r="AX34" s="1618"/>
      <c r="AY34" s="1618"/>
      <c r="AZ34" s="1618"/>
      <c r="BA34" s="1618"/>
      <c r="BB34" s="1618"/>
      <c r="BC34" s="1618"/>
      <c r="BD34" s="1618"/>
      <c r="BE34" s="1618"/>
      <c r="BF34" s="1618"/>
      <c r="BG34" s="1001"/>
    </row>
    <row r="35" spans="1:60" x14ac:dyDescent="0.25">
      <c r="B35" s="1620" t="s">
        <v>1616</v>
      </c>
      <c r="C35" s="1001"/>
      <c r="D35" s="1613"/>
      <c r="E35" s="1001"/>
      <c r="G35" s="1001"/>
      <c r="H35" s="1001"/>
      <c r="I35" s="1001"/>
      <c r="J35" s="1001"/>
      <c r="K35" s="1001"/>
      <c r="L35" s="1001"/>
      <c r="M35" s="1001"/>
      <c r="N35" s="1001"/>
      <c r="O35" s="1001"/>
      <c r="P35" s="1001"/>
      <c r="Q35" s="1001"/>
      <c r="R35" s="1001"/>
      <c r="S35" s="1618"/>
      <c r="T35" s="1618"/>
      <c r="U35" s="1618"/>
      <c r="V35" s="1618"/>
      <c r="W35" s="1618"/>
      <c r="X35" s="1618"/>
      <c r="Y35" s="1618"/>
      <c r="Z35" s="1618"/>
      <c r="AA35" s="1618"/>
      <c r="AB35" s="1618"/>
      <c r="AC35" s="1618"/>
      <c r="AD35" s="1618"/>
      <c r="AE35" s="1618"/>
      <c r="AF35" s="1618"/>
      <c r="AG35" s="1618"/>
      <c r="AH35" s="1618"/>
      <c r="AI35" s="1618"/>
      <c r="AJ35" s="1618"/>
      <c r="AK35" s="1618"/>
      <c r="AL35" s="1618"/>
      <c r="AM35" s="1618"/>
      <c r="AN35" s="1618"/>
      <c r="AO35" s="1618"/>
      <c r="AP35" s="1618"/>
      <c r="AQ35" s="1618"/>
      <c r="AR35" s="1618"/>
      <c r="AS35" s="1618"/>
      <c r="AT35" s="1618"/>
      <c r="AU35" s="1618"/>
      <c r="AV35" s="1618"/>
      <c r="AW35" s="1618"/>
      <c r="AX35" s="1618"/>
      <c r="AY35" s="1618"/>
      <c r="AZ35" s="1618"/>
      <c r="BA35" s="1618"/>
      <c r="BB35" s="1618"/>
      <c r="BC35" s="1618"/>
      <c r="BD35" s="1618"/>
      <c r="BE35" s="1618"/>
      <c r="BF35" s="1618"/>
      <c r="BG35" s="1001"/>
    </row>
    <row r="36" spans="1:60" x14ac:dyDescent="0.25">
      <c r="B36" s="1597"/>
      <c r="C36" s="1001"/>
      <c r="D36" s="1613"/>
      <c r="E36" s="1001"/>
      <c r="G36" s="1001"/>
      <c r="H36" s="1001"/>
      <c r="I36" s="1001"/>
      <c r="J36" s="1001"/>
      <c r="K36" s="1001"/>
      <c r="L36" s="1001"/>
      <c r="M36" s="1001"/>
      <c r="N36" s="1001"/>
      <c r="O36" s="1001"/>
      <c r="P36" s="1001"/>
      <c r="Q36" s="1001"/>
      <c r="R36" s="1001"/>
      <c r="S36" s="1633"/>
      <c r="T36" s="1001"/>
      <c r="U36" s="1001"/>
      <c r="V36" s="1001"/>
      <c r="W36" s="1001"/>
      <c r="X36" s="1001"/>
      <c r="Y36" s="1001"/>
      <c r="Z36" s="1001"/>
      <c r="AA36" s="1001"/>
      <c r="AB36" s="1001"/>
      <c r="AC36" s="1001"/>
      <c r="AD36" s="1001"/>
      <c r="AE36" s="1001"/>
      <c r="AF36" s="1001"/>
      <c r="AG36" s="1001"/>
      <c r="AH36" s="1001"/>
      <c r="AI36" s="1001"/>
      <c r="AJ36" s="1001"/>
      <c r="AK36" s="1001"/>
      <c r="AL36" s="1001"/>
      <c r="AM36" s="1001"/>
      <c r="AN36" s="1001"/>
      <c r="AO36" s="1001"/>
      <c r="AP36" s="1001"/>
      <c r="AQ36" s="1001"/>
      <c r="AR36" s="1001"/>
      <c r="AS36" s="1001"/>
      <c r="AT36" s="1001"/>
      <c r="AU36" s="1001"/>
      <c r="AV36" s="1001"/>
      <c r="AW36" s="1001"/>
      <c r="AX36" s="1001"/>
      <c r="AY36" s="1001"/>
      <c r="AZ36" s="1001"/>
      <c r="BA36" s="1001"/>
      <c r="BB36" s="1001"/>
      <c r="BC36" s="1001"/>
      <c r="BD36" s="1001"/>
      <c r="BE36" s="1001"/>
      <c r="BF36" s="1001"/>
      <c r="BG36" s="1001"/>
    </row>
    <row r="37" spans="1:60" x14ac:dyDescent="0.25">
      <c r="B37" s="1597"/>
      <c r="C37" s="1001"/>
      <c r="D37" s="1613"/>
      <c r="E37" s="1001"/>
      <c r="G37" s="1001"/>
      <c r="H37" s="1001"/>
      <c r="I37" s="1001"/>
      <c r="J37" s="1001"/>
      <c r="K37" s="1001"/>
      <c r="L37" s="1001"/>
      <c r="M37" s="1001"/>
      <c r="N37" s="1001"/>
      <c r="O37" s="1001"/>
      <c r="P37" s="1001"/>
      <c r="Q37" s="1001"/>
      <c r="R37" s="1001"/>
      <c r="S37" s="1001"/>
      <c r="T37" s="1001"/>
      <c r="U37" s="1001"/>
      <c r="V37" s="1001"/>
      <c r="W37" s="1001"/>
      <c r="X37" s="1001"/>
      <c r="Y37" s="1001"/>
      <c r="Z37" s="1001"/>
      <c r="AA37" s="1001"/>
      <c r="AB37" s="1001"/>
      <c r="AC37" s="1001"/>
      <c r="AD37" s="1001"/>
      <c r="AE37" s="1001"/>
      <c r="AF37" s="1001"/>
      <c r="AG37" s="1001"/>
      <c r="AH37" s="1001"/>
      <c r="AI37" s="1001"/>
      <c r="AJ37" s="1001"/>
      <c r="AK37" s="1001"/>
      <c r="AL37" s="1001"/>
      <c r="AM37" s="1001"/>
      <c r="AN37" s="1001"/>
      <c r="AO37" s="1001"/>
      <c r="AP37" s="1001"/>
      <c r="AQ37" s="1001"/>
      <c r="AR37" s="1001"/>
      <c r="AS37" s="1001"/>
      <c r="AT37" s="1001"/>
      <c r="AU37" s="1001"/>
      <c r="AV37" s="1001"/>
      <c r="AW37" s="1001"/>
      <c r="AX37" s="1001"/>
      <c r="AY37" s="1001"/>
      <c r="AZ37" s="1001"/>
      <c r="BA37" s="1001"/>
      <c r="BB37" s="1001"/>
      <c r="BC37" s="1001"/>
      <c r="BD37" s="1001"/>
      <c r="BE37" s="1001"/>
      <c r="BF37" s="1001"/>
      <c r="BG37" s="1001"/>
    </row>
    <row r="38" spans="1:60" x14ac:dyDescent="0.25">
      <c r="B38" s="1612" t="s">
        <v>1622</v>
      </c>
      <c r="C38" s="1001"/>
      <c r="D38" s="1613"/>
      <c r="E38" s="1001"/>
      <c r="G38" s="1001"/>
      <c r="H38" s="1001"/>
      <c r="I38" s="1001"/>
      <c r="J38" s="1001"/>
      <c r="K38" s="1001"/>
      <c r="L38" s="1001"/>
      <c r="M38" s="1001"/>
      <c r="N38" s="1001"/>
      <c r="O38" s="1001"/>
      <c r="P38" s="1001"/>
      <c r="Q38" s="1001"/>
      <c r="R38" s="1001"/>
      <c r="S38" s="1001"/>
      <c r="T38" s="1001"/>
      <c r="U38" s="1001"/>
      <c r="V38" s="1001"/>
      <c r="W38" s="1001"/>
      <c r="X38" s="1001"/>
      <c r="Y38" s="1001"/>
      <c r="Z38" s="1001"/>
      <c r="AA38" s="1001"/>
      <c r="AB38" s="1001"/>
      <c r="AC38" s="1001"/>
      <c r="AD38" s="1001"/>
      <c r="AE38" s="1001"/>
      <c r="AF38" s="1001"/>
      <c r="AG38" s="1001"/>
      <c r="AH38" s="1001"/>
      <c r="AI38" s="1001"/>
      <c r="AJ38" s="1001"/>
      <c r="AK38" s="1001"/>
      <c r="AL38" s="1001"/>
      <c r="AM38" s="1001"/>
      <c r="AN38" s="1001"/>
      <c r="AO38" s="1001"/>
      <c r="AP38" s="1001"/>
      <c r="AQ38" s="1001"/>
      <c r="AR38" s="1001"/>
      <c r="AS38" s="1001"/>
      <c r="AT38" s="1001"/>
      <c r="AU38" s="1001"/>
      <c r="AV38" s="1001"/>
      <c r="AW38" s="1001"/>
      <c r="AX38" s="1001"/>
      <c r="AY38" s="1001"/>
      <c r="AZ38" s="1001"/>
      <c r="BA38" s="1001"/>
      <c r="BB38" s="1001"/>
      <c r="BC38" s="1001"/>
      <c r="BD38" s="1001"/>
      <c r="BE38" s="1001"/>
      <c r="BF38" s="1001"/>
      <c r="BG38" s="1001"/>
    </row>
    <row r="39" spans="1:60" s="1597" customFormat="1" ht="14.4" thickBot="1" x14ac:dyDescent="0.3">
      <c r="A39" s="1592">
        <v>1</v>
      </c>
      <c r="B39" s="1644" t="s">
        <v>1623</v>
      </c>
      <c r="C39" s="1645"/>
      <c r="D39" s="1646"/>
      <c r="E39" s="1645"/>
      <c r="F39" s="1647"/>
      <c r="G39" s="1645"/>
      <c r="H39" s="1645"/>
      <c r="I39" s="1645"/>
      <c r="J39" s="1645"/>
      <c r="K39" s="1645"/>
      <c r="L39" s="1645"/>
      <c r="M39" s="1645"/>
      <c r="N39" s="1645"/>
      <c r="O39" s="1645"/>
      <c r="P39" s="1645"/>
      <c r="Q39" s="1648"/>
      <c r="R39" s="1649"/>
      <c r="S39" s="1645"/>
      <c r="T39" s="1645"/>
      <c r="U39" s="1645"/>
      <c r="V39" s="1645"/>
      <c r="W39" s="1645"/>
      <c r="X39" s="1645"/>
      <c r="Y39" s="1645"/>
      <c r="Z39" s="1645"/>
      <c r="AA39" s="1645"/>
      <c r="AB39" s="1645"/>
      <c r="AC39" s="1645"/>
      <c r="AD39" s="1645"/>
      <c r="AE39" s="1645"/>
      <c r="AF39" s="1645"/>
      <c r="AG39" s="1645"/>
      <c r="AH39" s="1645"/>
      <c r="AI39" s="1645"/>
      <c r="AJ39" s="1645"/>
      <c r="AK39" s="1645"/>
      <c r="AL39" s="1645"/>
      <c r="AM39" s="1645"/>
      <c r="AN39" s="1645"/>
      <c r="AO39" s="1645"/>
      <c r="AP39" s="1645"/>
      <c r="AQ39" s="1645"/>
      <c r="AR39" s="1645"/>
      <c r="AS39" s="1645"/>
      <c r="AT39" s="1645"/>
      <c r="AU39" s="1645"/>
      <c r="AV39" s="1645"/>
      <c r="AW39" s="1645"/>
      <c r="AX39" s="1645"/>
      <c r="AY39" s="1645"/>
      <c r="AZ39" s="1645"/>
      <c r="BA39" s="1645"/>
      <c r="BB39" s="1645"/>
      <c r="BC39" s="1645"/>
      <c r="BD39" s="1645"/>
      <c r="BE39" s="1645"/>
      <c r="BF39" s="1645"/>
    </row>
    <row r="40" spans="1:60" s="1597" customFormat="1" x14ac:dyDescent="0.25">
      <c r="A40" s="1592"/>
      <c r="C40" s="1648"/>
      <c r="D40" s="1650"/>
      <c r="E40" s="1648"/>
      <c r="F40" s="1651"/>
      <c r="G40" s="1648"/>
      <c r="H40" s="1648"/>
      <c r="I40" s="1648"/>
      <c r="J40" s="1648"/>
      <c r="K40" s="1648"/>
      <c r="L40" s="1648"/>
      <c r="M40" s="1648"/>
      <c r="N40" s="1648"/>
      <c r="O40" s="1648"/>
      <c r="P40" s="1648"/>
      <c r="Q40" s="1648"/>
      <c r="R40" s="1652"/>
      <c r="S40" s="1648"/>
      <c r="T40" s="1648"/>
      <c r="U40" s="1648"/>
      <c r="V40" s="1648"/>
      <c r="W40" s="1648"/>
      <c r="X40" s="1648"/>
      <c r="Y40" s="1648"/>
      <c r="Z40" s="1648"/>
      <c r="AA40" s="1648"/>
      <c r="AB40" s="1648"/>
      <c r="AC40" s="1648"/>
      <c r="AD40" s="1648"/>
      <c r="AE40" s="1648"/>
      <c r="AF40" s="1648"/>
      <c r="AG40" s="1648"/>
      <c r="AH40" s="1648"/>
      <c r="AI40" s="1648"/>
      <c r="AJ40" s="1648"/>
      <c r="AK40" s="1648"/>
      <c r="AL40" s="1648"/>
      <c r="AM40" s="1648"/>
      <c r="AN40" s="1648"/>
      <c r="AO40" s="1648"/>
      <c r="AP40" s="1648"/>
      <c r="AQ40" s="1648"/>
      <c r="AR40" s="1648"/>
      <c r="AS40" s="1648"/>
      <c r="AT40" s="1648"/>
      <c r="AU40" s="1648"/>
      <c r="AV40" s="1648"/>
      <c r="AW40" s="1648"/>
      <c r="AX40" s="1648"/>
      <c r="AY40" s="1648"/>
      <c r="AZ40" s="1648"/>
      <c r="BA40" s="1648"/>
      <c r="BB40" s="1648"/>
      <c r="BC40" s="1648"/>
      <c r="BD40" s="1648"/>
      <c r="BE40" s="1648"/>
      <c r="BF40" s="1648"/>
    </row>
    <row r="41" spans="1:60" s="1597" customFormat="1" x14ac:dyDescent="0.25">
      <c r="A41" s="1592">
        <v>1.1000000000000001</v>
      </c>
      <c r="B41" s="1653" t="s">
        <v>1624</v>
      </c>
      <c r="C41" s="1654"/>
      <c r="D41" s="1655"/>
      <c r="E41" s="1654"/>
      <c r="F41" s="1656"/>
      <c r="G41" s="1654"/>
      <c r="H41" s="1654"/>
      <c r="I41" s="1654"/>
      <c r="J41" s="1654"/>
      <c r="K41" s="1654"/>
      <c r="L41" s="1654"/>
      <c r="M41" s="1654"/>
      <c r="N41" s="1654"/>
      <c r="O41" s="1654"/>
      <c r="P41" s="1654"/>
      <c r="Q41" s="1648"/>
      <c r="R41" s="1648"/>
      <c r="S41" s="1648"/>
      <c r="T41" s="1648"/>
      <c r="U41" s="1648"/>
      <c r="V41" s="1648"/>
      <c r="W41" s="1648"/>
      <c r="X41" s="1648"/>
      <c r="Y41" s="1648"/>
      <c r="Z41" s="1648"/>
      <c r="AA41" s="1648"/>
      <c r="AB41" s="1648"/>
      <c r="AC41" s="1648"/>
      <c r="AD41" s="1648"/>
      <c r="AE41" s="1648"/>
      <c r="AF41" s="1648"/>
      <c r="AG41" s="1648"/>
      <c r="AH41" s="1648"/>
      <c r="AI41" s="1648"/>
      <c r="AJ41" s="1648"/>
      <c r="AK41" s="1648"/>
      <c r="AL41" s="1648"/>
      <c r="AM41" s="1648"/>
      <c r="AN41" s="1648"/>
      <c r="AO41" s="1648"/>
      <c r="AP41" s="1648"/>
      <c r="AQ41" s="1648"/>
      <c r="AR41" s="1648"/>
      <c r="AS41" s="1648"/>
      <c r="AT41" s="1648"/>
      <c r="AU41" s="1648"/>
      <c r="AV41" s="1648"/>
      <c r="AW41" s="1648"/>
      <c r="AX41" s="1648"/>
      <c r="AY41" s="1648"/>
      <c r="AZ41" s="1648"/>
      <c r="BA41" s="1648"/>
      <c r="BB41" s="1648"/>
      <c r="BC41" s="1648"/>
      <c r="BD41" s="1648"/>
      <c r="BE41" s="1648"/>
      <c r="BF41" s="1648"/>
      <c r="BG41" s="1648"/>
    </row>
    <row r="42" spans="1:60" x14ac:dyDescent="0.25">
      <c r="B42" s="1657" t="s">
        <v>1625</v>
      </c>
      <c r="C42" s="1658"/>
      <c r="D42" s="1659">
        <v>44531</v>
      </c>
      <c r="E42" s="1660">
        <v>12</v>
      </c>
      <c r="F42" s="1661"/>
      <c r="G42" s="1660" t="s">
        <v>1626</v>
      </c>
      <c r="H42" s="1660">
        <v>0.5</v>
      </c>
      <c r="I42" s="1662"/>
      <c r="J42" s="1662"/>
      <c r="K42" s="1662"/>
      <c r="L42" s="1662"/>
      <c r="M42" s="1662"/>
      <c r="N42" s="1662"/>
      <c r="O42" s="1662"/>
      <c r="P42" s="1662"/>
      <c r="Q42" s="1001"/>
      <c r="R42" s="1001"/>
      <c r="S42" s="1001"/>
      <c r="T42" s="1001"/>
      <c r="U42" s="1001"/>
      <c r="V42" s="1001"/>
      <c r="W42" s="1001"/>
      <c r="X42" s="1001"/>
      <c r="Y42" s="1001"/>
      <c r="Z42" s="1001"/>
      <c r="AA42" s="1001"/>
      <c r="AB42" s="1001"/>
      <c r="AC42" s="1001"/>
      <c r="AD42" s="1001"/>
      <c r="AE42" s="1001"/>
      <c r="AF42" s="1001"/>
      <c r="AG42" s="1001"/>
      <c r="AH42" s="1001"/>
      <c r="AI42" s="1001"/>
      <c r="AJ42" s="1001"/>
      <c r="AK42" s="1001"/>
      <c r="AL42" s="1001"/>
      <c r="AM42" s="1001"/>
      <c r="AN42" s="1001"/>
      <c r="AO42" s="1001"/>
      <c r="AP42" s="1001"/>
      <c r="AQ42" s="1001"/>
      <c r="AR42" s="1001"/>
      <c r="AS42" s="1001"/>
      <c r="AT42" s="1001"/>
      <c r="AU42" s="1001"/>
      <c r="AV42" s="1001"/>
      <c r="AW42" s="1001"/>
      <c r="AX42" s="1001"/>
      <c r="AY42" s="1001"/>
      <c r="AZ42" s="1001"/>
      <c r="BA42" s="1001"/>
      <c r="BB42" s="1001"/>
      <c r="BC42" s="1001"/>
      <c r="BD42" s="1001"/>
      <c r="BE42" s="1001"/>
      <c r="BF42" s="1001"/>
      <c r="BG42" s="1001"/>
    </row>
    <row r="43" spans="1:60" s="821" customFormat="1" x14ac:dyDescent="0.25">
      <c r="A43" s="1663"/>
      <c r="B43" s="1664" t="s">
        <v>1612</v>
      </c>
      <c r="C43" s="1665"/>
      <c r="D43" s="1666"/>
      <c r="E43" s="1665"/>
      <c r="F43" s="1667"/>
      <c r="G43" s="1665"/>
      <c r="H43" s="1665"/>
      <c r="I43" s="1668"/>
      <c r="J43" s="1668"/>
      <c r="K43" s="1668"/>
      <c r="L43" s="1668"/>
      <c r="M43" s="1668"/>
      <c r="N43" s="1668"/>
      <c r="O43" s="1668"/>
      <c r="P43" s="1668"/>
      <c r="Q43" s="1669"/>
      <c r="R43" s="1670">
        <f>'BS Raw'!O92/B1</f>
        <v>20.094668665</v>
      </c>
      <c r="S43" s="1671">
        <f>R46</f>
        <v>21.029471059999999</v>
      </c>
      <c r="T43" s="1671">
        <f t="shared" ref="T43:AB43" si="11">S46</f>
        <v>72.647503604887973</v>
      </c>
      <c r="U43" s="1671">
        <f t="shared" si="11"/>
        <v>76.070303035653609</v>
      </c>
      <c r="V43" s="1671">
        <f t="shared" si="11"/>
        <v>94.961281776965492</v>
      </c>
      <c r="W43" s="1671">
        <f t="shared" si="11"/>
        <v>101.33540287663715</v>
      </c>
      <c r="X43" s="1671">
        <f t="shared" si="11"/>
        <v>107.52301845349675</v>
      </c>
      <c r="Y43" s="1671">
        <f t="shared" si="11"/>
        <v>113.31186682073751</v>
      </c>
      <c r="Z43" s="1671">
        <f t="shared" si="11"/>
        <v>121.16783928875023</v>
      </c>
      <c r="AA43" s="1671">
        <f t="shared" si="11"/>
        <v>139.32054238281134</v>
      </c>
      <c r="AB43" s="1671">
        <f t="shared" si="11"/>
        <v>146.63038762804899</v>
      </c>
      <c r="AC43" s="1671"/>
      <c r="AD43" s="1672"/>
      <c r="AE43" s="1672"/>
      <c r="AF43" s="1672"/>
      <c r="AG43" s="1672"/>
      <c r="AH43" s="1672"/>
      <c r="AI43" s="1672"/>
      <c r="AJ43" s="1672"/>
      <c r="AK43" s="1672"/>
      <c r="AL43" s="1672"/>
      <c r="AM43" s="1672"/>
      <c r="AN43" s="1672"/>
      <c r="AO43" s="1672"/>
      <c r="AP43" s="1672"/>
      <c r="AQ43" s="1672"/>
      <c r="AR43" s="1672"/>
      <c r="AS43" s="1672"/>
      <c r="AT43" s="1672"/>
      <c r="AU43" s="1672"/>
      <c r="AV43" s="1672"/>
      <c r="AW43" s="1672"/>
      <c r="AX43" s="1672"/>
      <c r="AY43" s="1672"/>
      <c r="AZ43" s="1672"/>
      <c r="BA43" s="1672"/>
      <c r="BB43" s="1672"/>
      <c r="BC43" s="1672"/>
      <c r="BD43" s="1672"/>
      <c r="BE43" s="1672"/>
      <c r="BF43" s="1672"/>
      <c r="BG43" s="1669"/>
    </row>
    <row r="44" spans="1:60" s="1642" customFormat="1" x14ac:dyDescent="0.25">
      <c r="A44" s="1635"/>
      <c r="B44" s="1620" t="s">
        <v>1613</v>
      </c>
      <c r="C44" s="1673"/>
      <c r="D44" s="1674"/>
      <c r="E44" s="1673"/>
      <c r="F44" s="1675"/>
      <c r="G44" s="1673"/>
      <c r="H44" s="1673"/>
      <c r="I44" s="1676"/>
      <c r="J44" s="1676"/>
      <c r="K44" s="1676"/>
      <c r="L44" s="1676"/>
      <c r="M44" s="1676"/>
      <c r="N44" s="1676"/>
      <c r="O44" s="1676"/>
      <c r="P44" s="1676"/>
      <c r="Q44" s="1636"/>
      <c r="R44" s="1636"/>
      <c r="S44" s="1641"/>
      <c r="T44" s="1641"/>
      <c r="U44" s="1641"/>
      <c r="V44" s="1641"/>
      <c r="W44" s="1641"/>
      <c r="X44" s="1641"/>
      <c r="Y44" s="1641"/>
      <c r="Z44" s="1641"/>
      <c r="AA44" s="1641"/>
      <c r="AB44" s="1641"/>
      <c r="AC44" s="1641"/>
      <c r="AD44" s="1641"/>
      <c r="AE44" s="1641"/>
      <c r="AF44" s="1641"/>
      <c r="AG44" s="1641"/>
      <c r="AH44" s="1641"/>
      <c r="AI44" s="1641"/>
      <c r="AJ44" s="1641"/>
      <c r="AK44" s="1641"/>
      <c r="AL44" s="1641"/>
      <c r="AM44" s="1641"/>
      <c r="AN44" s="1641"/>
      <c r="AO44" s="1641"/>
      <c r="AP44" s="1641"/>
      <c r="AQ44" s="1641"/>
      <c r="AR44" s="1641"/>
      <c r="AS44" s="1641"/>
      <c r="AT44" s="1641"/>
      <c r="AU44" s="1641"/>
      <c r="AV44" s="1641"/>
      <c r="AW44" s="1641"/>
      <c r="AX44" s="1641"/>
      <c r="AY44" s="1641"/>
      <c r="AZ44" s="1641"/>
      <c r="BA44" s="1641"/>
      <c r="BB44" s="1641"/>
      <c r="BC44" s="1641"/>
      <c r="BD44" s="1641"/>
      <c r="BE44" s="1641"/>
      <c r="BF44" s="1641"/>
      <c r="BG44" s="1636"/>
    </row>
    <row r="45" spans="1:60" x14ac:dyDescent="0.25">
      <c r="B45" s="1620" t="s">
        <v>1614</v>
      </c>
      <c r="C45" s="1660"/>
      <c r="D45" s="1659"/>
      <c r="E45" s="1660"/>
      <c r="F45" s="1677"/>
      <c r="G45" s="1660"/>
      <c r="H45" s="1660"/>
      <c r="I45" s="1662"/>
      <c r="J45" s="1662"/>
      <c r="K45" s="1662"/>
      <c r="L45" s="1662"/>
      <c r="M45" s="1662"/>
      <c r="N45" s="1662"/>
      <c r="O45" s="1662"/>
      <c r="P45" s="1662"/>
      <c r="Q45" s="1001"/>
      <c r="R45" s="1001"/>
      <c r="S45" s="1618"/>
      <c r="T45" s="1618"/>
      <c r="U45" s="1618"/>
      <c r="V45" s="1618"/>
      <c r="W45" s="1618"/>
      <c r="X45" s="1618"/>
      <c r="Y45" s="1618"/>
      <c r="Z45" s="1618"/>
      <c r="AA45" s="1618"/>
      <c r="AB45" s="1618"/>
      <c r="AC45" s="1618"/>
      <c r="AD45" s="1618"/>
      <c r="AE45" s="1618"/>
      <c r="AF45" s="1618"/>
      <c r="AG45" s="1618"/>
      <c r="AH45" s="1618"/>
      <c r="AI45" s="1618"/>
      <c r="AJ45" s="1618"/>
      <c r="AK45" s="1618"/>
      <c r="AL45" s="1618"/>
      <c r="AM45" s="1618"/>
      <c r="AN45" s="1618"/>
      <c r="AO45" s="1618"/>
      <c r="AP45" s="1618"/>
      <c r="AQ45" s="1618"/>
      <c r="AR45" s="1618"/>
      <c r="AS45" s="1618"/>
      <c r="AT45" s="1618"/>
      <c r="AU45" s="1618"/>
      <c r="AV45" s="1618"/>
      <c r="AW45" s="1618"/>
      <c r="AX45" s="1618"/>
      <c r="AY45" s="1618"/>
      <c r="AZ45" s="1618"/>
      <c r="BA45" s="1618"/>
      <c r="BB45" s="1618"/>
      <c r="BC45" s="1618"/>
      <c r="BD45" s="1618"/>
      <c r="BE45" s="1618"/>
      <c r="BF45" s="1618"/>
      <c r="BG45" s="1001"/>
    </row>
    <row r="46" spans="1:60" s="821" customFormat="1" x14ac:dyDescent="0.25">
      <c r="A46" s="1663"/>
      <c r="B46" s="1664" t="s">
        <v>1615</v>
      </c>
      <c r="C46" s="1665"/>
      <c r="D46" s="1666"/>
      <c r="E46" s="1665"/>
      <c r="F46" s="1667"/>
      <c r="G46" s="1665"/>
      <c r="H46" s="1665"/>
      <c r="I46" s="1668"/>
      <c r="J46" s="1668"/>
      <c r="K46" s="1668"/>
      <c r="L46" s="1668"/>
      <c r="M46" s="1668"/>
      <c r="N46" s="1668"/>
      <c r="O46" s="1668"/>
      <c r="P46" s="1668"/>
      <c r="Q46" s="1669"/>
      <c r="R46" s="1670">
        <f>'BS Raw'!P92/Debt!$B$1</f>
        <v>21.029471059999999</v>
      </c>
      <c r="S46" s="1671">
        <f>Input!Q279</f>
        <v>72.647503604887973</v>
      </c>
      <c r="T46" s="1671">
        <f>Input!R279</f>
        <v>76.070303035653609</v>
      </c>
      <c r="U46" s="1671">
        <f>Input!S279</f>
        <v>94.961281776965492</v>
      </c>
      <c r="V46" s="1671">
        <f>Input!T279</f>
        <v>101.33540287663715</v>
      </c>
      <c r="W46" s="1671">
        <f>Input!U279</f>
        <v>107.52301845349675</v>
      </c>
      <c r="X46" s="1671">
        <f>Input!V279</f>
        <v>113.31186682073751</v>
      </c>
      <c r="Y46" s="1671">
        <f>Input!W279</f>
        <v>121.16783928875023</v>
      </c>
      <c r="Z46" s="1671">
        <f>Input!X279</f>
        <v>139.32054238281134</v>
      </c>
      <c r="AA46" s="1671">
        <f>Input!Y279</f>
        <v>146.63038762804899</v>
      </c>
      <c r="AB46" s="1671">
        <f>Input!Z279</f>
        <v>158.88217944832397</v>
      </c>
      <c r="AC46" s="1671"/>
      <c r="AD46" s="1672"/>
      <c r="AE46" s="1672"/>
      <c r="AF46" s="1672"/>
      <c r="AG46" s="1672"/>
      <c r="AH46" s="1672"/>
      <c r="AI46" s="1672"/>
      <c r="AJ46" s="1672"/>
      <c r="AK46" s="1672"/>
      <c r="AL46" s="1672"/>
      <c r="AM46" s="1672"/>
      <c r="AN46" s="1672"/>
      <c r="AO46" s="1672"/>
      <c r="AP46" s="1672"/>
      <c r="AQ46" s="1672"/>
      <c r="AR46" s="1672"/>
      <c r="AS46" s="1672"/>
      <c r="AT46" s="1672"/>
      <c r="AU46" s="1672"/>
      <c r="AV46" s="1672"/>
      <c r="AW46" s="1672"/>
      <c r="AX46" s="1672"/>
      <c r="AY46" s="1672"/>
      <c r="AZ46" s="1672"/>
      <c r="BA46" s="1672"/>
      <c r="BB46" s="1672"/>
      <c r="BC46" s="1672"/>
      <c r="BD46" s="1672"/>
      <c r="BE46" s="1672"/>
      <c r="BF46" s="1672"/>
      <c r="BG46" s="1669"/>
    </row>
    <row r="47" spans="1:60" s="1642" customFormat="1" x14ac:dyDescent="0.25">
      <c r="A47" s="1635"/>
      <c r="B47" s="1620" t="s">
        <v>1627</v>
      </c>
      <c r="C47" s="1678"/>
      <c r="D47" s="1679"/>
      <c r="E47" s="1678"/>
      <c r="F47" s="1680"/>
      <c r="G47" s="1678"/>
      <c r="H47" s="1678"/>
      <c r="I47" s="1681"/>
      <c r="J47" s="1681"/>
      <c r="K47" s="1681"/>
      <c r="L47" s="1681"/>
      <c r="M47" s="1681"/>
      <c r="N47" s="1681"/>
      <c r="O47" s="1681"/>
      <c r="P47" s="1681"/>
      <c r="Q47" s="1636"/>
      <c r="R47" s="1682">
        <f>IF($F$42,$F$42,IFERROR(R13-$BI$7*AVERAGE(R24,R27)/AVERAGE(R8,R11),0))</f>
        <v>4.1616452792202843E-2</v>
      </c>
      <c r="S47" s="1683">
        <f>IF(S12="",S13-$BI$7*AVERAGE(S24,S27)/AVERAGE(S8,S11),R47)</f>
        <v>4.1642013553055052E-2</v>
      </c>
      <c r="T47" s="1683">
        <f t="shared" ref="T47:AB47" si="12">IF(T12="",T13-$BI$7*AVERAGE(T24,T27)/AVERAGE(T8,T11),S47)</f>
        <v>4.1272282638108379E-2</v>
      </c>
      <c r="U47" s="1683">
        <f t="shared" si="12"/>
        <v>4.1526259006466296E-2</v>
      </c>
      <c r="V47" s="1683">
        <f t="shared" si="12"/>
        <v>4.2919863433938832E-2</v>
      </c>
      <c r="W47" s="1683">
        <f t="shared" si="12"/>
        <v>4.4710139929131629E-2</v>
      </c>
      <c r="X47" s="1683">
        <f t="shared" si="12"/>
        <v>4.743746186247192E-2</v>
      </c>
      <c r="Y47" s="1683">
        <f t="shared" si="12"/>
        <v>5.1085789816722751E-2</v>
      </c>
      <c r="Z47" s="1683">
        <f t="shared" si="12"/>
        <v>5.3079192551587724E-2</v>
      </c>
      <c r="AA47" s="1683">
        <f t="shared" si="12"/>
        <v>5.4003405333540574E-2</v>
      </c>
      <c r="AB47" s="1683">
        <f t="shared" si="12"/>
        <v>5.4553674167957512E-2</v>
      </c>
      <c r="AC47" s="1683"/>
      <c r="AD47" s="1684"/>
      <c r="AE47" s="1684"/>
      <c r="AF47" s="1684"/>
      <c r="AG47" s="1684"/>
      <c r="AH47" s="1684"/>
      <c r="AI47" s="1684"/>
      <c r="AJ47" s="1684"/>
      <c r="AK47" s="1684"/>
      <c r="AL47" s="1684"/>
      <c r="AM47" s="1684"/>
      <c r="AN47" s="1684"/>
      <c r="AO47" s="1684"/>
      <c r="AP47" s="1684"/>
      <c r="AQ47" s="1684"/>
      <c r="AR47" s="1684"/>
      <c r="AS47" s="1684"/>
      <c r="AT47" s="1684"/>
      <c r="AU47" s="1684"/>
      <c r="AV47" s="1684"/>
      <c r="AW47" s="1684"/>
      <c r="AX47" s="1684"/>
      <c r="AY47" s="1684"/>
      <c r="AZ47" s="1684"/>
      <c r="BA47" s="1684"/>
      <c r="BB47" s="1684"/>
      <c r="BC47" s="1684"/>
      <c r="BD47" s="1684"/>
      <c r="BE47" s="1684"/>
      <c r="BF47" s="1684"/>
      <c r="BG47" s="1636"/>
      <c r="BH47" s="1685" t="s">
        <v>1628</v>
      </c>
    </row>
    <row r="48" spans="1:60" s="1642" customFormat="1" x14ac:dyDescent="0.25">
      <c r="A48" s="1635"/>
      <c r="B48" s="1620" t="s">
        <v>1616</v>
      </c>
      <c r="C48" s="1673"/>
      <c r="D48" s="1674"/>
      <c r="E48" s="1673"/>
      <c r="F48" s="1675"/>
      <c r="G48" s="1673"/>
      <c r="H48" s="1673"/>
      <c r="I48" s="1676"/>
      <c r="J48" s="1676"/>
      <c r="K48" s="1676"/>
      <c r="L48" s="1676"/>
      <c r="M48" s="1676"/>
      <c r="N48" s="1676"/>
      <c r="O48" s="1676"/>
      <c r="P48" s="1676"/>
      <c r="Q48" s="1636"/>
      <c r="R48" s="1639">
        <f>R47*AVERAGE(R43,R46)</f>
        <v>0.85572040974270802</v>
      </c>
      <c r="S48" s="1640">
        <f>S47*AVERAGE(S43,S46)</f>
        <v>1.95044892430223</v>
      </c>
      <c r="T48" s="1640">
        <f t="shared" ref="T48:AB48" si="13">T47*AVERAGE(T43,T46)</f>
        <v>3.068961674493992</v>
      </c>
      <c r="U48" s="1640">
        <f t="shared" si="13"/>
        <v>3.5511509446076137</v>
      </c>
      <c r="V48" s="1640">
        <f t="shared" si="13"/>
        <v>4.212513448933791</v>
      </c>
      <c r="W48" s="1640">
        <f t="shared" si="13"/>
        <v>4.6690446215239083</v>
      </c>
      <c r="X48" s="1640">
        <f t="shared" si="13"/>
        <v>5.2379232240499247</v>
      </c>
      <c r="Y48" s="1640">
        <f t="shared" si="13"/>
        <v>5.9892904912981058</v>
      </c>
      <c r="Z48" s="1640">
        <f t="shared" si="13"/>
        <v>6.9132564840981452</v>
      </c>
      <c r="AA48" s="1640">
        <f t="shared" si="13"/>
        <v>7.7211619894396923</v>
      </c>
      <c r="AB48" s="1640">
        <f t="shared" si="13"/>
        <v>8.333416519250358</v>
      </c>
      <c r="AC48" s="1640"/>
      <c r="AD48" s="1641"/>
      <c r="AE48" s="1641"/>
      <c r="AF48" s="1641"/>
      <c r="AG48" s="1641"/>
      <c r="AH48" s="1641"/>
      <c r="AI48" s="1641"/>
      <c r="AJ48" s="1641"/>
      <c r="AK48" s="1641"/>
      <c r="AL48" s="1641"/>
      <c r="AM48" s="1641"/>
      <c r="AN48" s="1641"/>
      <c r="AO48" s="1641"/>
      <c r="AP48" s="1641"/>
      <c r="AQ48" s="1641"/>
      <c r="AR48" s="1641"/>
      <c r="AS48" s="1641"/>
      <c r="AT48" s="1641"/>
      <c r="AU48" s="1641"/>
      <c r="AV48" s="1641"/>
      <c r="AW48" s="1641"/>
      <c r="AX48" s="1641"/>
      <c r="AY48" s="1641"/>
      <c r="AZ48" s="1641"/>
      <c r="BA48" s="1641"/>
      <c r="BB48" s="1641"/>
      <c r="BC48" s="1641"/>
      <c r="BD48" s="1641"/>
      <c r="BE48" s="1641"/>
      <c r="BF48" s="1641"/>
      <c r="BG48" s="1636"/>
    </row>
    <row r="50" spans="1:60" ht="14.4" thickBot="1" x14ac:dyDescent="0.3">
      <c r="A50" s="1592">
        <v>2</v>
      </c>
      <c r="B50" s="1644" t="s">
        <v>1629</v>
      </c>
      <c r="C50" s="1686"/>
      <c r="D50" s="1687"/>
      <c r="E50" s="1686"/>
      <c r="F50" s="1688"/>
      <c r="G50" s="1686"/>
      <c r="H50" s="1686"/>
      <c r="I50" s="1686"/>
      <c r="J50" s="1686"/>
      <c r="K50" s="1686"/>
      <c r="L50" s="1686"/>
      <c r="M50" s="1686"/>
      <c r="N50" s="1686"/>
      <c r="O50" s="1686"/>
      <c r="P50" s="1686"/>
      <c r="Q50" s="1001"/>
      <c r="R50" s="1689"/>
      <c r="S50" s="1686"/>
      <c r="T50" s="1686"/>
      <c r="U50" s="1686"/>
      <c r="V50" s="1686"/>
      <c r="W50" s="1686"/>
      <c r="X50" s="1686"/>
      <c r="Y50" s="1686"/>
      <c r="Z50" s="1686"/>
      <c r="AA50" s="1686"/>
      <c r="AB50" s="1686"/>
      <c r="AC50" s="1686"/>
      <c r="AD50" s="1686"/>
      <c r="AE50" s="1686"/>
      <c r="AF50" s="1686"/>
      <c r="AG50" s="1686"/>
      <c r="AH50" s="1686"/>
      <c r="AI50" s="1686"/>
      <c r="AJ50" s="1686"/>
      <c r="AK50" s="1686"/>
      <c r="AL50" s="1686"/>
      <c r="AM50" s="1686"/>
      <c r="AN50" s="1686"/>
      <c r="AO50" s="1686"/>
      <c r="AP50" s="1686"/>
      <c r="AQ50" s="1686"/>
      <c r="AR50" s="1686"/>
      <c r="AS50" s="1686"/>
      <c r="AT50" s="1686"/>
      <c r="AU50" s="1686"/>
      <c r="AV50" s="1686"/>
      <c r="AW50" s="1686"/>
      <c r="AX50" s="1686"/>
      <c r="AY50" s="1686"/>
      <c r="AZ50" s="1686"/>
      <c r="BA50" s="1686"/>
      <c r="BB50" s="1686"/>
      <c r="BC50" s="1686"/>
      <c r="BD50" s="1686"/>
      <c r="BE50" s="1686"/>
      <c r="BF50" s="1686"/>
      <c r="BG50" s="1001"/>
    </row>
    <row r="51" spans="1:60" x14ac:dyDescent="0.25">
      <c r="B51" s="1597"/>
      <c r="C51" s="1001"/>
      <c r="D51" s="1613"/>
      <c r="E51" s="1001"/>
      <c r="G51" s="1001"/>
      <c r="H51" s="1001"/>
      <c r="I51" s="1001"/>
      <c r="J51" s="1001"/>
      <c r="K51" s="1001"/>
      <c r="L51" s="1001"/>
      <c r="M51" s="1001"/>
      <c r="N51" s="1001"/>
      <c r="O51" s="1001"/>
      <c r="P51" s="1001"/>
      <c r="Q51" s="1001"/>
      <c r="S51" s="1001"/>
      <c r="T51" s="1001"/>
      <c r="U51" s="1001"/>
      <c r="V51" s="1001"/>
      <c r="W51" s="1001"/>
      <c r="X51" s="1001"/>
      <c r="Y51" s="1001"/>
      <c r="Z51" s="1001"/>
      <c r="AA51" s="1001"/>
      <c r="AB51" s="1001"/>
      <c r="AC51" s="1001"/>
      <c r="AD51" s="1001"/>
      <c r="AE51" s="1001"/>
      <c r="AF51" s="1001"/>
      <c r="AG51" s="1001"/>
      <c r="AH51" s="1001"/>
      <c r="AI51" s="1001"/>
      <c r="AJ51" s="1001"/>
      <c r="AK51" s="1001"/>
      <c r="AL51" s="1001"/>
      <c r="AM51" s="1001"/>
      <c r="AN51" s="1001"/>
      <c r="AO51" s="1001"/>
      <c r="AP51" s="1001"/>
      <c r="AQ51" s="1001"/>
      <c r="AR51" s="1001"/>
      <c r="AS51" s="1001"/>
      <c r="AT51" s="1001"/>
      <c r="AU51" s="1001"/>
      <c r="AV51" s="1001"/>
      <c r="AW51" s="1001"/>
      <c r="AX51" s="1001"/>
      <c r="AY51" s="1001"/>
      <c r="AZ51" s="1001"/>
      <c r="BA51" s="1001"/>
      <c r="BB51" s="1001"/>
      <c r="BC51" s="1001"/>
      <c r="BD51" s="1001"/>
      <c r="BE51" s="1001"/>
      <c r="BF51" s="1001"/>
      <c r="BG51" s="1001"/>
    </row>
    <row r="52" spans="1:60" x14ac:dyDescent="0.25">
      <c r="A52" s="1592" t="s">
        <v>373</v>
      </c>
      <c r="B52" s="1653" t="s">
        <v>1624</v>
      </c>
      <c r="C52" s="1690" t="s">
        <v>1630</v>
      </c>
      <c r="D52" s="1691"/>
      <c r="E52" s="1690"/>
      <c r="F52" s="1692"/>
      <c r="G52" s="1690"/>
      <c r="H52" s="1690"/>
      <c r="I52" s="1690"/>
      <c r="J52" s="1690"/>
      <c r="K52" s="1690"/>
      <c r="L52" s="1690"/>
      <c r="M52" s="1690"/>
      <c r="N52" s="1690"/>
      <c r="O52" s="1690"/>
      <c r="P52" s="1690"/>
      <c r="Q52" s="1693"/>
      <c r="R52" s="1693"/>
      <c r="S52" s="1693"/>
      <c r="T52" s="1693"/>
      <c r="U52" s="1690"/>
      <c r="V52" s="1690"/>
      <c r="W52" s="1690"/>
      <c r="X52" s="1001"/>
      <c r="Y52" s="1001"/>
      <c r="Z52" s="1001"/>
      <c r="AA52" s="1001"/>
      <c r="AB52" s="1001"/>
      <c r="AC52" s="1001"/>
      <c r="AD52" s="1001"/>
      <c r="AE52" s="1001"/>
      <c r="AF52" s="1001"/>
      <c r="AG52" s="1001"/>
      <c r="AH52" s="1001"/>
      <c r="AI52" s="1001"/>
      <c r="AJ52" s="1001"/>
      <c r="AK52" s="1001"/>
      <c r="AL52" s="1001"/>
      <c r="AM52" s="1001"/>
      <c r="AN52" s="1001"/>
      <c r="AO52" s="1001"/>
      <c r="AP52" s="1001"/>
      <c r="AQ52" s="1001"/>
      <c r="AR52" s="1001"/>
      <c r="AS52" s="1001"/>
      <c r="AT52" s="1001"/>
      <c r="AU52" s="1001"/>
      <c r="AV52" s="1001"/>
      <c r="AW52" s="1001"/>
      <c r="AX52" s="1001"/>
      <c r="AY52" s="1001"/>
      <c r="AZ52" s="1001"/>
      <c r="BA52" s="1001"/>
      <c r="BB52" s="1001"/>
      <c r="BC52" s="1001"/>
      <c r="BD52" s="1001"/>
      <c r="BE52" s="1001"/>
      <c r="BF52" s="1001"/>
      <c r="BG52" s="1001"/>
    </row>
    <row r="53" spans="1:60" x14ac:dyDescent="0.25">
      <c r="B53" s="1657" t="s">
        <v>1631</v>
      </c>
      <c r="C53" s="1694">
        <f>'BS Raw'!P105/$B$1</f>
        <v>76</v>
      </c>
      <c r="D53" s="1695">
        <v>44553</v>
      </c>
      <c r="E53" s="1696">
        <v>72</v>
      </c>
      <c r="F53" s="1697">
        <v>7.0000000000000007E-2</v>
      </c>
      <c r="G53" s="1660" t="s">
        <v>1626</v>
      </c>
      <c r="H53" s="1660">
        <v>0.5</v>
      </c>
      <c r="I53" s="1662"/>
      <c r="J53" s="1662"/>
      <c r="K53" s="1662"/>
      <c r="L53" s="1662"/>
      <c r="M53" s="1662"/>
      <c r="N53" s="1662"/>
      <c r="O53" s="1662"/>
      <c r="P53" s="1662"/>
      <c r="Q53" s="1001"/>
      <c r="R53" s="1001"/>
      <c r="S53" s="1001"/>
      <c r="T53" s="1001"/>
      <c r="U53" s="1001"/>
      <c r="V53" s="1001"/>
      <c r="W53" s="1001"/>
      <c r="X53" s="1001"/>
      <c r="Y53" s="1001"/>
      <c r="Z53" s="1001"/>
      <c r="AA53" s="1001"/>
      <c r="AB53" s="1001"/>
      <c r="AC53" s="1001"/>
      <c r="AD53" s="1001"/>
      <c r="AE53" s="1001"/>
      <c r="AF53" s="1001"/>
      <c r="AG53" s="1001"/>
      <c r="AH53" s="1001"/>
      <c r="AI53" s="1001"/>
      <c r="AJ53" s="1001"/>
      <c r="AK53" s="1001"/>
      <c r="AL53" s="1001"/>
      <c r="AM53" s="1001"/>
      <c r="AN53" s="1001"/>
      <c r="AO53" s="1001"/>
      <c r="AP53" s="1001"/>
      <c r="AQ53" s="1001"/>
      <c r="AR53" s="1001"/>
      <c r="AS53" s="1001"/>
      <c r="AT53" s="1001"/>
      <c r="AU53" s="1001"/>
      <c r="AV53" s="1001"/>
      <c r="AW53" s="1001"/>
      <c r="AX53" s="1001"/>
      <c r="AY53" s="1001"/>
      <c r="AZ53" s="1001"/>
      <c r="BA53" s="1001"/>
      <c r="BB53" s="1001"/>
      <c r="BC53" s="1001"/>
      <c r="BD53" s="1001"/>
      <c r="BE53" s="1001"/>
      <c r="BF53" s="1001"/>
      <c r="BG53" s="1001"/>
      <c r="BH53" s="1593" t="s">
        <v>1632</v>
      </c>
    </row>
    <row r="54" spans="1:60" x14ac:dyDescent="0.25">
      <c r="B54" s="1615" t="s">
        <v>1612</v>
      </c>
      <c r="C54" s="1660"/>
      <c r="D54" s="1659"/>
      <c r="E54" s="1660"/>
      <c r="F54" s="1677"/>
      <c r="G54" s="1660"/>
      <c r="H54" s="1660"/>
      <c r="I54" s="1662"/>
      <c r="J54" s="1662"/>
      <c r="K54" s="1662"/>
      <c r="L54" s="1662"/>
      <c r="M54" s="1662"/>
      <c r="N54" s="1662"/>
      <c r="O54" s="1662"/>
      <c r="P54" s="1662"/>
      <c r="Q54" s="1001"/>
      <c r="R54" s="1633">
        <f>'BS Raw'!O105/Debt!$B$1</f>
        <v>62.725647917000003</v>
      </c>
      <c r="S54" s="1634">
        <f>R57</f>
        <v>76</v>
      </c>
      <c r="T54" s="1634">
        <f>S57</f>
        <v>63.333333333333336</v>
      </c>
      <c r="U54" s="1634">
        <f t="shared" ref="U54:AB54" si="14">T57</f>
        <v>50.666666666666671</v>
      </c>
      <c r="V54" s="1634">
        <f t="shared" si="14"/>
        <v>38.000000000000007</v>
      </c>
      <c r="W54" s="1634">
        <f t="shared" si="14"/>
        <v>25.333333333333343</v>
      </c>
      <c r="X54" s="1634">
        <f t="shared" si="14"/>
        <v>12.666666666666677</v>
      </c>
      <c r="Y54" s="1634">
        <f t="shared" si="14"/>
        <v>0</v>
      </c>
      <c r="Z54" s="1634">
        <f t="shared" si="14"/>
        <v>0</v>
      </c>
      <c r="AA54" s="1634">
        <f t="shared" si="14"/>
        <v>0</v>
      </c>
      <c r="AB54" s="1634">
        <f t="shared" si="14"/>
        <v>0</v>
      </c>
      <c r="AC54" s="1634"/>
      <c r="AD54" s="1618"/>
      <c r="AE54" s="1618"/>
      <c r="AF54" s="1618"/>
      <c r="AG54" s="1618"/>
      <c r="AH54" s="1618"/>
      <c r="AI54" s="1618"/>
      <c r="AJ54" s="1618"/>
      <c r="AK54" s="1618"/>
      <c r="AL54" s="1618"/>
      <c r="AM54" s="1618"/>
      <c r="AN54" s="1618"/>
      <c r="AO54" s="1618"/>
      <c r="AP54" s="1618"/>
      <c r="AQ54" s="1618"/>
      <c r="AR54" s="1618"/>
      <c r="AS54" s="1618"/>
      <c r="AT54" s="1618"/>
      <c r="AU54" s="1618"/>
      <c r="AV54" s="1618"/>
      <c r="AW54" s="1618"/>
      <c r="AX54" s="1618"/>
      <c r="AY54" s="1618"/>
      <c r="AZ54" s="1618"/>
      <c r="BA54" s="1618"/>
      <c r="BB54" s="1618"/>
      <c r="BC54" s="1618"/>
      <c r="BD54" s="1618"/>
      <c r="BE54" s="1618"/>
      <c r="BF54" s="1618"/>
      <c r="BG54" s="1001"/>
    </row>
    <row r="55" spans="1:60" s="1627" customFormat="1" x14ac:dyDescent="0.25">
      <c r="A55" s="1619"/>
      <c r="B55" s="1620" t="s">
        <v>1613</v>
      </c>
      <c r="C55" s="1698"/>
      <c r="D55" s="1699"/>
      <c r="E55" s="1698"/>
      <c r="F55" s="1700"/>
      <c r="G55" s="1698"/>
      <c r="H55" s="1698"/>
      <c r="I55" s="1701"/>
      <c r="J55" s="1701"/>
      <c r="K55" s="1701"/>
      <c r="L55" s="1701"/>
      <c r="M55" s="1701"/>
      <c r="N55" s="1701"/>
      <c r="O55" s="1701"/>
      <c r="P55" s="1701"/>
      <c r="Q55" s="1621"/>
      <c r="R55" s="1621"/>
      <c r="S55" s="1702">
        <f>C53/(E53/12)</f>
        <v>12.666666666666666</v>
      </c>
      <c r="T55" s="1702">
        <f>MIN(S55,S57)</f>
        <v>12.666666666666666</v>
      </c>
      <c r="U55" s="1702">
        <f t="shared" ref="U55:AB55" si="15">MIN(T55,T57)</f>
        <v>12.666666666666666</v>
      </c>
      <c r="V55" s="1702">
        <f t="shared" si="15"/>
        <v>12.666666666666666</v>
      </c>
      <c r="W55" s="1702">
        <f t="shared" si="15"/>
        <v>12.666666666666666</v>
      </c>
      <c r="X55" s="1702">
        <f t="shared" si="15"/>
        <v>12.666666666666666</v>
      </c>
      <c r="Y55" s="1702">
        <f t="shared" si="15"/>
        <v>0</v>
      </c>
      <c r="Z55" s="1702">
        <f t="shared" si="15"/>
        <v>0</v>
      </c>
      <c r="AA55" s="1702">
        <f t="shared" si="15"/>
        <v>0</v>
      </c>
      <c r="AB55" s="1702">
        <f t="shared" si="15"/>
        <v>0</v>
      </c>
      <c r="AC55" s="1702"/>
      <c r="AD55" s="1626"/>
      <c r="AE55" s="1626"/>
      <c r="AF55" s="1626"/>
      <c r="AG55" s="1626"/>
      <c r="AH55" s="1626"/>
      <c r="AI55" s="1626"/>
      <c r="AJ55" s="1626"/>
      <c r="AK55" s="1626"/>
      <c r="AL55" s="1626"/>
      <c r="AM55" s="1626"/>
      <c r="AN55" s="1626"/>
      <c r="AO55" s="1626"/>
      <c r="AP55" s="1626"/>
      <c r="AQ55" s="1626"/>
      <c r="AR55" s="1626"/>
      <c r="AS55" s="1626"/>
      <c r="AT55" s="1626"/>
      <c r="AU55" s="1626"/>
      <c r="AV55" s="1626"/>
      <c r="AW55" s="1626"/>
      <c r="AX55" s="1626"/>
      <c r="AY55" s="1626"/>
      <c r="AZ55" s="1626"/>
      <c r="BA55" s="1626"/>
      <c r="BB55" s="1626"/>
      <c r="BC55" s="1626"/>
      <c r="BD55" s="1626"/>
      <c r="BE55" s="1626"/>
      <c r="BF55" s="1626"/>
      <c r="BG55" s="1621"/>
    </row>
    <row r="56" spans="1:60" s="1627" customFormat="1" x14ac:dyDescent="0.25">
      <c r="A56" s="1619"/>
      <c r="B56" s="1620" t="s">
        <v>1614</v>
      </c>
      <c r="C56" s="1698"/>
      <c r="D56" s="1699"/>
      <c r="E56" s="1698"/>
      <c r="F56" s="1700"/>
      <c r="G56" s="1698"/>
      <c r="H56" s="1698"/>
      <c r="I56" s="1701"/>
      <c r="J56" s="1701"/>
      <c r="K56" s="1701"/>
      <c r="L56" s="1701"/>
      <c r="M56" s="1701"/>
      <c r="N56" s="1701"/>
      <c r="O56" s="1701"/>
      <c r="P56" s="1701"/>
      <c r="Q56" s="1621"/>
      <c r="R56" s="1621"/>
      <c r="S56" s="1702"/>
      <c r="T56" s="1702"/>
      <c r="U56" s="1702"/>
      <c r="V56" s="1702"/>
      <c r="W56" s="1702"/>
      <c r="X56" s="1702"/>
      <c r="Y56" s="1702"/>
      <c r="Z56" s="1626"/>
      <c r="AA56" s="1626"/>
      <c r="AB56" s="1626"/>
      <c r="AC56" s="1626"/>
      <c r="AD56" s="1626"/>
      <c r="AE56" s="1626"/>
      <c r="AF56" s="1626"/>
      <c r="AG56" s="1626"/>
      <c r="AH56" s="1626"/>
      <c r="AI56" s="1626"/>
      <c r="AJ56" s="1626"/>
      <c r="AK56" s="1626"/>
      <c r="AL56" s="1626"/>
      <c r="AM56" s="1626"/>
      <c r="AN56" s="1626"/>
      <c r="AO56" s="1626"/>
      <c r="AP56" s="1626"/>
      <c r="AQ56" s="1626"/>
      <c r="AR56" s="1626"/>
      <c r="AS56" s="1626"/>
      <c r="AT56" s="1626"/>
      <c r="AU56" s="1626"/>
      <c r="AV56" s="1626"/>
      <c r="AW56" s="1626"/>
      <c r="AX56" s="1626"/>
      <c r="AY56" s="1626"/>
      <c r="AZ56" s="1626"/>
      <c r="BA56" s="1626"/>
      <c r="BB56" s="1626"/>
      <c r="BC56" s="1626"/>
      <c r="BD56" s="1626"/>
      <c r="BE56" s="1626"/>
      <c r="BF56" s="1626"/>
      <c r="BG56" s="1621"/>
    </row>
    <row r="57" spans="1:60" x14ac:dyDescent="0.25">
      <c r="B57" s="1615" t="s">
        <v>1615</v>
      </c>
      <c r="C57" s="1660"/>
      <c r="D57" s="1659"/>
      <c r="E57" s="1660"/>
      <c r="F57" s="1677"/>
      <c r="G57" s="1660"/>
      <c r="H57" s="1660"/>
      <c r="I57" s="1662"/>
      <c r="J57" s="1662"/>
      <c r="K57" s="1662"/>
      <c r="L57" s="1662"/>
      <c r="M57" s="1662"/>
      <c r="N57" s="1662"/>
      <c r="O57" s="1662"/>
      <c r="P57" s="1662"/>
      <c r="Q57" s="1001"/>
      <c r="R57" s="1633">
        <f>'BS Raw'!P105/Debt!$B$1</f>
        <v>76</v>
      </c>
      <c r="S57" s="1634">
        <f>S54-S55</f>
        <v>63.333333333333336</v>
      </c>
      <c r="T57" s="1634">
        <f t="shared" ref="T57:AB57" si="16">T54-T55</f>
        <v>50.666666666666671</v>
      </c>
      <c r="U57" s="1634">
        <f t="shared" si="16"/>
        <v>38.000000000000007</v>
      </c>
      <c r="V57" s="1634">
        <f t="shared" si="16"/>
        <v>25.333333333333343</v>
      </c>
      <c r="W57" s="1634">
        <f t="shared" si="16"/>
        <v>12.666666666666677</v>
      </c>
      <c r="X57" s="1634">
        <f t="shared" si="16"/>
        <v>0</v>
      </c>
      <c r="Y57" s="1634">
        <f t="shared" si="16"/>
        <v>0</v>
      </c>
      <c r="Z57" s="1634">
        <f t="shared" si="16"/>
        <v>0</v>
      </c>
      <c r="AA57" s="1634">
        <f t="shared" si="16"/>
        <v>0</v>
      </c>
      <c r="AB57" s="1634">
        <f t="shared" si="16"/>
        <v>0</v>
      </c>
      <c r="AC57" s="1634"/>
      <c r="AD57" s="1618"/>
      <c r="AE57" s="1618"/>
      <c r="AF57" s="1618"/>
      <c r="AG57" s="1618"/>
      <c r="AH57" s="1618"/>
      <c r="AI57" s="1618"/>
      <c r="AJ57" s="1618"/>
      <c r="AK57" s="1618"/>
      <c r="AL57" s="1618"/>
      <c r="AM57" s="1618"/>
      <c r="AN57" s="1618"/>
      <c r="AO57" s="1618"/>
      <c r="AP57" s="1618"/>
      <c r="AQ57" s="1618"/>
      <c r="AR57" s="1618"/>
      <c r="AS57" s="1618"/>
      <c r="AT57" s="1618"/>
      <c r="AU57" s="1618"/>
      <c r="AV57" s="1618"/>
      <c r="AW57" s="1618"/>
      <c r="AX57" s="1618"/>
      <c r="AY57" s="1618"/>
      <c r="AZ57" s="1618"/>
      <c r="BA57" s="1618"/>
      <c r="BB57" s="1618"/>
      <c r="BC57" s="1618"/>
      <c r="BD57" s="1618"/>
      <c r="BE57" s="1618"/>
      <c r="BF57" s="1618"/>
      <c r="BG57" s="1001"/>
    </row>
    <row r="58" spans="1:60" s="1642" customFormat="1" x14ac:dyDescent="0.25">
      <c r="A58" s="1635"/>
      <c r="B58" s="1620" t="s">
        <v>1627</v>
      </c>
      <c r="C58" s="1703"/>
      <c r="D58" s="1674"/>
      <c r="E58" s="1673"/>
      <c r="F58" s="1675"/>
      <c r="G58" s="1673"/>
      <c r="H58" s="1673"/>
      <c r="I58" s="1676"/>
      <c r="J58" s="1676"/>
      <c r="K58" s="1676"/>
      <c r="L58" s="1676"/>
      <c r="M58" s="1676"/>
      <c r="N58" s="1676"/>
      <c r="O58" s="1676"/>
      <c r="P58" s="1676"/>
      <c r="Q58" s="1636"/>
      <c r="R58" s="1704">
        <f>IF($F$53="",R47+$BI$7,$F$53)</f>
        <v>7.0000000000000007E-2</v>
      </c>
      <c r="S58" s="1683">
        <f>IF($F$53="",S47+$BI$7,$F$53)</f>
        <v>7.0000000000000007E-2</v>
      </c>
      <c r="T58" s="1683">
        <f t="shared" ref="T58:AB58" si="17">IF($F$53="",T47+$BI$7,$F$53)</f>
        <v>7.0000000000000007E-2</v>
      </c>
      <c r="U58" s="1683">
        <f t="shared" si="17"/>
        <v>7.0000000000000007E-2</v>
      </c>
      <c r="V58" s="1683">
        <f t="shared" si="17"/>
        <v>7.0000000000000007E-2</v>
      </c>
      <c r="W58" s="1683">
        <f t="shared" si="17"/>
        <v>7.0000000000000007E-2</v>
      </c>
      <c r="X58" s="1683">
        <f t="shared" si="17"/>
        <v>7.0000000000000007E-2</v>
      </c>
      <c r="Y58" s="1683">
        <f t="shared" si="17"/>
        <v>7.0000000000000007E-2</v>
      </c>
      <c r="Z58" s="1683">
        <f t="shared" si="17"/>
        <v>7.0000000000000007E-2</v>
      </c>
      <c r="AA58" s="1683">
        <f t="shared" si="17"/>
        <v>7.0000000000000007E-2</v>
      </c>
      <c r="AB58" s="1683">
        <f t="shared" si="17"/>
        <v>7.0000000000000007E-2</v>
      </c>
      <c r="AC58" s="1684"/>
      <c r="AD58" s="1684"/>
      <c r="AE58" s="1684"/>
      <c r="AF58" s="1684"/>
      <c r="AG58" s="1684"/>
      <c r="AH58" s="1684"/>
      <c r="AI58" s="1684"/>
      <c r="AJ58" s="1684"/>
      <c r="AK58" s="1684"/>
      <c r="AL58" s="1684"/>
      <c r="AM58" s="1684"/>
      <c r="AN58" s="1684"/>
      <c r="AO58" s="1684"/>
      <c r="AP58" s="1684"/>
      <c r="AQ58" s="1684"/>
      <c r="AR58" s="1684"/>
      <c r="AS58" s="1684"/>
      <c r="AT58" s="1684"/>
      <c r="AU58" s="1684"/>
      <c r="AV58" s="1684"/>
      <c r="AW58" s="1684"/>
      <c r="AX58" s="1684"/>
      <c r="AY58" s="1684"/>
      <c r="AZ58" s="1684"/>
      <c r="BA58" s="1684"/>
      <c r="BB58" s="1684"/>
      <c r="BC58" s="1684"/>
      <c r="BD58" s="1684"/>
      <c r="BE58" s="1684"/>
      <c r="BF58" s="1684"/>
      <c r="BG58" s="1636"/>
      <c r="BH58" s="960" t="s">
        <v>1628</v>
      </c>
    </row>
    <row r="59" spans="1:60" x14ac:dyDescent="0.25">
      <c r="B59" s="1620" t="s">
        <v>1616</v>
      </c>
      <c r="C59" s="1705"/>
      <c r="D59" s="1659"/>
      <c r="E59" s="1660"/>
      <c r="F59" s="1677"/>
      <c r="G59" s="1660"/>
      <c r="H59" s="1660"/>
      <c r="I59" s="1662"/>
      <c r="J59" s="1662"/>
      <c r="K59" s="1662"/>
      <c r="L59" s="1662"/>
      <c r="M59" s="1662"/>
      <c r="N59" s="1662"/>
      <c r="O59" s="1662"/>
      <c r="P59" s="1662"/>
      <c r="Q59" s="1706"/>
      <c r="R59" s="1639">
        <f>R58*AVERAGE(R54,R57)</f>
        <v>4.8553976770950005</v>
      </c>
      <c r="S59" s="1640">
        <f>S58*AVERAGE(S54,S57)</f>
        <v>4.8766666666666678</v>
      </c>
      <c r="T59" s="1640">
        <f t="shared" ref="T59:AB59" si="18">T58*AVERAGE(T54,T57)</f>
        <v>3.99</v>
      </c>
      <c r="U59" s="1640">
        <f t="shared" si="18"/>
        <v>3.1033333333333344</v>
      </c>
      <c r="V59" s="1640">
        <f t="shared" si="18"/>
        <v>2.2166666666666677</v>
      </c>
      <c r="W59" s="1640">
        <f t="shared" si="18"/>
        <v>1.330000000000001</v>
      </c>
      <c r="X59" s="1640">
        <f t="shared" si="18"/>
        <v>0.44333333333333375</v>
      </c>
      <c r="Y59" s="1640">
        <f t="shared" si="18"/>
        <v>0</v>
      </c>
      <c r="Z59" s="1640">
        <f t="shared" si="18"/>
        <v>0</v>
      </c>
      <c r="AA59" s="1640">
        <f t="shared" si="18"/>
        <v>0</v>
      </c>
      <c r="AB59" s="1640">
        <f t="shared" si="18"/>
        <v>0</v>
      </c>
      <c r="AC59" s="1640"/>
      <c r="AD59" s="1641"/>
      <c r="AE59" s="1641"/>
      <c r="AF59" s="1641"/>
      <c r="AG59" s="1641"/>
      <c r="AH59" s="1641"/>
      <c r="AI59" s="1641"/>
      <c r="AJ59" s="1641"/>
      <c r="AK59" s="1641"/>
      <c r="AL59" s="1641"/>
      <c r="AM59" s="1641"/>
      <c r="AN59" s="1641"/>
      <c r="AO59" s="1641"/>
      <c r="AP59" s="1641"/>
      <c r="AQ59" s="1641"/>
      <c r="AR59" s="1641"/>
      <c r="AS59" s="1641"/>
      <c r="AT59" s="1641"/>
      <c r="AU59" s="1641"/>
      <c r="AV59" s="1641"/>
      <c r="AW59" s="1641"/>
      <c r="AX59" s="1641"/>
      <c r="AY59" s="1641"/>
      <c r="AZ59" s="1641"/>
      <c r="BA59" s="1641"/>
      <c r="BB59" s="1641"/>
      <c r="BC59" s="1641"/>
      <c r="BD59" s="1641"/>
      <c r="BE59" s="1641"/>
      <c r="BF59" s="1641"/>
      <c r="BG59" s="1001"/>
    </row>
    <row r="60" spans="1:60" x14ac:dyDescent="0.25">
      <c r="B60" s="1620"/>
      <c r="C60" s="1707"/>
      <c r="D60" s="1708"/>
      <c r="E60" s="1709"/>
      <c r="F60" s="1710"/>
      <c r="G60" s="1709"/>
      <c r="H60" s="1709"/>
      <c r="I60" s="1662"/>
      <c r="J60" s="1662"/>
      <c r="K60" s="1662"/>
      <c r="L60" s="1662"/>
      <c r="M60" s="1662"/>
      <c r="N60" s="1662"/>
      <c r="O60" s="1662"/>
      <c r="P60" s="1662"/>
      <c r="Q60" s="1001"/>
      <c r="R60" s="1636"/>
      <c r="S60" s="1641"/>
      <c r="T60" s="1641"/>
      <c r="U60" s="1641"/>
      <c r="V60" s="1641"/>
      <c r="W60" s="1641"/>
      <c r="X60" s="1641"/>
      <c r="Y60" s="1641"/>
      <c r="Z60" s="1641"/>
      <c r="AA60" s="1641"/>
      <c r="AB60" s="1641"/>
      <c r="AC60" s="1641"/>
      <c r="AD60" s="1641"/>
      <c r="AE60" s="1711"/>
      <c r="AF60" s="1711"/>
      <c r="AG60" s="1711"/>
      <c r="AH60" s="1711"/>
      <c r="AI60" s="1711"/>
      <c r="AJ60" s="1711"/>
      <c r="AK60" s="1711"/>
      <c r="AL60" s="1711"/>
      <c r="AM60" s="1711"/>
      <c r="AN60" s="1711"/>
      <c r="AO60" s="1711"/>
      <c r="AP60" s="1711"/>
      <c r="AQ60" s="1711"/>
      <c r="AR60" s="1711"/>
      <c r="AS60" s="1711"/>
      <c r="AT60" s="1711"/>
      <c r="AU60" s="1711"/>
      <c r="AV60" s="1711"/>
      <c r="AW60" s="1711"/>
      <c r="AX60" s="1711"/>
      <c r="AY60" s="1711"/>
      <c r="AZ60" s="1711"/>
      <c r="BA60" s="1711"/>
      <c r="BB60" s="1711"/>
      <c r="BC60" s="1711"/>
      <c r="BD60" s="1711"/>
      <c r="BE60" s="1711"/>
      <c r="BF60" s="1711"/>
      <c r="BG60" s="1001"/>
    </row>
    <row r="61" spans="1:60" s="1597" customFormat="1" hidden="1" x14ac:dyDescent="0.25">
      <c r="A61" s="1592" t="s">
        <v>376</v>
      </c>
      <c r="B61" s="1653" t="s">
        <v>1633</v>
      </c>
      <c r="C61" s="1712"/>
      <c r="D61" s="1713"/>
      <c r="E61" s="1714"/>
      <c r="F61" s="1715"/>
      <c r="G61" s="1714"/>
      <c r="H61" s="1714"/>
      <c r="I61" s="1716"/>
      <c r="J61" s="1716"/>
      <c r="K61" s="1716"/>
      <c r="L61" s="1716"/>
      <c r="M61" s="1716"/>
      <c r="N61" s="1716"/>
      <c r="O61" s="1716"/>
      <c r="P61" s="1716"/>
      <c r="Q61" s="1648"/>
      <c r="R61" s="1648"/>
      <c r="S61" s="1717"/>
      <c r="T61" s="1717"/>
      <c r="U61" s="1717"/>
      <c r="V61" s="1717"/>
      <c r="W61" s="1717"/>
      <c r="X61" s="1717"/>
      <c r="Y61" s="1717"/>
      <c r="Z61" s="1717"/>
      <c r="AA61" s="1717"/>
      <c r="AB61" s="1717"/>
      <c r="AC61" s="1717"/>
      <c r="AD61" s="1717"/>
      <c r="AE61" s="1717"/>
      <c r="AF61" s="1717"/>
      <c r="AG61" s="1717"/>
      <c r="AH61" s="1717"/>
      <c r="AI61" s="1717"/>
      <c r="AJ61" s="1717"/>
      <c r="AK61" s="1717"/>
      <c r="AL61" s="1717"/>
      <c r="AM61" s="1717"/>
      <c r="AN61" s="1717"/>
      <c r="AO61" s="1717"/>
      <c r="AP61" s="1717"/>
      <c r="AQ61" s="1717"/>
      <c r="AR61" s="1717"/>
      <c r="AS61" s="1717"/>
      <c r="AT61" s="1717"/>
      <c r="AU61" s="1717"/>
      <c r="AV61" s="1717"/>
      <c r="AW61" s="1717"/>
      <c r="AX61" s="1717"/>
      <c r="AY61" s="1717"/>
      <c r="AZ61" s="1717"/>
      <c r="BA61" s="1717"/>
      <c r="BB61" s="1717"/>
      <c r="BC61" s="1717"/>
      <c r="BD61" s="1717"/>
      <c r="BE61" s="1717"/>
      <c r="BF61" s="1717"/>
      <c r="BG61" s="1648"/>
    </row>
    <row r="62" spans="1:60" hidden="1" x14ac:dyDescent="0.25">
      <c r="B62" s="1657" t="s">
        <v>1625</v>
      </c>
      <c r="C62" s="1660"/>
      <c r="D62" s="1659"/>
      <c r="E62" s="1660"/>
      <c r="F62" s="1677"/>
      <c r="G62" s="1660"/>
      <c r="H62" s="1660"/>
      <c r="I62" s="1662"/>
      <c r="J62" s="1662"/>
      <c r="K62" s="1662"/>
      <c r="L62" s="1662"/>
      <c r="M62" s="1662"/>
      <c r="N62" s="1662"/>
      <c r="O62" s="1662"/>
      <c r="P62" s="1662"/>
      <c r="Q62" s="1001"/>
      <c r="R62" s="1001"/>
      <c r="S62" s="1718"/>
      <c r="T62" s="1718"/>
      <c r="U62" s="1718"/>
      <c r="V62" s="1718"/>
      <c r="W62" s="1718"/>
      <c r="X62" s="1718"/>
      <c r="Y62" s="1718"/>
      <c r="Z62" s="1718"/>
      <c r="AA62" s="1718"/>
      <c r="AB62" s="1718"/>
      <c r="AC62" s="1718"/>
      <c r="AD62" s="1718"/>
      <c r="AE62" s="1718"/>
      <c r="AF62" s="1718"/>
      <c r="AG62" s="1718"/>
      <c r="AH62" s="1718"/>
      <c r="AI62" s="1718"/>
      <c r="AJ62" s="1718"/>
      <c r="AK62" s="1718"/>
      <c r="AL62" s="1718"/>
      <c r="AM62" s="1718"/>
      <c r="AN62" s="1718"/>
      <c r="AO62" s="1718"/>
      <c r="AP62" s="1718"/>
      <c r="AQ62" s="1718"/>
      <c r="AR62" s="1718"/>
      <c r="AS62" s="1718"/>
      <c r="AT62" s="1718"/>
      <c r="AU62" s="1718"/>
      <c r="AV62" s="1718"/>
      <c r="AW62" s="1718"/>
      <c r="AX62" s="1718"/>
      <c r="AY62" s="1718"/>
      <c r="AZ62" s="1718"/>
      <c r="BA62" s="1718"/>
      <c r="BB62" s="1718"/>
      <c r="BC62" s="1718"/>
      <c r="BD62" s="1718"/>
      <c r="BE62" s="1718"/>
      <c r="BF62" s="1718"/>
      <c r="BG62" s="1001"/>
    </row>
    <row r="63" spans="1:60" hidden="1" x14ac:dyDescent="0.25">
      <c r="B63" s="1615" t="s">
        <v>1612</v>
      </c>
      <c r="C63" s="1660"/>
      <c r="D63" s="1659"/>
      <c r="E63" s="1660"/>
      <c r="F63" s="1677"/>
      <c r="G63" s="1660"/>
      <c r="H63" s="1660"/>
      <c r="I63" s="1662"/>
      <c r="J63" s="1662"/>
      <c r="K63" s="1662"/>
      <c r="L63" s="1662"/>
      <c r="M63" s="1662"/>
      <c r="N63" s="1662"/>
      <c r="O63" s="1662"/>
      <c r="P63" s="1662"/>
      <c r="Q63" s="1001"/>
      <c r="R63" s="1001"/>
      <c r="S63" s="1718"/>
      <c r="T63" s="1718"/>
      <c r="U63" s="1718"/>
      <c r="V63" s="1718"/>
      <c r="W63" s="1718"/>
      <c r="X63" s="1718"/>
      <c r="Y63" s="1718"/>
      <c r="Z63" s="1718"/>
      <c r="AA63" s="1718"/>
      <c r="AB63" s="1718"/>
      <c r="AC63" s="1718"/>
      <c r="AD63" s="1718"/>
      <c r="AE63" s="1718"/>
      <c r="AF63" s="1718"/>
      <c r="AG63" s="1718"/>
      <c r="AH63" s="1718"/>
      <c r="AI63" s="1718"/>
      <c r="AJ63" s="1718"/>
      <c r="AK63" s="1718"/>
      <c r="AL63" s="1718"/>
      <c r="AM63" s="1718"/>
      <c r="AN63" s="1718"/>
      <c r="AO63" s="1718"/>
      <c r="AP63" s="1718"/>
      <c r="AQ63" s="1718"/>
      <c r="AR63" s="1718"/>
      <c r="AS63" s="1718"/>
      <c r="AT63" s="1718"/>
      <c r="AU63" s="1718"/>
      <c r="AV63" s="1718"/>
      <c r="AW63" s="1718"/>
      <c r="AX63" s="1718"/>
      <c r="AY63" s="1718"/>
      <c r="AZ63" s="1718"/>
      <c r="BA63" s="1718"/>
      <c r="BB63" s="1718"/>
      <c r="BC63" s="1718"/>
      <c r="BD63" s="1718"/>
      <c r="BE63" s="1718"/>
      <c r="BF63" s="1718"/>
      <c r="BG63" s="1001"/>
    </row>
    <row r="64" spans="1:60" hidden="1" x14ac:dyDescent="0.25">
      <c r="B64" s="1620" t="s">
        <v>1613</v>
      </c>
      <c r="C64" s="1660"/>
      <c r="D64" s="1659"/>
      <c r="E64" s="1660"/>
      <c r="F64" s="1677"/>
      <c r="G64" s="1660"/>
      <c r="H64" s="1660"/>
      <c r="I64" s="1662"/>
      <c r="J64" s="1662"/>
      <c r="K64" s="1662"/>
      <c r="L64" s="1662"/>
      <c r="M64" s="1662"/>
      <c r="N64" s="1662"/>
      <c r="O64" s="1662"/>
      <c r="P64" s="1662"/>
      <c r="Q64" s="1001"/>
      <c r="R64" s="1001"/>
      <c r="S64" s="1718"/>
      <c r="T64" s="1718"/>
      <c r="U64" s="1718"/>
      <c r="V64" s="1718"/>
      <c r="W64" s="1718"/>
      <c r="X64" s="1718"/>
      <c r="Y64" s="1718"/>
      <c r="Z64" s="1718"/>
      <c r="AA64" s="1718"/>
      <c r="AB64" s="1718"/>
      <c r="AC64" s="1718"/>
      <c r="AD64" s="1718"/>
      <c r="AE64" s="1718"/>
      <c r="AF64" s="1718"/>
      <c r="AG64" s="1718"/>
      <c r="AH64" s="1718"/>
      <c r="AI64" s="1718"/>
      <c r="AJ64" s="1718"/>
      <c r="AK64" s="1718"/>
      <c r="AL64" s="1718"/>
      <c r="AM64" s="1718"/>
      <c r="AN64" s="1718"/>
      <c r="AO64" s="1718"/>
      <c r="AP64" s="1718"/>
      <c r="AQ64" s="1718"/>
      <c r="AR64" s="1718"/>
      <c r="AS64" s="1718"/>
      <c r="AT64" s="1718"/>
      <c r="AU64" s="1718"/>
      <c r="AV64" s="1718"/>
      <c r="AW64" s="1718"/>
      <c r="AX64" s="1718"/>
      <c r="AY64" s="1718"/>
      <c r="AZ64" s="1718"/>
      <c r="BA64" s="1718"/>
      <c r="BB64" s="1718"/>
      <c r="BC64" s="1718"/>
      <c r="BD64" s="1718"/>
      <c r="BE64" s="1718"/>
      <c r="BF64" s="1718"/>
      <c r="BG64" s="1001"/>
    </row>
    <row r="65" spans="1:59" hidden="1" x14ac:dyDescent="0.25">
      <c r="B65" s="1620" t="s">
        <v>1614</v>
      </c>
      <c r="C65" s="1660"/>
      <c r="D65" s="1659"/>
      <c r="E65" s="1660"/>
      <c r="F65" s="1677"/>
      <c r="G65" s="1660"/>
      <c r="H65" s="1660"/>
      <c r="I65" s="1662"/>
      <c r="J65" s="1662"/>
      <c r="K65" s="1662"/>
      <c r="L65" s="1662"/>
      <c r="M65" s="1662"/>
      <c r="N65" s="1662"/>
      <c r="O65" s="1662"/>
      <c r="P65" s="1662"/>
      <c r="Q65" s="1001"/>
      <c r="R65" s="1001"/>
      <c r="S65" s="1718"/>
      <c r="T65" s="1718"/>
      <c r="U65" s="1718"/>
      <c r="V65" s="1718"/>
      <c r="W65" s="1718"/>
      <c r="X65" s="1718"/>
      <c r="Y65" s="1718"/>
      <c r="Z65" s="1718"/>
      <c r="AA65" s="1718"/>
      <c r="AB65" s="1718"/>
      <c r="AC65" s="1718"/>
      <c r="AD65" s="1718"/>
      <c r="AE65" s="1718"/>
      <c r="AF65" s="1718"/>
      <c r="AG65" s="1718"/>
      <c r="AH65" s="1718"/>
      <c r="AI65" s="1718"/>
      <c r="AJ65" s="1718"/>
      <c r="AK65" s="1718"/>
      <c r="AL65" s="1718"/>
      <c r="AM65" s="1718"/>
      <c r="AN65" s="1718"/>
      <c r="AO65" s="1718"/>
      <c r="AP65" s="1718"/>
      <c r="AQ65" s="1718"/>
      <c r="AR65" s="1718"/>
      <c r="AS65" s="1718"/>
      <c r="AT65" s="1718"/>
      <c r="AU65" s="1718"/>
      <c r="AV65" s="1718"/>
      <c r="AW65" s="1718"/>
      <c r="AX65" s="1718"/>
      <c r="AY65" s="1718"/>
      <c r="AZ65" s="1718"/>
      <c r="BA65" s="1718"/>
      <c r="BB65" s="1718"/>
      <c r="BC65" s="1718"/>
      <c r="BD65" s="1718"/>
      <c r="BE65" s="1718"/>
      <c r="BF65" s="1718"/>
      <c r="BG65" s="1001"/>
    </row>
    <row r="66" spans="1:59" s="1597" customFormat="1" hidden="1" x14ac:dyDescent="0.25">
      <c r="A66" s="1592"/>
      <c r="B66" s="1615" t="s">
        <v>1615</v>
      </c>
      <c r="C66" s="1719"/>
      <c r="D66" s="1720"/>
      <c r="E66" s="1719"/>
      <c r="F66" s="1721"/>
      <c r="G66" s="1719"/>
      <c r="H66" s="1719"/>
      <c r="I66" s="1716"/>
      <c r="J66" s="1716"/>
      <c r="K66" s="1716"/>
      <c r="L66" s="1716"/>
      <c r="M66" s="1716"/>
      <c r="N66" s="1716"/>
      <c r="O66" s="1716"/>
      <c r="P66" s="1716"/>
      <c r="Q66" s="1648"/>
      <c r="R66" s="1648"/>
      <c r="S66" s="1717"/>
      <c r="T66" s="1717"/>
      <c r="U66" s="1717"/>
      <c r="V66" s="1717"/>
      <c r="W66" s="1717"/>
      <c r="X66" s="1717"/>
      <c r="Y66" s="1717"/>
      <c r="Z66" s="1717"/>
      <c r="AA66" s="1717"/>
      <c r="AB66" s="1717"/>
      <c r="AC66" s="1717"/>
      <c r="AD66" s="1717"/>
      <c r="AE66" s="1717"/>
      <c r="AF66" s="1717"/>
      <c r="AG66" s="1717"/>
      <c r="AH66" s="1717"/>
      <c r="AI66" s="1717"/>
      <c r="AJ66" s="1717"/>
      <c r="AK66" s="1717"/>
      <c r="AL66" s="1717"/>
      <c r="AM66" s="1717"/>
      <c r="AN66" s="1717"/>
      <c r="AO66" s="1717"/>
      <c r="AP66" s="1717"/>
      <c r="AQ66" s="1717"/>
      <c r="AR66" s="1717"/>
      <c r="AS66" s="1717"/>
      <c r="AT66" s="1717"/>
      <c r="AU66" s="1717"/>
      <c r="AV66" s="1717"/>
      <c r="AW66" s="1717"/>
      <c r="AX66" s="1717"/>
      <c r="AY66" s="1717"/>
      <c r="AZ66" s="1717"/>
      <c r="BA66" s="1717"/>
      <c r="BB66" s="1717"/>
      <c r="BC66" s="1717"/>
      <c r="BD66" s="1717"/>
      <c r="BE66" s="1717"/>
      <c r="BF66" s="1717"/>
      <c r="BG66" s="1648"/>
    </row>
    <row r="67" spans="1:59" s="1597" customFormat="1" hidden="1" x14ac:dyDescent="0.25">
      <c r="A67" s="1592"/>
      <c r="B67" s="1620" t="s">
        <v>1616</v>
      </c>
      <c r="C67" s="1719"/>
      <c r="D67" s="1720"/>
      <c r="E67" s="1719"/>
      <c r="F67" s="1721"/>
      <c r="G67" s="1719"/>
      <c r="H67" s="1719"/>
      <c r="I67" s="1716"/>
      <c r="J67" s="1716"/>
      <c r="K67" s="1716"/>
      <c r="L67" s="1716"/>
      <c r="M67" s="1716"/>
      <c r="N67" s="1716"/>
      <c r="O67" s="1716"/>
      <c r="P67" s="1716"/>
      <c r="Q67" s="1648"/>
      <c r="R67" s="1648"/>
      <c r="S67" s="1717"/>
      <c r="T67" s="1717"/>
      <c r="U67" s="1717"/>
      <c r="V67" s="1717"/>
      <c r="W67" s="1717"/>
      <c r="X67" s="1717"/>
      <c r="Y67" s="1717"/>
      <c r="Z67" s="1717"/>
      <c r="AA67" s="1717"/>
      <c r="AB67" s="1717"/>
      <c r="AC67" s="1717"/>
      <c r="AD67" s="1717"/>
      <c r="AE67" s="1717"/>
      <c r="AF67" s="1717"/>
      <c r="AG67" s="1717"/>
      <c r="AH67" s="1717"/>
      <c r="AI67" s="1717"/>
      <c r="AJ67" s="1717"/>
      <c r="AK67" s="1717"/>
      <c r="AL67" s="1717"/>
      <c r="AM67" s="1717"/>
      <c r="AN67" s="1717"/>
      <c r="AO67" s="1717"/>
      <c r="AP67" s="1717"/>
      <c r="AQ67" s="1717"/>
      <c r="AR67" s="1717"/>
      <c r="AS67" s="1717"/>
      <c r="AT67" s="1717"/>
      <c r="AU67" s="1717"/>
      <c r="AV67" s="1717"/>
      <c r="AW67" s="1717"/>
      <c r="AX67" s="1717"/>
      <c r="AY67" s="1717"/>
      <c r="AZ67" s="1717"/>
      <c r="BA67" s="1717"/>
      <c r="BB67" s="1717"/>
      <c r="BC67" s="1717"/>
      <c r="BD67" s="1717"/>
      <c r="BE67" s="1717"/>
      <c r="BF67" s="1717"/>
      <c r="BG67" s="1648"/>
    </row>
    <row r="68" spans="1:59" s="1597" customFormat="1" hidden="1" x14ac:dyDescent="0.25">
      <c r="A68" s="1592"/>
      <c r="C68" s="1719"/>
      <c r="D68" s="1720"/>
      <c r="E68" s="1719"/>
      <c r="F68" s="1721"/>
      <c r="G68" s="1719"/>
      <c r="H68" s="1719"/>
      <c r="I68" s="1716"/>
      <c r="J68" s="1716"/>
      <c r="K68" s="1716"/>
      <c r="L68" s="1716"/>
      <c r="M68" s="1716"/>
      <c r="N68" s="1716"/>
      <c r="O68" s="1716"/>
      <c r="P68" s="1716"/>
      <c r="Q68" s="1648"/>
      <c r="R68" s="1648"/>
      <c r="S68" s="1717"/>
      <c r="T68" s="1717"/>
      <c r="U68" s="1717"/>
      <c r="V68" s="1717"/>
      <c r="W68" s="1717"/>
      <c r="X68" s="1717"/>
      <c r="Y68" s="1717"/>
      <c r="Z68" s="1717"/>
      <c r="AA68" s="1717"/>
      <c r="AB68" s="1717"/>
      <c r="AC68" s="1717"/>
      <c r="AD68" s="1717"/>
      <c r="AE68" s="1717"/>
      <c r="AF68" s="1717"/>
      <c r="AG68" s="1717"/>
      <c r="AH68" s="1717"/>
      <c r="AI68" s="1717"/>
      <c r="AJ68" s="1717"/>
      <c r="AK68" s="1717"/>
      <c r="AL68" s="1717"/>
      <c r="AM68" s="1717"/>
      <c r="AN68" s="1717"/>
      <c r="AO68" s="1717"/>
      <c r="AP68" s="1717"/>
      <c r="AQ68" s="1717"/>
      <c r="AR68" s="1717"/>
      <c r="AS68" s="1717"/>
      <c r="AT68" s="1717"/>
      <c r="AU68" s="1717"/>
      <c r="AV68" s="1717"/>
      <c r="AW68" s="1717"/>
      <c r="AX68" s="1717"/>
      <c r="AY68" s="1717"/>
      <c r="AZ68" s="1717"/>
      <c r="BA68" s="1717"/>
      <c r="BB68" s="1717"/>
      <c r="BC68" s="1717"/>
      <c r="BD68" s="1717"/>
      <c r="BE68" s="1717"/>
      <c r="BF68" s="1717"/>
      <c r="BG68" s="1648"/>
    </row>
    <row r="69" spans="1:59" hidden="1" x14ac:dyDescent="0.25">
      <c r="B69" s="1657" t="s">
        <v>1634</v>
      </c>
      <c r="C69" s="1660"/>
      <c r="D69" s="1659"/>
      <c r="E69" s="1660"/>
      <c r="F69" s="1677"/>
      <c r="G69" s="1660"/>
      <c r="H69" s="1660"/>
      <c r="I69" s="1662"/>
      <c r="J69" s="1662"/>
      <c r="K69" s="1662"/>
      <c r="L69" s="1662"/>
      <c r="M69" s="1662"/>
      <c r="N69" s="1662"/>
      <c r="O69" s="1662"/>
      <c r="P69" s="1662"/>
      <c r="Q69" s="1001"/>
      <c r="R69" s="1001"/>
      <c r="S69" s="1718"/>
      <c r="T69" s="1718"/>
      <c r="U69" s="1718"/>
      <c r="V69" s="1718"/>
      <c r="W69" s="1718"/>
      <c r="X69" s="1718"/>
      <c r="Y69" s="1718"/>
      <c r="Z69" s="1718"/>
      <c r="AA69" s="1718"/>
      <c r="AB69" s="1718"/>
      <c r="AC69" s="1718"/>
      <c r="AD69" s="1718"/>
      <c r="AE69" s="1718"/>
      <c r="AF69" s="1718"/>
      <c r="AG69" s="1718"/>
      <c r="AH69" s="1718"/>
      <c r="AI69" s="1718"/>
      <c r="AJ69" s="1718"/>
      <c r="AK69" s="1718"/>
      <c r="AL69" s="1718"/>
      <c r="AM69" s="1718"/>
      <c r="AN69" s="1718"/>
      <c r="AO69" s="1718"/>
      <c r="AP69" s="1718"/>
      <c r="AQ69" s="1718"/>
      <c r="AR69" s="1718"/>
      <c r="AS69" s="1718"/>
      <c r="AT69" s="1718"/>
      <c r="AU69" s="1718"/>
      <c r="AV69" s="1718"/>
      <c r="AW69" s="1718"/>
      <c r="AX69" s="1718"/>
      <c r="AY69" s="1718"/>
      <c r="AZ69" s="1718"/>
      <c r="BA69" s="1718"/>
      <c r="BB69" s="1718"/>
      <c r="BC69" s="1718"/>
      <c r="BD69" s="1718"/>
      <c r="BE69" s="1718"/>
      <c r="BF69" s="1718"/>
      <c r="BG69" s="1001"/>
    </row>
    <row r="70" spans="1:59" hidden="1" x14ac:dyDescent="0.25">
      <c r="B70" s="1615" t="s">
        <v>1612</v>
      </c>
      <c r="C70" s="1660"/>
      <c r="D70" s="1659"/>
      <c r="E70" s="1660"/>
      <c r="F70" s="1677"/>
      <c r="G70" s="1660"/>
      <c r="H70" s="1660"/>
      <c r="I70" s="1662"/>
      <c r="J70" s="1662"/>
      <c r="K70" s="1662"/>
      <c r="L70" s="1662"/>
      <c r="M70" s="1662"/>
      <c r="N70" s="1662"/>
      <c r="O70" s="1662"/>
      <c r="P70" s="1662"/>
      <c r="Q70" s="1001"/>
      <c r="R70" s="1001"/>
      <c r="S70" s="1718"/>
      <c r="T70" s="1718"/>
      <c r="U70" s="1718"/>
      <c r="V70" s="1718"/>
      <c r="W70" s="1718"/>
      <c r="X70" s="1718"/>
      <c r="Y70" s="1718"/>
      <c r="Z70" s="1718"/>
      <c r="AA70" s="1718"/>
      <c r="AB70" s="1718"/>
      <c r="AC70" s="1718"/>
      <c r="AD70" s="1718"/>
      <c r="AE70" s="1718"/>
      <c r="AF70" s="1718"/>
      <c r="AG70" s="1718"/>
      <c r="AH70" s="1718"/>
      <c r="AI70" s="1718"/>
      <c r="AJ70" s="1718"/>
      <c r="AK70" s="1718"/>
      <c r="AL70" s="1718"/>
      <c r="AM70" s="1718"/>
      <c r="AN70" s="1718"/>
      <c r="AO70" s="1718"/>
      <c r="AP70" s="1718"/>
      <c r="AQ70" s="1718"/>
      <c r="AR70" s="1718"/>
      <c r="AS70" s="1718"/>
      <c r="AT70" s="1718"/>
      <c r="AU70" s="1718"/>
      <c r="AV70" s="1718"/>
      <c r="AW70" s="1718"/>
      <c r="AX70" s="1718"/>
      <c r="AY70" s="1718"/>
      <c r="AZ70" s="1718"/>
      <c r="BA70" s="1718"/>
      <c r="BB70" s="1718"/>
      <c r="BC70" s="1718"/>
      <c r="BD70" s="1718"/>
      <c r="BE70" s="1718"/>
      <c r="BF70" s="1718"/>
      <c r="BG70" s="1001"/>
    </row>
    <row r="71" spans="1:59" hidden="1" x14ac:dyDescent="0.25">
      <c r="B71" s="1620" t="s">
        <v>1613</v>
      </c>
      <c r="C71" s="1660"/>
      <c r="D71" s="1659"/>
      <c r="E71" s="1660"/>
      <c r="F71" s="1677"/>
      <c r="G71" s="1660"/>
      <c r="H71" s="1660"/>
      <c r="I71" s="1662"/>
      <c r="J71" s="1662"/>
      <c r="K71" s="1662"/>
      <c r="L71" s="1662"/>
      <c r="M71" s="1662"/>
      <c r="N71" s="1662"/>
      <c r="O71" s="1662"/>
      <c r="P71" s="1662"/>
      <c r="Q71" s="1001"/>
      <c r="R71" s="1001"/>
      <c r="S71" s="1718"/>
      <c r="T71" s="1718"/>
      <c r="U71" s="1718"/>
      <c r="V71" s="1718"/>
      <c r="W71" s="1718"/>
      <c r="X71" s="1718"/>
      <c r="Y71" s="1718"/>
      <c r="Z71" s="1718"/>
      <c r="AA71" s="1718"/>
      <c r="AB71" s="1718"/>
      <c r="AC71" s="1718"/>
      <c r="AD71" s="1718"/>
      <c r="AE71" s="1718"/>
      <c r="AF71" s="1718"/>
      <c r="AG71" s="1718"/>
      <c r="AH71" s="1718"/>
      <c r="AI71" s="1718"/>
      <c r="AJ71" s="1718"/>
      <c r="AK71" s="1718"/>
      <c r="AL71" s="1718"/>
      <c r="AM71" s="1718"/>
      <c r="AN71" s="1718"/>
      <c r="AO71" s="1718"/>
      <c r="AP71" s="1718"/>
      <c r="AQ71" s="1718"/>
      <c r="AR71" s="1718"/>
      <c r="AS71" s="1718"/>
      <c r="AT71" s="1718"/>
      <c r="AU71" s="1718"/>
      <c r="AV71" s="1718"/>
      <c r="AW71" s="1718"/>
      <c r="AX71" s="1718"/>
      <c r="AY71" s="1718"/>
      <c r="AZ71" s="1718"/>
      <c r="BA71" s="1718"/>
      <c r="BB71" s="1718"/>
      <c r="BC71" s="1718"/>
      <c r="BD71" s="1718"/>
      <c r="BE71" s="1718"/>
      <c r="BF71" s="1718"/>
      <c r="BG71" s="1001"/>
    </row>
    <row r="72" spans="1:59" hidden="1" x14ac:dyDescent="0.25">
      <c r="B72" s="1620" t="s">
        <v>1614</v>
      </c>
      <c r="C72" s="1660"/>
      <c r="D72" s="1659"/>
      <c r="E72" s="1660"/>
      <c r="F72" s="1677"/>
      <c r="G72" s="1660"/>
      <c r="H72" s="1660"/>
      <c r="I72" s="1662"/>
      <c r="J72" s="1662"/>
      <c r="K72" s="1662"/>
      <c r="L72" s="1662"/>
      <c r="M72" s="1662"/>
      <c r="N72" s="1662"/>
      <c r="O72" s="1662"/>
      <c r="P72" s="1662"/>
      <c r="Q72" s="1001"/>
      <c r="R72" s="1001"/>
      <c r="S72" s="1718"/>
      <c r="T72" s="1718"/>
      <c r="U72" s="1718"/>
      <c r="V72" s="1718"/>
      <c r="W72" s="1718"/>
      <c r="X72" s="1718"/>
      <c r="Y72" s="1718"/>
      <c r="Z72" s="1718"/>
      <c r="AA72" s="1718"/>
      <c r="AB72" s="1718"/>
      <c r="AC72" s="1718"/>
      <c r="AD72" s="1718"/>
      <c r="AE72" s="1718"/>
      <c r="AF72" s="1718"/>
      <c r="AG72" s="1718"/>
      <c r="AH72" s="1718"/>
      <c r="AI72" s="1718"/>
      <c r="AJ72" s="1718"/>
      <c r="AK72" s="1718"/>
      <c r="AL72" s="1718"/>
      <c r="AM72" s="1718"/>
      <c r="AN72" s="1718"/>
      <c r="AO72" s="1718"/>
      <c r="AP72" s="1718"/>
      <c r="AQ72" s="1718"/>
      <c r="AR72" s="1718"/>
      <c r="AS72" s="1718"/>
      <c r="AT72" s="1718"/>
      <c r="AU72" s="1718"/>
      <c r="AV72" s="1718"/>
      <c r="AW72" s="1718"/>
      <c r="AX72" s="1718"/>
      <c r="AY72" s="1718"/>
      <c r="AZ72" s="1718"/>
      <c r="BA72" s="1718"/>
      <c r="BB72" s="1718"/>
      <c r="BC72" s="1718"/>
      <c r="BD72" s="1718"/>
      <c r="BE72" s="1718"/>
      <c r="BF72" s="1718"/>
      <c r="BG72" s="1001"/>
    </row>
    <row r="73" spans="1:59" s="1597" customFormat="1" hidden="1" x14ac:dyDescent="0.25">
      <c r="A73" s="1592"/>
      <c r="B73" s="1615" t="s">
        <v>1615</v>
      </c>
      <c r="C73" s="1719"/>
      <c r="D73" s="1720"/>
      <c r="E73" s="1719"/>
      <c r="F73" s="1721"/>
      <c r="G73" s="1719"/>
      <c r="H73" s="1719"/>
      <c r="I73" s="1716"/>
      <c r="J73" s="1716"/>
      <c r="K73" s="1716"/>
      <c r="L73" s="1716"/>
      <c r="M73" s="1716"/>
      <c r="N73" s="1716"/>
      <c r="O73" s="1716"/>
      <c r="P73" s="1716"/>
      <c r="Q73" s="1648"/>
      <c r="R73" s="1648"/>
      <c r="S73" s="1717"/>
      <c r="T73" s="1717"/>
      <c r="U73" s="1717"/>
      <c r="V73" s="1717"/>
      <c r="W73" s="1717"/>
      <c r="X73" s="1717"/>
      <c r="Y73" s="1717"/>
      <c r="Z73" s="1717"/>
      <c r="AA73" s="1717"/>
      <c r="AB73" s="1717"/>
      <c r="AC73" s="1717"/>
      <c r="AD73" s="1717"/>
      <c r="AE73" s="1717"/>
      <c r="AF73" s="1717"/>
      <c r="AG73" s="1717"/>
      <c r="AH73" s="1717"/>
      <c r="AI73" s="1717"/>
      <c r="AJ73" s="1717"/>
      <c r="AK73" s="1717"/>
      <c r="AL73" s="1717"/>
      <c r="AM73" s="1717"/>
      <c r="AN73" s="1717"/>
      <c r="AO73" s="1717"/>
      <c r="AP73" s="1717"/>
      <c r="AQ73" s="1717"/>
      <c r="AR73" s="1717"/>
      <c r="AS73" s="1717"/>
      <c r="AT73" s="1717"/>
      <c r="AU73" s="1717"/>
      <c r="AV73" s="1717"/>
      <c r="AW73" s="1717"/>
      <c r="AX73" s="1717"/>
      <c r="AY73" s="1717"/>
      <c r="AZ73" s="1717"/>
      <c r="BA73" s="1717"/>
      <c r="BB73" s="1717"/>
      <c r="BC73" s="1717"/>
      <c r="BD73" s="1717"/>
      <c r="BE73" s="1717"/>
      <c r="BF73" s="1717"/>
      <c r="BG73" s="1648"/>
    </row>
    <row r="74" spans="1:59" hidden="1" x14ac:dyDescent="0.25">
      <c r="B74" s="1620" t="s">
        <v>1616</v>
      </c>
      <c r="C74" s="1722"/>
      <c r="D74" s="1723"/>
      <c r="E74" s="1722"/>
      <c r="F74" s="1724"/>
      <c r="G74" s="1722"/>
      <c r="H74" s="1722"/>
      <c r="I74" s="1725"/>
      <c r="J74" s="1725"/>
      <c r="K74" s="1725"/>
      <c r="L74" s="1725"/>
      <c r="M74" s="1725"/>
      <c r="N74" s="1725"/>
      <c r="O74" s="1725"/>
      <c r="P74" s="1725"/>
      <c r="Q74" s="1001"/>
      <c r="R74" s="1001"/>
      <c r="S74" s="1718"/>
      <c r="T74" s="1718"/>
      <c r="U74" s="1718"/>
      <c r="V74" s="1718"/>
      <c r="W74" s="1718"/>
      <c r="X74" s="1718"/>
      <c r="Y74" s="1718"/>
      <c r="Z74" s="1718"/>
      <c r="AA74" s="1718"/>
      <c r="AB74" s="1718"/>
      <c r="AC74" s="1718"/>
      <c r="AD74" s="1718"/>
      <c r="AE74" s="1718"/>
      <c r="AF74" s="1718"/>
      <c r="AG74" s="1718"/>
      <c r="AH74" s="1718"/>
      <c r="AI74" s="1718"/>
      <c r="AJ74" s="1718"/>
      <c r="AK74" s="1718"/>
      <c r="AL74" s="1718"/>
      <c r="AM74" s="1718"/>
      <c r="AN74" s="1718"/>
      <c r="AO74" s="1718"/>
      <c r="AP74" s="1718"/>
      <c r="AQ74" s="1718"/>
      <c r="AR74" s="1718"/>
      <c r="AS74" s="1718"/>
      <c r="AT74" s="1718"/>
      <c r="AU74" s="1718"/>
      <c r="AV74" s="1718"/>
      <c r="AW74" s="1718"/>
      <c r="AX74" s="1718"/>
      <c r="AY74" s="1718"/>
      <c r="AZ74" s="1718"/>
      <c r="BA74" s="1718"/>
      <c r="BB74" s="1718"/>
      <c r="BC74" s="1718"/>
      <c r="BD74" s="1718"/>
      <c r="BE74" s="1718"/>
      <c r="BF74" s="1718"/>
      <c r="BG74" s="1001"/>
    </row>
    <row r="75" spans="1:59" hidden="1" x14ac:dyDescent="0.25">
      <c r="B75" s="1620"/>
      <c r="C75" s="1726"/>
      <c r="D75" s="1727"/>
      <c r="E75" s="1726"/>
      <c r="F75" s="1728"/>
      <c r="G75" s="1726"/>
      <c r="H75" s="1726"/>
      <c r="I75" s="1729"/>
      <c r="J75" s="1729"/>
      <c r="K75" s="1729"/>
      <c r="L75" s="1729"/>
      <c r="M75" s="1729"/>
      <c r="N75" s="1729"/>
      <c r="O75" s="1729"/>
      <c r="P75" s="1729"/>
      <c r="Q75" s="1001"/>
      <c r="R75" s="1001"/>
      <c r="S75" s="1718"/>
      <c r="T75" s="1718"/>
      <c r="U75" s="1718"/>
      <c r="V75" s="1718"/>
      <c r="W75" s="1718"/>
      <c r="X75" s="1718"/>
      <c r="Y75" s="1718"/>
      <c r="Z75" s="1718"/>
      <c r="AA75" s="1718"/>
      <c r="AB75" s="1718"/>
      <c r="AC75" s="1718"/>
      <c r="AD75" s="1718"/>
      <c r="AE75" s="1718"/>
      <c r="AF75" s="1718"/>
      <c r="AG75" s="1718"/>
      <c r="AH75" s="1718"/>
      <c r="AI75" s="1718"/>
      <c r="AJ75" s="1718"/>
      <c r="AK75" s="1718"/>
      <c r="AL75" s="1718"/>
      <c r="AM75" s="1718"/>
      <c r="AN75" s="1718"/>
      <c r="AO75" s="1718"/>
      <c r="AP75" s="1718"/>
      <c r="AQ75" s="1718"/>
      <c r="AR75" s="1718"/>
      <c r="AS75" s="1718"/>
      <c r="AT75" s="1718"/>
      <c r="AU75" s="1718"/>
      <c r="AV75" s="1718"/>
      <c r="AW75" s="1718"/>
      <c r="AX75" s="1718"/>
      <c r="AY75" s="1718"/>
      <c r="AZ75" s="1718"/>
      <c r="BA75" s="1718"/>
      <c r="BB75" s="1718"/>
      <c r="BC75" s="1718"/>
      <c r="BD75" s="1718"/>
      <c r="BE75" s="1718"/>
      <c r="BF75" s="1718"/>
      <c r="BG75" s="1001"/>
    </row>
    <row r="76" spans="1:59" s="1597" customFormat="1" ht="14.4" hidden="1" thickBot="1" x14ac:dyDescent="0.3">
      <c r="A76" s="1592" t="s">
        <v>1635</v>
      </c>
      <c r="B76" s="1644" t="s">
        <v>1636</v>
      </c>
      <c r="C76" s="1730"/>
      <c r="D76" s="1731"/>
      <c r="E76" s="1730"/>
      <c r="F76" s="1732"/>
      <c r="G76" s="1730"/>
      <c r="H76" s="1730"/>
      <c r="I76" s="1733"/>
      <c r="J76" s="1733"/>
      <c r="K76" s="1733"/>
      <c r="L76" s="1733"/>
      <c r="M76" s="1733"/>
      <c r="N76" s="1733"/>
      <c r="O76" s="1733"/>
      <c r="P76" s="1733"/>
      <c r="Q76" s="1645"/>
      <c r="R76" s="1645"/>
      <c r="S76" s="1734"/>
      <c r="T76" s="1734"/>
      <c r="U76" s="1734"/>
      <c r="V76" s="1734"/>
      <c r="W76" s="1734"/>
      <c r="X76" s="1734"/>
      <c r="Y76" s="1734"/>
      <c r="Z76" s="1734"/>
      <c r="AA76" s="1734"/>
      <c r="AB76" s="1734"/>
      <c r="AC76" s="1734"/>
      <c r="AD76" s="1734"/>
      <c r="AE76" s="1734"/>
      <c r="AF76" s="1734"/>
      <c r="AG76" s="1734"/>
      <c r="AH76" s="1734"/>
      <c r="AI76" s="1734"/>
      <c r="AJ76" s="1734"/>
      <c r="AK76" s="1734"/>
      <c r="AL76" s="1734"/>
      <c r="AM76" s="1734"/>
      <c r="AN76" s="1734"/>
      <c r="AO76" s="1734"/>
      <c r="AP76" s="1734"/>
      <c r="AQ76" s="1734"/>
      <c r="AR76" s="1734"/>
      <c r="AS76" s="1734"/>
      <c r="AT76" s="1734"/>
      <c r="AU76" s="1734"/>
      <c r="AV76" s="1734"/>
      <c r="AW76" s="1734"/>
      <c r="AX76" s="1734"/>
      <c r="AY76" s="1734"/>
      <c r="AZ76" s="1734"/>
      <c r="BA76" s="1734"/>
      <c r="BB76" s="1734"/>
      <c r="BC76" s="1734"/>
      <c r="BD76" s="1734"/>
      <c r="BE76" s="1734"/>
      <c r="BF76" s="1734"/>
    </row>
    <row r="77" spans="1:59" hidden="1" x14ac:dyDescent="0.25">
      <c r="B77" s="1593" t="s">
        <v>1637</v>
      </c>
      <c r="C77" s="1709"/>
      <c r="D77" s="1708"/>
      <c r="E77" s="1709"/>
      <c r="F77" s="1710"/>
      <c r="G77" s="1709"/>
      <c r="H77" s="1709"/>
      <c r="I77" s="1735"/>
      <c r="J77" s="1735"/>
      <c r="K77" s="1735"/>
      <c r="L77" s="1735"/>
      <c r="M77" s="1735"/>
      <c r="N77" s="1735"/>
      <c r="O77" s="1735"/>
      <c r="P77" s="1735"/>
      <c r="Q77" s="1001"/>
      <c r="R77" s="1001"/>
      <c r="S77" s="1718"/>
      <c r="T77" s="1718"/>
      <c r="U77" s="1718"/>
      <c r="V77" s="1718"/>
      <c r="W77" s="1718"/>
      <c r="X77" s="1718"/>
      <c r="Y77" s="1718"/>
      <c r="Z77" s="1718"/>
      <c r="AA77" s="1718"/>
      <c r="AB77" s="1718"/>
      <c r="AC77" s="1718"/>
      <c r="AD77" s="1718"/>
      <c r="AE77" s="1718"/>
      <c r="AF77" s="1718"/>
      <c r="AG77" s="1718"/>
      <c r="AH77" s="1718"/>
      <c r="AI77" s="1718"/>
      <c r="AJ77" s="1718"/>
      <c r="AK77" s="1718"/>
      <c r="AL77" s="1718"/>
      <c r="AM77" s="1718"/>
      <c r="AN77" s="1718"/>
      <c r="AO77" s="1718"/>
      <c r="AP77" s="1718"/>
      <c r="AQ77" s="1718"/>
      <c r="AR77" s="1718"/>
      <c r="AS77" s="1718"/>
      <c r="AT77" s="1718"/>
      <c r="AU77" s="1718"/>
      <c r="AV77" s="1718"/>
      <c r="AW77" s="1718"/>
      <c r="AX77" s="1718"/>
      <c r="AY77" s="1718"/>
      <c r="AZ77" s="1718"/>
      <c r="BA77" s="1718"/>
      <c r="BB77" s="1718"/>
      <c r="BC77" s="1718"/>
      <c r="BD77" s="1718"/>
      <c r="BE77" s="1718"/>
      <c r="BF77" s="1718"/>
      <c r="BG77" s="1001"/>
    </row>
    <row r="78" spans="1:59" hidden="1" x14ac:dyDescent="0.25">
      <c r="C78" s="1660"/>
      <c r="D78" s="1659"/>
      <c r="E78" s="1660"/>
      <c r="F78" s="1677"/>
      <c r="G78" s="1660"/>
      <c r="H78" s="1660"/>
      <c r="I78" s="1662"/>
      <c r="J78" s="1662"/>
      <c r="K78" s="1662"/>
      <c r="L78" s="1662"/>
      <c r="M78" s="1662"/>
      <c r="N78" s="1662"/>
      <c r="O78" s="1662"/>
      <c r="P78" s="1662"/>
      <c r="Q78" s="1001"/>
      <c r="R78" s="1001"/>
      <c r="S78" s="1718"/>
      <c r="T78" s="1718"/>
      <c r="U78" s="1718"/>
      <c r="V78" s="1718"/>
      <c r="W78" s="1718"/>
      <c r="X78" s="1718"/>
      <c r="Y78" s="1718"/>
      <c r="Z78" s="1718"/>
      <c r="AA78" s="1718"/>
      <c r="AB78" s="1718"/>
      <c r="AC78" s="1718"/>
      <c r="AD78" s="1718"/>
      <c r="AE78" s="1718"/>
      <c r="AF78" s="1718"/>
      <c r="AG78" s="1718"/>
      <c r="AH78" s="1718"/>
      <c r="AI78" s="1718"/>
      <c r="AJ78" s="1718"/>
      <c r="AK78" s="1718"/>
      <c r="AL78" s="1718"/>
      <c r="AM78" s="1718"/>
      <c r="AN78" s="1718"/>
      <c r="AO78" s="1718"/>
      <c r="AP78" s="1718"/>
      <c r="AQ78" s="1718"/>
      <c r="AR78" s="1718"/>
      <c r="AS78" s="1718"/>
      <c r="AT78" s="1718"/>
      <c r="AU78" s="1718"/>
      <c r="AV78" s="1718"/>
      <c r="AW78" s="1718"/>
      <c r="AX78" s="1718"/>
      <c r="AY78" s="1718"/>
      <c r="AZ78" s="1718"/>
      <c r="BA78" s="1718"/>
      <c r="BB78" s="1718"/>
      <c r="BC78" s="1718"/>
      <c r="BD78" s="1718"/>
      <c r="BE78" s="1718"/>
      <c r="BF78" s="1718"/>
      <c r="BG78" s="1001"/>
    </row>
    <row r="79" spans="1:59" hidden="1" x14ac:dyDescent="0.25">
      <c r="B79" s="1736"/>
      <c r="C79" s="1660"/>
      <c r="D79" s="1659"/>
      <c r="E79" s="1660"/>
      <c r="F79" s="1677"/>
      <c r="G79" s="1660"/>
      <c r="H79" s="1660"/>
      <c r="I79" s="1662"/>
      <c r="J79" s="1662"/>
      <c r="K79" s="1662"/>
      <c r="L79" s="1662"/>
      <c r="M79" s="1662"/>
      <c r="N79" s="1662"/>
      <c r="O79" s="1662"/>
      <c r="P79" s="1662"/>
      <c r="Q79" s="1001"/>
      <c r="R79" s="1001"/>
      <c r="S79" s="1718"/>
      <c r="T79" s="1718"/>
      <c r="U79" s="1718"/>
      <c r="V79" s="1718"/>
      <c r="W79" s="1718"/>
      <c r="X79" s="1718"/>
      <c r="Y79" s="1718"/>
      <c r="Z79" s="1718"/>
      <c r="AA79" s="1718"/>
      <c r="AB79" s="1718"/>
      <c r="AC79" s="1718"/>
      <c r="AD79" s="1718"/>
      <c r="AE79" s="1718"/>
      <c r="AF79" s="1718"/>
      <c r="AG79" s="1718"/>
      <c r="AH79" s="1718"/>
      <c r="AI79" s="1718"/>
      <c r="AJ79" s="1718"/>
      <c r="AK79" s="1718"/>
      <c r="AL79" s="1718"/>
      <c r="AM79" s="1718"/>
      <c r="AN79" s="1718"/>
      <c r="AO79" s="1718"/>
      <c r="AP79" s="1718"/>
      <c r="AQ79" s="1718"/>
      <c r="AR79" s="1718"/>
      <c r="AS79" s="1718"/>
      <c r="AT79" s="1718"/>
      <c r="AU79" s="1718"/>
      <c r="AV79" s="1718"/>
      <c r="AW79" s="1718"/>
      <c r="AX79" s="1718"/>
      <c r="AY79" s="1718"/>
      <c r="AZ79" s="1718"/>
      <c r="BA79" s="1718"/>
      <c r="BB79" s="1718"/>
      <c r="BC79" s="1718"/>
      <c r="BD79" s="1718"/>
      <c r="BE79" s="1718"/>
      <c r="BF79" s="1718"/>
      <c r="BG79" s="1001"/>
    </row>
    <row r="80" spans="1:59" hidden="1" x14ac:dyDescent="0.25">
      <c r="B80" s="1736"/>
      <c r="C80" s="1660"/>
      <c r="D80" s="1659"/>
      <c r="E80" s="1660"/>
      <c r="F80" s="1677"/>
      <c r="G80" s="1660"/>
      <c r="H80" s="1660"/>
      <c r="I80" s="1662"/>
      <c r="J80" s="1662"/>
      <c r="K80" s="1662"/>
      <c r="L80" s="1662"/>
      <c r="M80" s="1662"/>
      <c r="N80" s="1662"/>
      <c r="O80" s="1662"/>
      <c r="P80" s="1662"/>
      <c r="Q80" s="1001"/>
      <c r="R80" s="1001"/>
      <c r="S80" s="1718"/>
      <c r="T80" s="1718"/>
      <c r="U80" s="1718"/>
      <c r="V80" s="1718"/>
      <c r="W80" s="1718"/>
      <c r="X80" s="1718"/>
      <c r="Y80" s="1718"/>
      <c r="Z80" s="1718"/>
      <c r="AA80" s="1718"/>
      <c r="AB80" s="1718"/>
      <c r="AC80" s="1718"/>
      <c r="AD80" s="1718"/>
      <c r="AE80" s="1718"/>
      <c r="AF80" s="1718"/>
      <c r="AG80" s="1718"/>
      <c r="AH80" s="1718"/>
      <c r="AI80" s="1718"/>
      <c r="AJ80" s="1718"/>
      <c r="AK80" s="1718"/>
      <c r="AL80" s="1718"/>
      <c r="AM80" s="1718"/>
      <c r="AN80" s="1718"/>
      <c r="AO80" s="1718"/>
      <c r="AP80" s="1718"/>
      <c r="AQ80" s="1718"/>
      <c r="AR80" s="1718"/>
      <c r="AS80" s="1718"/>
      <c r="AT80" s="1718"/>
      <c r="AU80" s="1718"/>
      <c r="AV80" s="1718"/>
      <c r="AW80" s="1718"/>
      <c r="AX80" s="1718"/>
      <c r="AY80" s="1718"/>
      <c r="AZ80" s="1718"/>
      <c r="BA80" s="1718"/>
      <c r="BB80" s="1718"/>
      <c r="BC80" s="1718"/>
      <c r="BD80" s="1718"/>
      <c r="BE80" s="1718"/>
      <c r="BF80" s="1718"/>
      <c r="BG80" s="1001"/>
    </row>
    <row r="81" spans="1:59" hidden="1" x14ac:dyDescent="0.25">
      <c r="B81" s="1736"/>
      <c r="C81" s="1660"/>
      <c r="D81" s="1659"/>
      <c r="E81" s="1660"/>
      <c r="F81" s="1677"/>
      <c r="G81" s="1660"/>
      <c r="H81" s="1660"/>
      <c r="I81" s="1662"/>
      <c r="J81" s="1662"/>
      <c r="K81" s="1662"/>
      <c r="L81" s="1662"/>
      <c r="M81" s="1662"/>
      <c r="N81" s="1662"/>
      <c r="O81" s="1662"/>
      <c r="P81" s="1662"/>
      <c r="Q81" s="1001"/>
      <c r="R81" s="1001"/>
      <c r="S81" s="1718"/>
      <c r="T81" s="1718"/>
      <c r="U81" s="1718"/>
      <c r="V81" s="1718"/>
      <c r="W81" s="1718"/>
      <c r="X81" s="1718"/>
      <c r="Y81" s="1718"/>
      <c r="Z81" s="1718"/>
      <c r="AA81" s="1718"/>
      <c r="AB81" s="1718"/>
      <c r="AC81" s="1718"/>
      <c r="AD81" s="1718"/>
      <c r="AE81" s="1718"/>
      <c r="AF81" s="1718"/>
      <c r="AG81" s="1718"/>
      <c r="AH81" s="1718"/>
      <c r="AI81" s="1718"/>
      <c r="AJ81" s="1718"/>
      <c r="AK81" s="1718"/>
      <c r="AL81" s="1718"/>
      <c r="AM81" s="1718"/>
      <c r="AN81" s="1718"/>
      <c r="AO81" s="1718"/>
      <c r="AP81" s="1718"/>
      <c r="AQ81" s="1718"/>
      <c r="AR81" s="1718"/>
      <c r="AS81" s="1718"/>
      <c r="AT81" s="1718"/>
      <c r="AU81" s="1718"/>
      <c r="AV81" s="1718"/>
      <c r="AW81" s="1718"/>
      <c r="AX81" s="1718"/>
      <c r="AY81" s="1718"/>
      <c r="AZ81" s="1718"/>
      <c r="BA81" s="1718"/>
      <c r="BB81" s="1718"/>
      <c r="BC81" s="1718"/>
      <c r="BD81" s="1718"/>
      <c r="BE81" s="1718"/>
      <c r="BF81" s="1718"/>
      <c r="BG81" s="1001"/>
    </row>
    <row r="82" spans="1:59" hidden="1" x14ac:dyDescent="0.25">
      <c r="B82" s="1736"/>
      <c r="C82" s="1722"/>
      <c r="D82" s="1723"/>
      <c r="E82" s="1722"/>
      <c r="F82" s="1724"/>
      <c r="G82" s="1722"/>
      <c r="H82" s="1722"/>
      <c r="I82" s="1725"/>
      <c r="J82" s="1725"/>
      <c r="K82" s="1725"/>
      <c r="L82" s="1725"/>
      <c r="M82" s="1725"/>
      <c r="N82" s="1725"/>
      <c r="O82" s="1725"/>
      <c r="P82" s="1725"/>
      <c r="Q82" s="1001"/>
      <c r="R82" s="1001"/>
      <c r="S82" s="1718"/>
      <c r="T82" s="1718"/>
      <c r="U82" s="1718"/>
      <c r="V82" s="1718"/>
      <c r="W82" s="1718"/>
      <c r="X82" s="1718"/>
      <c r="Y82" s="1718"/>
      <c r="Z82" s="1718"/>
      <c r="AA82" s="1718"/>
      <c r="AB82" s="1718"/>
      <c r="AC82" s="1718"/>
      <c r="AD82" s="1718"/>
      <c r="AE82" s="1718"/>
      <c r="AF82" s="1718"/>
      <c r="AG82" s="1718"/>
      <c r="AH82" s="1718"/>
      <c r="AI82" s="1718"/>
      <c r="AJ82" s="1718"/>
      <c r="AK82" s="1718"/>
      <c r="AL82" s="1718"/>
      <c r="AM82" s="1718"/>
      <c r="AN82" s="1718"/>
      <c r="AO82" s="1718"/>
      <c r="AP82" s="1718"/>
      <c r="AQ82" s="1718"/>
      <c r="AR82" s="1718"/>
      <c r="AS82" s="1718"/>
      <c r="AT82" s="1718"/>
      <c r="AU82" s="1718"/>
      <c r="AV82" s="1718"/>
      <c r="AW82" s="1718"/>
      <c r="AX82" s="1718"/>
      <c r="AY82" s="1718"/>
      <c r="AZ82" s="1718"/>
      <c r="BA82" s="1718"/>
      <c r="BB82" s="1718"/>
      <c r="BC82" s="1718"/>
      <c r="BD82" s="1718"/>
      <c r="BE82" s="1718"/>
      <c r="BF82" s="1718"/>
      <c r="BG82" s="1001"/>
    </row>
    <row r="83" spans="1:59" s="1597" customFormat="1" ht="14.4" hidden="1" thickBot="1" x14ac:dyDescent="0.3">
      <c r="A83" s="1592" t="s">
        <v>1638</v>
      </c>
      <c r="B83" s="1644" t="s">
        <v>1639</v>
      </c>
      <c r="C83" s="1737"/>
      <c r="D83" s="1738"/>
      <c r="E83" s="1737"/>
      <c r="F83" s="1739"/>
      <c r="G83" s="1737"/>
      <c r="H83" s="1737"/>
      <c r="I83" s="1740"/>
      <c r="J83" s="1740"/>
      <c r="K83" s="1740"/>
      <c r="L83" s="1740"/>
      <c r="M83" s="1740"/>
      <c r="N83" s="1740"/>
      <c r="O83" s="1740"/>
      <c r="P83" s="1740"/>
      <c r="Q83" s="1645"/>
      <c r="R83" s="1645"/>
      <c r="S83" s="1734"/>
      <c r="T83" s="1734"/>
      <c r="U83" s="1734"/>
      <c r="V83" s="1734"/>
      <c r="W83" s="1734"/>
      <c r="X83" s="1734"/>
      <c r="Y83" s="1734"/>
      <c r="Z83" s="1734"/>
      <c r="AA83" s="1734"/>
      <c r="AB83" s="1734"/>
      <c r="AC83" s="1734"/>
      <c r="AD83" s="1734"/>
      <c r="AE83" s="1734"/>
      <c r="AF83" s="1734"/>
      <c r="AG83" s="1734"/>
      <c r="AH83" s="1734"/>
      <c r="AI83" s="1734"/>
      <c r="AJ83" s="1734"/>
      <c r="AK83" s="1734"/>
      <c r="AL83" s="1734"/>
      <c r="AM83" s="1734"/>
      <c r="AN83" s="1734"/>
      <c r="AO83" s="1734"/>
      <c r="AP83" s="1734"/>
      <c r="AQ83" s="1734"/>
      <c r="AR83" s="1734"/>
      <c r="AS83" s="1734"/>
      <c r="AT83" s="1734"/>
      <c r="AU83" s="1734"/>
      <c r="AV83" s="1734"/>
      <c r="AW83" s="1734"/>
      <c r="AX83" s="1734"/>
      <c r="AY83" s="1734"/>
      <c r="AZ83" s="1734"/>
      <c r="BA83" s="1734"/>
      <c r="BB83" s="1734"/>
      <c r="BC83" s="1734"/>
      <c r="BD83" s="1734"/>
      <c r="BE83" s="1734"/>
      <c r="BF83" s="1734"/>
      <c r="BG83" s="1648"/>
    </row>
    <row r="84" spans="1:59" hidden="1" x14ac:dyDescent="0.25">
      <c r="B84" s="1657" t="s">
        <v>1640</v>
      </c>
      <c r="C84" s="1709"/>
      <c r="D84" s="1708"/>
      <c r="E84" s="1709"/>
      <c r="F84" s="1710"/>
      <c r="G84" s="1709"/>
      <c r="H84" s="1709"/>
      <c r="I84" s="1735"/>
      <c r="J84" s="1735"/>
      <c r="K84" s="1735"/>
      <c r="L84" s="1735"/>
      <c r="M84" s="1735"/>
      <c r="N84" s="1735"/>
      <c r="O84" s="1735"/>
      <c r="P84" s="1735"/>
      <c r="Q84" s="1001"/>
      <c r="R84" s="1001"/>
      <c r="S84" s="1718"/>
      <c r="T84" s="1718"/>
      <c r="U84" s="1718"/>
      <c r="V84" s="1718"/>
      <c r="W84" s="1718"/>
      <c r="X84" s="1718"/>
      <c r="Y84" s="1718"/>
      <c r="Z84" s="1718"/>
      <c r="AA84" s="1718"/>
      <c r="AB84" s="1718"/>
      <c r="AC84" s="1718"/>
      <c r="AD84" s="1718"/>
      <c r="AE84" s="1718"/>
      <c r="AF84" s="1718"/>
      <c r="AG84" s="1718"/>
      <c r="AH84" s="1718"/>
      <c r="AI84" s="1718"/>
      <c r="AJ84" s="1718"/>
      <c r="AK84" s="1718"/>
      <c r="AL84" s="1718"/>
      <c r="AM84" s="1718"/>
      <c r="AN84" s="1718"/>
      <c r="AO84" s="1718"/>
      <c r="AP84" s="1718"/>
      <c r="AQ84" s="1718"/>
      <c r="AR84" s="1718"/>
      <c r="AS84" s="1718"/>
      <c r="AT84" s="1718"/>
      <c r="AU84" s="1718"/>
      <c r="AV84" s="1718"/>
      <c r="AW84" s="1718"/>
      <c r="AX84" s="1718"/>
      <c r="AY84" s="1718"/>
      <c r="AZ84" s="1718"/>
      <c r="BA84" s="1718"/>
      <c r="BB84" s="1718"/>
      <c r="BC84" s="1718"/>
      <c r="BD84" s="1718"/>
      <c r="BE84" s="1718"/>
      <c r="BF84" s="1718"/>
      <c r="BG84" s="1001"/>
    </row>
    <row r="85" spans="1:59" hidden="1" x14ac:dyDescent="0.25">
      <c r="B85" s="1615"/>
      <c r="C85" s="1660"/>
      <c r="D85" s="1659"/>
      <c r="E85" s="1660"/>
      <c r="F85" s="1677"/>
      <c r="G85" s="1660"/>
      <c r="H85" s="1660"/>
      <c r="I85" s="1662"/>
      <c r="J85" s="1662"/>
      <c r="K85" s="1662"/>
      <c r="L85" s="1662"/>
      <c r="M85" s="1662"/>
      <c r="N85" s="1662"/>
      <c r="O85" s="1662"/>
      <c r="P85" s="1662"/>
      <c r="Q85" s="1001"/>
      <c r="R85" s="1001"/>
      <c r="S85" s="1718"/>
      <c r="T85" s="1718"/>
      <c r="U85" s="1718"/>
      <c r="V85" s="1718"/>
      <c r="W85" s="1718"/>
      <c r="X85" s="1718"/>
      <c r="Y85" s="1718"/>
      <c r="Z85" s="1718"/>
      <c r="AA85" s="1718"/>
      <c r="AB85" s="1718"/>
      <c r="AC85" s="1718"/>
      <c r="AD85" s="1718"/>
      <c r="AE85" s="1718"/>
      <c r="AF85" s="1718"/>
      <c r="AG85" s="1718"/>
      <c r="AH85" s="1718"/>
      <c r="AI85" s="1718"/>
      <c r="AJ85" s="1718"/>
      <c r="AK85" s="1718"/>
      <c r="AL85" s="1718"/>
      <c r="AM85" s="1718"/>
      <c r="AN85" s="1718"/>
      <c r="AO85" s="1718"/>
      <c r="AP85" s="1718"/>
      <c r="AQ85" s="1718"/>
      <c r="AR85" s="1718"/>
      <c r="AS85" s="1718"/>
      <c r="AT85" s="1718"/>
      <c r="AU85" s="1718"/>
      <c r="AV85" s="1718"/>
      <c r="AW85" s="1718"/>
      <c r="AX85" s="1718"/>
      <c r="AY85" s="1718"/>
      <c r="AZ85" s="1718"/>
      <c r="BA85" s="1718"/>
      <c r="BB85" s="1718"/>
      <c r="BC85" s="1718"/>
      <c r="BD85" s="1718"/>
      <c r="BE85" s="1718"/>
      <c r="BF85" s="1718"/>
      <c r="BG85" s="1001"/>
    </row>
    <row r="86" spans="1:59" hidden="1" x14ac:dyDescent="0.25">
      <c r="B86" s="1615"/>
      <c r="C86" s="1660"/>
      <c r="D86" s="1659"/>
      <c r="E86" s="1660"/>
      <c r="F86" s="1677"/>
      <c r="G86" s="1660"/>
      <c r="H86" s="1660"/>
      <c r="I86" s="1662"/>
      <c r="J86" s="1662"/>
      <c r="K86" s="1662"/>
      <c r="L86" s="1662"/>
      <c r="M86" s="1662"/>
      <c r="N86" s="1662"/>
      <c r="O86" s="1662"/>
      <c r="P86" s="1662"/>
      <c r="Q86" s="1001"/>
      <c r="R86" s="1001"/>
      <c r="S86" s="1718"/>
      <c r="T86" s="1718"/>
      <c r="U86" s="1718"/>
      <c r="V86" s="1718"/>
      <c r="W86" s="1718"/>
      <c r="X86" s="1718"/>
      <c r="Y86" s="1718"/>
      <c r="Z86" s="1718"/>
      <c r="AA86" s="1718"/>
      <c r="AB86" s="1718"/>
      <c r="AC86" s="1718"/>
      <c r="AD86" s="1718"/>
      <c r="AE86" s="1718"/>
      <c r="AF86" s="1718"/>
      <c r="AG86" s="1718"/>
      <c r="AH86" s="1718"/>
      <c r="AI86" s="1718"/>
      <c r="AJ86" s="1718"/>
      <c r="AK86" s="1718"/>
      <c r="AL86" s="1718"/>
      <c r="AM86" s="1718"/>
      <c r="AN86" s="1718"/>
      <c r="AO86" s="1718"/>
      <c r="AP86" s="1718"/>
      <c r="AQ86" s="1718"/>
      <c r="AR86" s="1718"/>
      <c r="AS86" s="1718"/>
      <c r="AT86" s="1718"/>
      <c r="AU86" s="1718"/>
      <c r="AV86" s="1718"/>
      <c r="AW86" s="1718"/>
      <c r="AX86" s="1718"/>
      <c r="AY86" s="1718"/>
      <c r="AZ86" s="1718"/>
      <c r="BA86" s="1718"/>
      <c r="BB86" s="1718"/>
      <c r="BC86" s="1718"/>
      <c r="BD86" s="1718"/>
      <c r="BE86" s="1718"/>
      <c r="BF86" s="1718"/>
      <c r="BG86" s="1001"/>
    </row>
    <row r="87" spans="1:59" hidden="1" x14ac:dyDescent="0.25">
      <c r="B87" s="1615"/>
      <c r="C87" s="1660"/>
      <c r="D87" s="1659"/>
      <c r="E87" s="1660"/>
      <c r="F87" s="1677"/>
      <c r="G87" s="1660"/>
      <c r="H87" s="1660"/>
      <c r="I87" s="1662"/>
      <c r="J87" s="1662"/>
      <c r="K87" s="1662"/>
      <c r="L87" s="1662"/>
      <c r="M87" s="1662"/>
      <c r="N87" s="1662"/>
      <c r="O87" s="1662"/>
      <c r="P87" s="1662"/>
      <c r="Q87" s="1001"/>
      <c r="R87" s="1001"/>
      <c r="S87" s="1718"/>
      <c r="T87" s="1718"/>
      <c r="U87" s="1718"/>
      <c r="V87" s="1718"/>
      <c r="W87" s="1718"/>
      <c r="X87" s="1718"/>
      <c r="Y87" s="1718"/>
      <c r="Z87" s="1718"/>
      <c r="AA87" s="1718"/>
      <c r="AB87" s="1718"/>
      <c r="AC87" s="1718"/>
      <c r="AD87" s="1718"/>
      <c r="AE87" s="1718"/>
      <c r="AF87" s="1718"/>
      <c r="AG87" s="1718"/>
      <c r="AH87" s="1718"/>
      <c r="AI87" s="1718"/>
      <c r="AJ87" s="1718"/>
      <c r="AK87" s="1718"/>
      <c r="AL87" s="1718"/>
      <c r="AM87" s="1718"/>
      <c r="AN87" s="1718"/>
      <c r="AO87" s="1718"/>
      <c r="AP87" s="1718"/>
      <c r="AQ87" s="1718"/>
      <c r="AR87" s="1718"/>
      <c r="AS87" s="1718"/>
      <c r="AT87" s="1718"/>
      <c r="AU87" s="1718"/>
      <c r="AV87" s="1718"/>
      <c r="AW87" s="1718"/>
      <c r="AX87" s="1718"/>
      <c r="AY87" s="1718"/>
      <c r="AZ87" s="1718"/>
      <c r="BA87" s="1718"/>
      <c r="BB87" s="1718"/>
      <c r="BC87" s="1718"/>
      <c r="BD87" s="1718"/>
      <c r="BE87" s="1718"/>
      <c r="BF87" s="1718"/>
      <c r="BG87" s="1001"/>
    </row>
    <row r="88" spans="1:59" hidden="1" x14ac:dyDescent="0.25">
      <c r="B88" s="1657"/>
      <c r="C88" s="1660"/>
      <c r="D88" s="1659"/>
      <c r="E88" s="1660"/>
      <c r="F88" s="1677"/>
      <c r="G88" s="1660"/>
      <c r="H88" s="1660"/>
      <c r="I88" s="1662"/>
      <c r="J88" s="1662"/>
      <c r="K88" s="1662"/>
      <c r="L88" s="1662"/>
      <c r="M88" s="1662"/>
      <c r="N88" s="1662"/>
      <c r="O88" s="1662"/>
      <c r="P88" s="1662"/>
      <c r="Q88" s="1001"/>
      <c r="R88" s="1001"/>
      <c r="S88" s="1718"/>
      <c r="T88" s="1718"/>
      <c r="U88" s="1718"/>
      <c r="V88" s="1718"/>
      <c r="W88" s="1718"/>
      <c r="X88" s="1718"/>
      <c r="Y88" s="1718"/>
      <c r="Z88" s="1718"/>
      <c r="AA88" s="1718"/>
      <c r="AB88" s="1718"/>
      <c r="AC88" s="1718"/>
      <c r="AD88" s="1718"/>
      <c r="AE88" s="1718"/>
      <c r="AF88" s="1718"/>
      <c r="AG88" s="1718"/>
      <c r="AH88" s="1718"/>
      <c r="AI88" s="1718"/>
      <c r="AJ88" s="1718"/>
      <c r="AK88" s="1718"/>
      <c r="AL88" s="1718"/>
      <c r="AM88" s="1718"/>
      <c r="AN88" s="1718"/>
      <c r="AO88" s="1718"/>
      <c r="AP88" s="1718"/>
      <c r="AQ88" s="1718"/>
      <c r="AR88" s="1718"/>
      <c r="AS88" s="1718"/>
      <c r="AT88" s="1718"/>
      <c r="AU88" s="1718"/>
      <c r="AV88" s="1718"/>
      <c r="AW88" s="1718"/>
      <c r="AX88" s="1718"/>
      <c r="AY88" s="1718"/>
      <c r="AZ88" s="1718"/>
      <c r="BA88" s="1718"/>
      <c r="BB88" s="1718"/>
      <c r="BC88" s="1718"/>
      <c r="BD88" s="1718"/>
      <c r="BE88" s="1718"/>
      <c r="BF88" s="1718"/>
      <c r="BG88" s="1001"/>
    </row>
    <row r="89" spans="1:59" hidden="1" x14ac:dyDescent="0.25">
      <c r="B89" s="1615"/>
      <c r="C89" s="1660"/>
      <c r="D89" s="1659"/>
      <c r="E89" s="1660"/>
      <c r="F89" s="1677"/>
      <c r="G89" s="1660"/>
      <c r="H89" s="1660"/>
      <c r="I89" s="1662"/>
      <c r="J89" s="1662"/>
      <c r="K89" s="1662"/>
      <c r="L89" s="1662"/>
      <c r="M89" s="1662"/>
      <c r="N89" s="1662"/>
      <c r="O89" s="1662"/>
      <c r="P89" s="1662"/>
      <c r="Q89" s="1001"/>
      <c r="R89" s="1001"/>
      <c r="S89" s="1718"/>
      <c r="T89" s="1718"/>
      <c r="U89" s="1718"/>
      <c r="V89" s="1718"/>
      <c r="W89" s="1718"/>
      <c r="X89" s="1718"/>
      <c r="Y89" s="1718"/>
      <c r="Z89" s="1718"/>
      <c r="AA89" s="1718"/>
      <c r="AB89" s="1718"/>
      <c r="AC89" s="1718"/>
      <c r="AD89" s="1718"/>
      <c r="AE89" s="1718"/>
      <c r="AF89" s="1718"/>
      <c r="AG89" s="1718"/>
      <c r="AH89" s="1718"/>
      <c r="AI89" s="1718"/>
      <c r="AJ89" s="1718"/>
      <c r="AK89" s="1718"/>
      <c r="AL89" s="1718"/>
      <c r="AM89" s="1718"/>
      <c r="AN89" s="1718"/>
      <c r="AO89" s="1718"/>
      <c r="AP89" s="1718"/>
      <c r="AQ89" s="1718"/>
      <c r="AR89" s="1718"/>
      <c r="AS89" s="1718"/>
      <c r="AT89" s="1718"/>
      <c r="AU89" s="1718"/>
      <c r="AV89" s="1718"/>
      <c r="AW89" s="1718"/>
      <c r="AX89" s="1718"/>
      <c r="AY89" s="1718"/>
      <c r="AZ89" s="1718"/>
      <c r="BA89" s="1718"/>
      <c r="BB89" s="1718"/>
      <c r="BC89" s="1718"/>
      <c r="BD89" s="1718"/>
      <c r="BE89" s="1718"/>
      <c r="BF89" s="1718"/>
      <c r="BG89" s="1001"/>
    </row>
    <row r="90" spans="1:59" hidden="1" x14ac:dyDescent="0.25">
      <c r="B90" s="1657" t="s">
        <v>1641</v>
      </c>
      <c r="C90" s="1660"/>
      <c r="D90" s="1659"/>
      <c r="E90" s="1660"/>
      <c r="F90" s="1677"/>
      <c r="G90" s="1660"/>
      <c r="H90" s="1660"/>
      <c r="I90" s="1662"/>
      <c r="J90" s="1662"/>
      <c r="K90" s="1662"/>
      <c r="L90" s="1662"/>
      <c r="M90" s="1662"/>
      <c r="N90" s="1662"/>
      <c r="O90" s="1662"/>
      <c r="P90" s="1662"/>
      <c r="Q90" s="1001"/>
      <c r="R90" s="1001"/>
      <c r="S90" s="1718"/>
      <c r="T90" s="1718"/>
      <c r="U90" s="1718"/>
      <c r="V90" s="1718"/>
      <c r="W90" s="1718"/>
      <c r="X90" s="1718"/>
      <c r="Y90" s="1718"/>
      <c r="Z90" s="1718"/>
      <c r="AA90" s="1718"/>
      <c r="AB90" s="1718"/>
      <c r="AC90" s="1718"/>
      <c r="AD90" s="1718"/>
      <c r="AE90" s="1718"/>
      <c r="AF90" s="1718"/>
      <c r="AG90" s="1718"/>
      <c r="AH90" s="1718"/>
      <c r="AI90" s="1718"/>
      <c r="AJ90" s="1718"/>
      <c r="AK90" s="1718"/>
      <c r="AL90" s="1718"/>
      <c r="AM90" s="1718"/>
      <c r="AN90" s="1718"/>
      <c r="AO90" s="1718"/>
      <c r="AP90" s="1718"/>
      <c r="AQ90" s="1718"/>
      <c r="AR90" s="1718"/>
      <c r="AS90" s="1718"/>
      <c r="AT90" s="1718"/>
      <c r="AU90" s="1718"/>
      <c r="AV90" s="1718"/>
      <c r="AW90" s="1718"/>
      <c r="AX90" s="1718"/>
      <c r="AY90" s="1718"/>
      <c r="AZ90" s="1718"/>
      <c r="BA90" s="1718"/>
      <c r="BB90" s="1718"/>
      <c r="BC90" s="1718"/>
      <c r="BD90" s="1718"/>
      <c r="BE90" s="1718"/>
      <c r="BF90" s="1718"/>
      <c r="BG90" s="1001"/>
    </row>
    <row r="91" spans="1:59" hidden="1" x14ac:dyDescent="0.25">
      <c r="B91" s="1736"/>
      <c r="C91" s="1660"/>
      <c r="D91" s="1659"/>
      <c r="E91" s="1660"/>
      <c r="F91" s="1677"/>
      <c r="G91" s="1660"/>
      <c r="H91" s="1660"/>
      <c r="I91" s="1662"/>
      <c r="J91" s="1662"/>
      <c r="K91" s="1662"/>
      <c r="L91" s="1662"/>
      <c r="M91" s="1662"/>
      <c r="N91" s="1662"/>
      <c r="O91" s="1662"/>
      <c r="P91" s="1662"/>
      <c r="Q91" s="1001"/>
      <c r="R91" s="1001"/>
      <c r="S91" s="1718"/>
      <c r="T91" s="1718"/>
      <c r="U91" s="1718"/>
      <c r="V91" s="1718"/>
      <c r="W91" s="1718"/>
      <c r="X91" s="1718"/>
      <c r="Y91" s="1718"/>
      <c r="Z91" s="1718"/>
      <c r="AA91" s="1718"/>
      <c r="AB91" s="1718"/>
      <c r="AC91" s="1718"/>
      <c r="AD91" s="1718"/>
      <c r="AE91" s="1718"/>
      <c r="AF91" s="1718"/>
      <c r="AG91" s="1718"/>
      <c r="AH91" s="1718"/>
      <c r="AI91" s="1718"/>
      <c r="AJ91" s="1718"/>
      <c r="AK91" s="1718"/>
      <c r="AL91" s="1718"/>
      <c r="AM91" s="1718"/>
      <c r="AN91" s="1718"/>
      <c r="AO91" s="1718"/>
      <c r="AP91" s="1718"/>
      <c r="AQ91" s="1718"/>
      <c r="AR91" s="1718"/>
      <c r="AS91" s="1718"/>
      <c r="AT91" s="1718"/>
      <c r="AU91" s="1718"/>
      <c r="AV91" s="1718"/>
      <c r="AW91" s="1718"/>
      <c r="AX91" s="1718"/>
      <c r="AY91" s="1718"/>
      <c r="AZ91" s="1718"/>
      <c r="BA91" s="1718"/>
      <c r="BB91" s="1718"/>
      <c r="BC91" s="1718"/>
      <c r="BD91" s="1718"/>
      <c r="BE91" s="1718"/>
      <c r="BF91" s="1718"/>
      <c r="BG91" s="1001"/>
    </row>
    <row r="92" spans="1:59" s="1742" customFormat="1" hidden="1" x14ac:dyDescent="0.25">
      <c r="A92" s="1741"/>
      <c r="C92" s="1658"/>
      <c r="D92" s="1743"/>
      <c r="E92" s="1658"/>
      <c r="F92" s="1744"/>
      <c r="G92" s="1658"/>
      <c r="H92" s="1658"/>
      <c r="I92" s="1745"/>
      <c r="J92" s="1745"/>
      <c r="K92" s="1745"/>
      <c r="L92" s="1745"/>
      <c r="M92" s="1745"/>
      <c r="N92" s="1745"/>
      <c r="O92" s="1745"/>
      <c r="P92" s="1745"/>
      <c r="Q92" s="1746"/>
      <c r="R92" s="1746"/>
      <c r="S92" s="1747"/>
      <c r="T92" s="1747"/>
      <c r="U92" s="1747"/>
      <c r="V92" s="1747"/>
      <c r="W92" s="1747"/>
      <c r="X92" s="1747"/>
      <c r="Y92" s="1747"/>
      <c r="Z92" s="1747"/>
      <c r="AA92" s="1747"/>
      <c r="AB92" s="1747"/>
      <c r="AC92" s="1747"/>
      <c r="AD92" s="1747"/>
      <c r="AE92" s="1747"/>
      <c r="AF92" s="1747"/>
      <c r="AG92" s="1747"/>
      <c r="AH92" s="1747"/>
      <c r="AI92" s="1747"/>
      <c r="AJ92" s="1747"/>
      <c r="AK92" s="1747"/>
      <c r="AL92" s="1747"/>
      <c r="AM92" s="1747"/>
      <c r="AN92" s="1747"/>
      <c r="AO92" s="1747"/>
      <c r="AP92" s="1747"/>
      <c r="AQ92" s="1747"/>
      <c r="AR92" s="1747"/>
      <c r="AS92" s="1747"/>
      <c r="AT92" s="1747"/>
      <c r="AU92" s="1747"/>
      <c r="AV92" s="1747"/>
      <c r="AW92" s="1747"/>
      <c r="AX92" s="1747"/>
      <c r="AY92" s="1747"/>
      <c r="AZ92" s="1747"/>
      <c r="BA92" s="1747"/>
      <c r="BB92" s="1747"/>
      <c r="BC92" s="1747"/>
      <c r="BD92" s="1747"/>
      <c r="BE92" s="1747"/>
      <c r="BF92" s="1747"/>
      <c r="BG92" s="1746"/>
    </row>
    <row r="93" spans="1:59" s="1742" customFormat="1" hidden="1" x14ac:dyDescent="0.25">
      <c r="A93" s="1741"/>
      <c r="B93" s="1748"/>
      <c r="C93" s="1658"/>
      <c r="D93" s="1743"/>
      <c r="E93" s="1658"/>
      <c r="F93" s="1744"/>
      <c r="G93" s="1658"/>
      <c r="H93" s="1658"/>
      <c r="I93" s="1745"/>
      <c r="J93" s="1745"/>
      <c r="K93" s="1745"/>
      <c r="L93" s="1745"/>
      <c r="M93" s="1745"/>
      <c r="N93" s="1745"/>
      <c r="O93" s="1745"/>
      <c r="P93" s="1745"/>
      <c r="Q93" s="1746"/>
      <c r="R93" s="1746"/>
      <c r="S93" s="1747"/>
      <c r="T93" s="1747"/>
      <c r="U93" s="1747"/>
      <c r="V93" s="1747"/>
      <c r="W93" s="1747"/>
      <c r="X93" s="1747"/>
      <c r="Y93" s="1747"/>
      <c r="Z93" s="1747"/>
      <c r="AA93" s="1747"/>
      <c r="AB93" s="1747"/>
      <c r="AC93" s="1747"/>
      <c r="AD93" s="1747"/>
      <c r="AE93" s="1747"/>
      <c r="AF93" s="1747"/>
      <c r="AG93" s="1747"/>
      <c r="AH93" s="1747"/>
      <c r="AI93" s="1747"/>
      <c r="AJ93" s="1747"/>
      <c r="AK93" s="1747"/>
      <c r="AL93" s="1747"/>
      <c r="AM93" s="1747"/>
      <c r="AN93" s="1747"/>
      <c r="AO93" s="1747"/>
      <c r="AP93" s="1747"/>
      <c r="AQ93" s="1747"/>
      <c r="AR93" s="1747"/>
      <c r="AS93" s="1747"/>
      <c r="AT93" s="1747"/>
      <c r="AU93" s="1747"/>
      <c r="AV93" s="1747"/>
      <c r="AW93" s="1747"/>
      <c r="AX93" s="1747"/>
      <c r="AY93" s="1747"/>
      <c r="AZ93" s="1747"/>
      <c r="BA93" s="1747"/>
      <c r="BB93" s="1747"/>
      <c r="BC93" s="1747"/>
      <c r="BD93" s="1747"/>
      <c r="BE93" s="1747"/>
      <c r="BF93" s="1747"/>
      <c r="BG93" s="1746"/>
    </row>
    <row r="94" spans="1:59" s="1742" customFormat="1" hidden="1" x14ac:dyDescent="0.25">
      <c r="A94" s="1741"/>
      <c r="B94" s="1748"/>
      <c r="C94" s="1658"/>
      <c r="D94" s="1743"/>
      <c r="E94" s="1658"/>
      <c r="F94" s="1744"/>
      <c r="G94" s="1658"/>
      <c r="H94" s="1658"/>
      <c r="I94" s="1745"/>
      <c r="J94" s="1745"/>
      <c r="K94" s="1745"/>
      <c r="L94" s="1745"/>
      <c r="M94" s="1745"/>
      <c r="N94" s="1745"/>
      <c r="O94" s="1745"/>
      <c r="P94" s="1745"/>
      <c r="Q94" s="1746"/>
      <c r="R94" s="1746"/>
      <c r="S94" s="1747"/>
      <c r="T94" s="1747"/>
      <c r="U94" s="1747"/>
      <c r="V94" s="1747"/>
      <c r="W94" s="1747"/>
      <c r="X94" s="1747"/>
      <c r="Y94" s="1747"/>
      <c r="Z94" s="1747"/>
      <c r="AA94" s="1747"/>
      <c r="AB94" s="1747"/>
      <c r="AC94" s="1747"/>
      <c r="AD94" s="1747"/>
      <c r="AE94" s="1747"/>
      <c r="AF94" s="1747"/>
      <c r="AG94" s="1747"/>
      <c r="AH94" s="1747"/>
      <c r="AI94" s="1747"/>
      <c r="AJ94" s="1747"/>
      <c r="AK94" s="1747"/>
      <c r="AL94" s="1747"/>
      <c r="AM94" s="1747"/>
      <c r="AN94" s="1747"/>
      <c r="AO94" s="1747"/>
      <c r="AP94" s="1747"/>
      <c r="AQ94" s="1747"/>
      <c r="AR94" s="1747"/>
      <c r="AS94" s="1747"/>
      <c r="AT94" s="1747"/>
      <c r="AU94" s="1747"/>
      <c r="AV94" s="1747"/>
      <c r="AW94" s="1747"/>
      <c r="AX94" s="1747"/>
      <c r="AY94" s="1747"/>
      <c r="AZ94" s="1747"/>
      <c r="BA94" s="1747"/>
      <c r="BB94" s="1747"/>
      <c r="BC94" s="1747"/>
      <c r="BD94" s="1747"/>
      <c r="BE94" s="1747"/>
      <c r="BF94" s="1747"/>
      <c r="BG94" s="1746"/>
    </row>
    <row r="95" spans="1:59" s="1742" customFormat="1" hidden="1" x14ac:dyDescent="0.25">
      <c r="A95" s="1741"/>
      <c r="B95" s="1748"/>
      <c r="C95" s="1749"/>
      <c r="D95" s="1750"/>
      <c r="E95" s="1749"/>
      <c r="F95" s="1751"/>
      <c r="G95" s="1749"/>
      <c r="H95" s="1749"/>
      <c r="I95" s="1752"/>
      <c r="J95" s="1752"/>
      <c r="K95" s="1752"/>
      <c r="L95" s="1752"/>
      <c r="M95" s="1752"/>
      <c r="N95" s="1752"/>
      <c r="O95" s="1752"/>
      <c r="P95" s="1752"/>
      <c r="Q95" s="1746"/>
      <c r="R95" s="1746"/>
      <c r="S95" s="1747"/>
      <c r="T95" s="1747"/>
      <c r="U95" s="1747"/>
      <c r="V95" s="1747"/>
      <c r="W95" s="1747"/>
      <c r="X95" s="1747"/>
      <c r="Y95" s="1747"/>
      <c r="Z95" s="1747"/>
      <c r="AA95" s="1747"/>
      <c r="AB95" s="1747"/>
      <c r="AC95" s="1747"/>
      <c r="AD95" s="1747"/>
      <c r="AE95" s="1747"/>
      <c r="AF95" s="1747"/>
      <c r="AG95" s="1747"/>
      <c r="AH95" s="1747"/>
      <c r="AI95" s="1747"/>
      <c r="AJ95" s="1747"/>
      <c r="AK95" s="1747"/>
      <c r="AL95" s="1747"/>
      <c r="AM95" s="1747"/>
      <c r="AN95" s="1747"/>
      <c r="AO95" s="1747"/>
      <c r="AP95" s="1747"/>
      <c r="AQ95" s="1747"/>
      <c r="AR95" s="1747"/>
      <c r="AS95" s="1747"/>
      <c r="AT95" s="1747"/>
      <c r="AU95" s="1747"/>
      <c r="AV95" s="1747"/>
      <c r="AW95" s="1747"/>
      <c r="AX95" s="1747"/>
      <c r="AY95" s="1747"/>
      <c r="AZ95" s="1747"/>
      <c r="BA95" s="1747"/>
      <c r="BB95" s="1747"/>
      <c r="BC95" s="1747"/>
      <c r="BD95" s="1747"/>
      <c r="BE95" s="1747"/>
      <c r="BF95" s="1747"/>
      <c r="BG95" s="1746"/>
    </row>
    <row r="96" spans="1:59" s="1597" customFormat="1" hidden="1" x14ac:dyDescent="0.25">
      <c r="A96" s="1592"/>
      <c r="B96" s="1753"/>
      <c r="C96" s="1754"/>
      <c r="D96" s="1755"/>
      <c r="E96" s="1754"/>
      <c r="F96" s="1756"/>
      <c r="G96" s="1754"/>
      <c r="H96" s="1754"/>
      <c r="I96" s="1754"/>
      <c r="J96" s="1754"/>
      <c r="K96" s="1754"/>
      <c r="L96" s="1754"/>
      <c r="M96" s="1754"/>
      <c r="N96" s="1754"/>
      <c r="O96" s="1754"/>
      <c r="P96" s="1754"/>
      <c r="Q96" s="1648"/>
      <c r="R96" s="1754"/>
      <c r="S96" s="1754"/>
      <c r="T96" s="1754"/>
      <c r="U96" s="1754"/>
      <c r="V96" s="1754"/>
      <c r="W96" s="1754"/>
      <c r="X96" s="1754"/>
      <c r="Y96" s="1754"/>
      <c r="Z96" s="1754"/>
      <c r="AA96" s="1754"/>
      <c r="AB96" s="1754"/>
      <c r="AC96" s="1754"/>
      <c r="AD96" s="1754"/>
      <c r="AE96" s="1754"/>
      <c r="AF96" s="1754"/>
      <c r="AG96" s="1754"/>
      <c r="AH96" s="1754"/>
      <c r="AI96" s="1754"/>
      <c r="AJ96" s="1754"/>
      <c r="AK96" s="1754"/>
      <c r="AL96" s="1754"/>
      <c r="AM96" s="1754"/>
      <c r="AN96" s="1754"/>
      <c r="AO96" s="1754"/>
      <c r="AP96" s="1754"/>
      <c r="AQ96" s="1754"/>
      <c r="AR96" s="1754"/>
      <c r="AS96" s="1754"/>
      <c r="AT96" s="1754"/>
      <c r="AU96" s="1754"/>
      <c r="AV96" s="1754"/>
      <c r="AW96" s="1754"/>
      <c r="AX96" s="1754"/>
      <c r="AY96" s="1754"/>
      <c r="AZ96" s="1754"/>
      <c r="BA96" s="1754"/>
      <c r="BB96" s="1754"/>
      <c r="BC96" s="1754"/>
      <c r="BD96" s="1754"/>
      <c r="BE96" s="1754"/>
      <c r="BF96" s="1754"/>
      <c r="BG96" s="1648"/>
    </row>
    <row r="97" spans="1:72" x14ac:dyDescent="0.25">
      <c r="C97" s="1001"/>
      <c r="D97" s="1613"/>
      <c r="E97" s="1001"/>
      <c r="G97" s="1001"/>
      <c r="H97" s="1001"/>
      <c r="I97" s="1001"/>
      <c r="J97" s="1001"/>
      <c r="K97" s="1001"/>
      <c r="L97" s="1001"/>
      <c r="M97" s="1001"/>
      <c r="N97" s="1001"/>
      <c r="O97" s="1001"/>
      <c r="P97" s="1001"/>
      <c r="Q97" s="1001"/>
      <c r="R97" s="1001"/>
      <c r="S97" s="1001"/>
      <c r="T97" s="1001"/>
      <c r="U97" s="1001"/>
      <c r="V97" s="1001"/>
      <c r="W97" s="1001"/>
      <c r="X97" s="1001"/>
      <c r="Y97" s="1001"/>
      <c r="Z97" s="1001"/>
      <c r="AA97" s="1001"/>
      <c r="AB97" s="1001"/>
      <c r="AC97" s="1001"/>
      <c r="AD97" s="1001"/>
      <c r="AE97" s="1001"/>
      <c r="AF97" s="1001"/>
      <c r="AG97" s="1001"/>
      <c r="AH97" s="1001"/>
      <c r="AI97" s="1001"/>
      <c r="AJ97" s="1001"/>
      <c r="AK97" s="1001"/>
      <c r="AL97" s="1001"/>
      <c r="AM97" s="1001"/>
      <c r="AN97" s="1001"/>
      <c r="AO97" s="1001"/>
      <c r="AP97" s="1001"/>
      <c r="AQ97" s="1001"/>
      <c r="AR97" s="1001"/>
      <c r="AS97" s="1001"/>
      <c r="AT97" s="1001"/>
      <c r="AU97" s="1001"/>
      <c r="AV97" s="1001"/>
      <c r="AW97" s="1001"/>
      <c r="AX97" s="1001"/>
      <c r="AY97" s="1001"/>
      <c r="AZ97" s="1001"/>
      <c r="BA97" s="1001"/>
      <c r="BB97" s="1001"/>
      <c r="BC97" s="1001"/>
      <c r="BD97" s="1001"/>
      <c r="BE97" s="1001"/>
      <c r="BF97" s="1001"/>
      <c r="BG97" s="1001"/>
    </row>
    <row r="98" spans="1:72" x14ac:dyDescent="0.25">
      <c r="C98" s="1001"/>
      <c r="D98" s="1613"/>
      <c r="E98" s="1001"/>
      <c r="G98" s="1001"/>
      <c r="H98" s="1001"/>
      <c r="I98" s="1001"/>
      <c r="J98" s="1001"/>
      <c r="K98" s="1001"/>
      <c r="L98" s="1001"/>
      <c r="M98" s="1001"/>
      <c r="N98" s="1001"/>
      <c r="O98" s="1001"/>
      <c r="P98" s="1001"/>
      <c r="Q98" s="1001"/>
      <c r="R98" s="1001"/>
      <c r="S98" s="1001"/>
      <c r="T98" s="1001"/>
      <c r="U98" s="1001"/>
      <c r="V98" s="1001"/>
      <c r="W98" s="1001"/>
      <c r="X98" s="1001"/>
      <c r="Y98" s="1001"/>
      <c r="Z98" s="1001"/>
      <c r="AA98" s="1001"/>
      <c r="AB98" s="1001"/>
      <c r="AC98" s="1001"/>
      <c r="AD98" s="1001"/>
      <c r="AE98" s="1001"/>
      <c r="AF98" s="1001"/>
      <c r="AG98" s="1001"/>
      <c r="AH98" s="1001"/>
      <c r="AI98" s="1001"/>
      <c r="AJ98" s="1001"/>
      <c r="AK98" s="1001"/>
      <c r="AL98" s="1001"/>
      <c r="AM98" s="1001"/>
      <c r="AN98" s="1001"/>
      <c r="AO98" s="1001"/>
      <c r="AP98" s="1001"/>
      <c r="AQ98" s="1001"/>
      <c r="AR98" s="1001"/>
      <c r="AS98" s="1001"/>
      <c r="AT98" s="1001"/>
      <c r="AU98" s="1001"/>
      <c r="AV98" s="1001"/>
      <c r="AW98" s="1001"/>
      <c r="AX98" s="1001"/>
      <c r="AY98" s="1001"/>
      <c r="AZ98" s="1001"/>
      <c r="BA98" s="1001"/>
      <c r="BB98" s="1001"/>
      <c r="BC98" s="1001"/>
      <c r="BD98" s="1001"/>
      <c r="BE98" s="1001"/>
      <c r="BF98" s="1001"/>
      <c r="BG98" s="1001"/>
    </row>
    <row r="99" spans="1:72" x14ac:dyDescent="0.25">
      <c r="B99" s="1612" t="s">
        <v>1642</v>
      </c>
      <c r="C99" s="1001"/>
      <c r="D99" s="1613"/>
      <c r="E99" s="1001"/>
      <c r="G99" s="1001"/>
      <c r="H99" s="1001"/>
      <c r="I99" s="1001"/>
      <c r="J99" s="1001"/>
      <c r="K99" s="1001"/>
      <c r="L99" s="1001"/>
      <c r="M99" s="1001"/>
      <c r="N99" s="1001"/>
      <c r="O99" s="1001"/>
      <c r="P99" s="1001"/>
      <c r="Q99" s="1001"/>
      <c r="R99" s="1001"/>
      <c r="S99" s="1001"/>
      <c r="T99" s="1001"/>
      <c r="U99" s="1001"/>
      <c r="V99" s="1001"/>
      <c r="W99" s="1001"/>
      <c r="X99" s="1001"/>
      <c r="Y99" s="1001"/>
      <c r="Z99" s="1001"/>
      <c r="AA99" s="1001"/>
      <c r="AB99" s="1001"/>
      <c r="AC99" s="1001"/>
      <c r="AD99" s="1001"/>
      <c r="AE99" s="1001"/>
      <c r="AF99" s="1001"/>
      <c r="AG99" s="1001"/>
      <c r="AH99" s="1001"/>
      <c r="AI99" s="1001"/>
      <c r="AJ99" s="1001"/>
      <c r="AK99" s="1001"/>
      <c r="AL99" s="1001"/>
      <c r="AM99" s="1001"/>
      <c r="AN99" s="1001"/>
      <c r="AO99" s="1001"/>
      <c r="AP99" s="1001"/>
      <c r="AQ99" s="1001"/>
      <c r="AR99" s="1001"/>
      <c r="AS99" s="1001"/>
      <c r="AT99" s="1001"/>
      <c r="AU99" s="1001"/>
      <c r="AV99" s="1001"/>
      <c r="AW99" s="1001"/>
      <c r="AX99" s="1001"/>
      <c r="AY99" s="1001"/>
      <c r="AZ99" s="1001"/>
      <c r="BA99" s="1001"/>
      <c r="BB99" s="1001"/>
      <c r="BC99" s="1001"/>
      <c r="BD99" s="1001"/>
      <c r="BE99" s="1001"/>
      <c r="BF99" s="1001"/>
      <c r="BG99" s="1001"/>
    </row>
    <row r="100" spans="1:72" ht="27" customHeight="1" thickBot="1" x14ac:dyDescent="0.3">
      <c r="A100" s="1592">
        <v>1</v>
      </c>
      <c r="B100" s="1644" t="s">
        <v>1643</v>
      </c>
      <c r="C100" s="1757"/>
      <c r="D100" s="1687"/>
      <c r="E100" s="1686"/>
      <c r="F100" s="1688"/>
      <c r="G100" s="1686"/>
      <c r="H100" s="1686"/>
      <c r="I100" s="1686"/>
      <c r="J100" s="1686"/>
      <c r="K100" s="1686"/>
      <c r="L100" s="1686"/>
      <c r="M100" s="1686"/>
      <c r="N100" s="1686"/>
      <c r="O100" s="1686"/>
      <c r="P100" s="1686"/>
      <c r="Q100" s="1001"/>
      <c r="R100" s="1689"/>
      <c r="S100" s="1686"/>
      <c r="T100" s="1686"/>
      <c r="U100" s="1686"/>
      <c r="V100" s="1686"/>
      <c r="W100" s="1686"/>
      <c r="X100" s="1686"/>
      <c r="Y100" s="1686"/>
      <c r="Z100" s="1686"/>
      <c r="AA100" s="1686"/>
      <c r="AB100" s="1686"/>
      <c r="AC100" s="1686"/>
      <c r="AD100" s="1686"/>
      <c r="AE100" s="1686"/>
      <c r="AF100" s="1686"/>
      <c r="AG100" s="1686"/>
      <c r="AH100" s="1686"/>
      <c r="AI100" s="1686"/>
      <c r="AJ100" s="1686"/>
      <c r="AK100" s="1686"/>
      <c r="AL100" s="1686"/>
      <c r="AM100" s="1686"/>
      <c r="AN100" s="1686"/>
      <c r="AO100" s="1686"/>
      <c r="AP100" s="1686"/>
      <c r="AQ100" s="1686"/>
      <c r="AR100" s="1686"/>
      <c r="AS100" s="1686"/>
      <c r="AT100" s="1686"/>
      <c r="AU100" s="1686"/>
      <c r="AV100" s="1686"/>
      <c r="AW100" s="1686"/>
      <c r="AX100" s="1686"/>
      <c r="AY100" s="1686"/>
      <c r="AZ100" s="1686"/>
      <c r="BA100" s="1686"/>
      <c r="BB100" s="1686"/>
      <c r="BC100" s="1686"/>
      <c r="BD100" s="1686"/>
      <c r="BE100" s="1686"/>
      <c r="BF100" s="1686"/>
      <c r="BG100" s="1001"/>
    </row>
    <row r="101" spans="1:72" ht="31.8" customHeight="1" x14ac:dyDescent="0.25">
      <c r="B101" s="1597"/>
      <c r="C101" s="1758" t="s">
        <v>1644</v>
      </c>
      <c r="D101" s="1633">
        <f>AVERAGE('Mảng dược phẩm'!T228+'Mảng dược phẩm'!V228)/'Mảng dược phẩm'!V243*'Mảng dược phẩm'!V242*'Mảng dược phẩm'!T92/1000</f>
        <v>4.7395027497752782</v>
      </c>
      <c r="E101" s="2361" t="s">
        <v>1645</v>
      </c>
      <c r="F101" s="2362"/>
      <c r="G101" s="2362"/>
      <c r="H101" s="2362"/>
      <c r="I101" s="1001"/>
      <c r="J101" s="1001"/>
      <c r="K101" s="1001"/>
      <c r="L101" s="1001"/>
      <c r="M101" s="1001"/>
      <c r="N101" s="1001"/>
      <c r="O101" s="1001"/>
      <c r="P101" s="1001"/>
      <c r="Q101" s="1001"/>
      <c r="R101" s="1759" t="s">
        <v>1646</v>
      </c>
      <c r="S101" s="1693"/>
      <c r="T101" s="1693"/>
      <c r="U101" s="1693"/>
      <c r="V101" s="1693"/>
      <c r="W101" s="1693"/>
      <c r="X101" s="1693"/>
      <c r="Y101" s="1693"/>
      <c r="Z101" s="1693"/>
      <c r="AA101" s="1693"/>
      <c r="AB101" s="1001"/>
      <c r="AC101" s="1001"/>
      <c r="AD101" s="1001"/>
      <c r="AE101" s="1001"/>
      <c r="AF101" s="1001"/>
      <c r="AG101" s="1001"/>
      <c r="AH101" s="1001"/>
      <c r="AI101" s="1001"/>
      <c r="AJ101" s="1001"/>
      <c r="AK101" s="1001"/>
      <c r="AL101" s="1001"/>
      <c r="AM101" s="1001"/>
      <c r="AN101" s="1001"/>
      <c r="AO101" s="1001"/>
      <c r="AP101" s="1001"/>
      <c r="AQ101" s="1001"/>
      <c r="AR101" s="1001"/>
      <c r="AS101" s="1001"/>
      <c r="AT101" s="1001"/>
      <c r="AU101" s="1001"/>
      <c r="AV101" s="1001"/>
      <c r="AW101" s="1001"/>
      <c r="AX101" s="1001"/>
      <c r="AY101" s="1001"/>
      <c r="AZ101" s="1001"/>
      <c r="BA101" s="1001"/>
      <c r="BB101" s="1001"/>
      <c r="BC101" s="1001"/>
      <c r="BD101" s="1001"/>
      <c r="BE101" s="1001"/>
      <c r="BF101" s="1001"/>
      <c r="BG101" s="1001"/>
    </row>
    <row r="102" spans="1:72" ht="21.6" customHeight="1" x14ac:dyDescent="0.25">
      <c r="B102" s="1597"/>
      <c r="C102" s="1758" t="s">
        <v>1647</v>
      </c>
      <c r="D102" s="1633">
        <f>AVERAGE('Mảng dược phẩm'!T229+'Mảng dược phẩm'!V229)/'Mảng dược phẩm'!V243*'Mảng dược phẩm'!V242*'Mảng dược phẩm'!T93/1000</f>
        <v>885.36974684104405</v>
      </c>
      <c r="E102" s="2363"/>
      <c r="F102" s="2363"/>
      <c r="G102" s="2363"/>
      <c r="H102" s="2363"/>
      <c r="I102" s="1001"/>
      <c r="J102" s="1001"/>
      <c r="K102" s="1001"/>
      <c r="L102" s="1001"/>
      <c r="M102" s="1001"/>
      <c r="N102" s="1001"/>
      <c r="O102" s="1001"/>
      <c r="P102" s="1001"/>
      <c r="Q102" s="1001"/>
      <c r="R102" s="1597" t="s">
        <v>1648</v>
      </c>
      <c r="S102" s="1001"/>
      <c r="T102" s="1001"/>
      <c r="U102" s="1760">
        <f>65.7%*350</f>
        <v>229.95000000000002</v>
      </c>
      <c r="V102" s="1001"/>
      <c r="W102" s="1648"/>
      <c r="X102" s="1001"/>
      <c r="Y102" s="1001"/>
      <c r="Z102" s="1001"/>
      <c r="AA102" s="1633"/>
      <c r="AB102" s="1001"/>
      <c r="AC102" s="1001"/>
      <c r="AD102" s="1001"/>
      <c r="AE102" s="1001"/>
      <c r="AF102" s="1001"/>
      <c r="AG102" s="1001"/>
      <c r="AH102" s="1001"/>
      <c r="AI102" s="1001"/>
      <c r="AJ102" s="1001"/>
      <c r="AK102" s="1001"/>
      <c r="AL102" s="1001"/>
      <c r="AM102" s="1001"/>
      <c r="AN102" s="1001"/>
      <c r="AO102" s="1001"/>
      <c r="AP102" s="1001"/>
      <c r="AQ102" s="1001"/>
      <c r="AR102" s="1001"/>
      <c r="AS102" s="1001"/>
      <c r="AT102" s="1001"/>
      <c r="AU102" s="1001"/>
      <c r="AV102" s="1001"/>
      <c r="AW102" s="1001"/>
      <c r="AX102" s="1001"/>
      <c r="AY102" s="1001"/>
      <c r="AZ102" s="1001"/>
      <c r="BA102" s="1001"/>
      <c r="BB102" s="1001"/>
      <c r="BC102" s="1001"/>
      <c r="BD102" s="1001"/>
      <c r="BE102" s="1001"/>
      <c r="BF102" s="1001"/>
      <c r="BG102" s="1001"/>
    </row>
    <row r="103" spans="1:72" x14ac:dyDescent="0.25">
      <c r="B103" s="1597"/>
      <c r="C103" s="1758" t="s">
        <v>1649</v>
      </c>
      <c r="D103" s="1633">
        <f>AVERAGE('Mảng dược phẩm'!T230+'Mảng dược phẩm'!W230)/'Mảng dược phẩm'!W243*'Mảng dược phẩm'!W242*'Mảng dược phẩm'!T94/1000</f>
        <v>100.84771886949395</v>
      </c>
      <c r="E103" s="1001"/>
      <c r="G103" s="1001"/>
      <c r="H103" s="1001"/>
      <c r="I103" s="1001"/>
      <c r="J103" s="1001"/>
      <c r="K103" s="1001"/>
      <c r="L103" s="1001"/>
      <c r="M103" s="1001"/>
      <c r="N103" s="1001"/>
      <c r="O103" s="1001"/>
      <c r="P103" s="1001"/>
      <c r="Q103" s="1001"/>
      <c r="R103" s="1597" t="s">
        <v>1650</v>
      </c>
      <c r="S103" s="1648"/>
      <c r="T103" s="1001"/>
      <c r="U103" s="1760">
        <f>0.4*530*D104</f>
        <v>21.57481816142953</v>
      </c>
      <c r="V103" s="1001"/>
      <c r="W103" s="1001"/>
      <c r="X103" s="1001"/>
      <c r="Y103" s="1001"/>
      <c r="Z103" s="1001"/>
      <c r="AA103" s="1001"/>
      <c r="AB103" s="1001"/>
      <c r="AC103" s="1001"/>
      <c r="AD103" s="1001"/>
      <c r="AE103" s="1001"/>
      <c r="AF103" s="1001"/>
      <c r="AG103" s="1001"/>
      <c r="AH103" s="1001"/>
      <c r="AI103" s="1001"/>
      <c r="AJ103" s="1001"/>
      <c r="AK103" s="1001"/>
      <c r="AL103" s="1001"/>
      <c r="AM103" s="1001"/>
      <c r="AN103" s="1001"/>
      <c r="AO103" s="1001"/>
      <c r="AP103" s="1001"/>
      <c r="AQ103" s="1001"/>
      <c r="AR103" s="1001"/>
      <c r="AS103" s="1001"/>
      <c r="AT103" s="1001"/>
      <c r="AU103" s="1001"/>
      <c r="AV103" s="1001"/>
      <c r="AW103" s="1001"/>
      <c r="AX103" s="1001"/>
      <c r="AY103" s="1001"/>
      <c r="AZ103" s="1001"/>
      <c r="BA103" s="1001"/>
      <c r="BB103" s="1001"/>
      <c r="BC103" s="1001"/>
      <c r="BD103" s="1001"/>
      <c r="BE103" s="1001"/>
      <c r="BF103" s="1001"/>
      <c r="BG103" s="1001"/>
    </row>
    <row r="104" spans="1:72" x14ac:dyDescent="0.25">
      <c r="B104" s="1597"/>
      <c r="C104" s="1648" t="s">
        <v>1651</v>
      </c>
      <c r="D104" s="1761">
        <f>D103/SUM(D101:D103)</f>
        <v>0.10176801019542231</v>
      </c>
      <c r="E104" s="1001"/>
      <c r="F104" s="1760"/>
      <c r="G104" s="1001"/>
      <c r="H104" s="1001"/>
      <c r="I104" s="1001"/>
      <c r="J104" s="1001"/>
      <c r="K104" s="1001"/>
      <c r="L104" s="1001"/>
      <c r="M104" s="1001"/>
      <c r="N104" s="1001"/>
      <c r="O104" s="1001"/>
      <c r="P104" s="1001"/>
      <c r="Q104" s="1001"/>
      <c r="R104" s="1597" t="s">
        <v>1652</v>
      </c>
      <c r="S104" s="1648"/>
      <c r="T104" s="1001"/>
      <c r="U104" s="1633">
        <f>34.3%*350*0.7</f>
        <v>84.034999999999982</v>
      </c>
      <c r="V104" s="1001"/>
      <c r="W104" s="1001"/>
      <c r="X104" s="1001"/>
      <c r="Y104" s="1001"/>
      <c r="Z104" s="1001"/>
      <c r="AA104" s="1001"/>
      <c r="AB104" s="1001"/>
      <c r="AC104" s="1001"/>
      <c r="AD104" s="1001"/>
      <c r="AE104" s="1001"/>
      <c r="AF104" s="1001"/>
      <c r="AG104" s="1001"/>
      <c r="AH104" s="1001"/>
      <c r="AI104" s="1001"/>
      <c r="AJ104" s="1001"/>
      <c r="AK104" s="1001"/>
      <c r="AL104" s="1001"/>
      <c r="AM104" s="1001"/>
      <c r="AN104" s="1001"/>
      <c r="AO104" s="1001"/>
      <c r="AP104" s="1001"/>
      <c r="AQ104" s="1001"/>
      <c r="AR104" s="1001"/>
      <c r="AS104" s="1001"/>
      <c r="AT104" s="1001"/>
      <c r="AU104" s="1001"/>
      <c r="AV104" s="1001"/>
      <c r="AW104" s="1001"/>
      <c r="AX104" s="1001"/>
      <c r="AY104" s="1001"/>
      <c r="AZ104" s="1001"/>
      <c r="BA104" s="1001"/>
      <c r="BB104" s="1001"/>
      <c r="BC104" s="1001"/>
      <c r="BD104" s="1001"/>
      <c r="BE104" s="1001"/>
      <c r="BF104" s="1001"/>
      <c r="BG104" s="1001"/>
    </row>
    <row r="105" spans="1:72" x14ac:dyDescent="0.25">
      <c r="B105" s="1597"/>
      <c r="C105" s="1648" t="s">
        <v>1653</v>
      </c>
      <c r="D105" s="1760">
        <f>0.6*530</f>
        <v>318</v>
      </c>
      <c r="E105" s="1001"/>
      <c r="F105" s="1760"/>
      <c r="G105" s="1001"/>
      <c r="H105" s="1001"/>
      <c r="I105" s="1001"/>
      <c r="J105" s="1001"/>
      <c r="K105" s="1001"/>
      <c r="L105" s="1001"/>
      <c r="M105" s="1001"/>
      <c r="N105" s="1001"/>
      <c r="O105" s="1001"/>
      <c r="P105" s="1001"/>
      <c r="Q105" s="1001"/>
      <c r="R105" s="1597" t="s">
        <v>1654</v>
      </c>
      <c r="S105" s="1001"/>
      <c r="T105" s="1001"/>
      <c r="U105" s="1633">
        <f>U103+U104</f>
        <v>105.60981816142952</v>
      </c>
      <c r="V105" s="1001"/>
      <c r="W105" s="1001"/>
      <c r="X105" s="1001"/>
      <c r="Y105" s="1001"/>
      <c r="Z105" s="1001"/>
      <c r="AA105" s="1001"/>
      <c r="AB105" s="1001"/>
      <c r="AC105" s="1001"/>
      <c r="AD105" s="1001"/>
      <c r="AE105" s="1001"/>
      <c r="AF105" s="1001"/>
      <c r="AG105" s="1001"/>
      <c r="AH105" s="1001"/>
      <c r="AI105" s="1001"/>
      <c r="AJ105" s="1001"/>
      <c r="AK105" s="1001"/>
      <c r="AL105" s="1001"/>
      <c r="AM105" s="1001"/>
      <c r="AN105" s="1001"/>
      <c r="AO105" s="1001"/>
      <c r="AP105" s="1001"/>
      <c r="AQ105" s="1001"/>
      <c r="AR105" s="1001"/>
      <c r="AS105" s="1001"/>
      <c r="AT105" s="1001"/>
      <c r="AU105" s="1001"/>
      <c r="AV105" s="1001"/>
      <c r="AW105" s="1001"/>
      <c r="AX105" s="1001"/>
      <c r="AY105" s="1001"/>
      <c r="AZ105" s="1001"/>
      <c r="BA105" s="1001"/>
      <c r="BB105" s="1001"/>
      <c r="BC105" s="1001"/>
      <c r="BD105" s="1001"/>
      <c r="BE105" s="1001"/>
      <c r="BF105" s="1001"/>
      <c r="BG105" s="1001"/>
    </row>
    <row r="106" spans="1:72" x14ac:dyDescent="0.25">
      <c r="B106" s="1597"/>
      <c r="C106" s="1648"/>
      <c r="D106" s="1760"/>
      <c r="E106" s="1001"/>
      <c r="F106" s="1760"/>
      <c r="G106" s="1001"/>
      <c r="H106" s="1001"/>
      <c r="I106" s="1001"/>
      <c r="J106" s="1001"/>
      <c r="K106" s="1001"/>
      <c r="L106" s="1001"/>
      <c r="M106" s="1001"/>
      <c r="N106" s="1001"/>
      <c r="O106" s="1001"/>
      <c r="P106" s="1001"/>
      <c r="Q106" s="1001"/>
      <c r="R106" s="1597"/>
      <c r="S106" s="1001"/>
      <c r="T106" s="1001"/>
      <c r="U106" s="1633"/>
      <c r="V106" s="1001"/>
      <c r="W106" s="1001"/>
      <c r="X106" s="1001"/>
      <c r="Y106" s="1001"/>
      <c r="Z106" s="1001"/>
      <c r="AA106" s="1001"/>
      <c r="AB106" s="1001"/>
      <c r="AC106" s="1001"/>
      <c r="AD106" s="1001"/>
      <c r="AE106" s="1001"/>
      <c r="AF106" s="1001"/>
      <c r="AG106" s="1001"/>
      <c r="AH106" s="1001"/>
      <c r="AI106" s="1001"/>
      <c r="AJ106" s="1001"/>
      <c r="AK106" s="1001"/>
      <c r="AL106" s="1001"/>
      <c r="AM106" s="1001"/>
      <c r="AN106" s="1001"/>
      <c r="AO106" s="1001"/>
      <c r="AP106" s="1001"/>
      <c r="AQ106" s="1001"/>
      <c r="AR106" s="1001"/>
      <c r="AS106" s="1001"/>
      <c r="AT106" s="1001"/>
      <c r="AU106" s="1001"/>
      <c r="AV106" s="1001"/>
      <c r="AW106" s="1001"/>
      <c r="AX106" s="1001"/>
      <c r="AY106" s="1001"/>
      <c r="AZ106" s="1001"/>
      <c r="BA106" s="1001"/>
      <c r="BB106" s="1001"/>
      <c r="BC106" s="1001"/>
      <c r="BD106" s="1001"/>
      <c r="BE106" s="1001"/>
      <c r="BF106" s="1001"/>
      <c r="BG106" s="1001"/>
    </row>
    <row r="107" spans="1:72" x14ac:dyDescent="0.25">
      <c r="B107" s="1597"/>
      <c r="C107" s="1648"/>
      <c r="D107" s="1760"/>
      <c r="E107" s="1001"/>
      <c r="F107" s="1760"/>
      <c r="G107" s="1001"/>
      <c r="H107" s="1001"/>
      <c r="I107" s="1001"/>
      <c r="J107" s="1001"/>
      <c r="K107" s="1001"/>
      <c r="L107" s="1001"/>
      <c r="M107" s="1001"/>
      <c r="N107" s="1001"/>
      <c r="O107" s="1001"/>
      <c r="P107" s="1001"/>
      <c r="Q107" s="1001">
        <f>C109+U105</f>
        <v>298.93704540357379</v>
      </c>
      <c r="R107" s="1597"/>
      <c r="S107" s="1001"/>
      <c r="T107" s="1001"/>
      <c r="U107" s="1633"/>
      <c r="V107" s="1001"/>
      <c r="W107" s="1001"/>
      <c r="X107" s="1001"/>
      <c r="Y107" s="1001"/>
      <c r="Z107" s="1001"/>
      <c r="AA107" s="1001"/>
      <c r="AB107" s="1001"/>
      <c r="AC107" s="1001"/>
      <c r="AD107" s="1001"/>
      <c r="AE107" s="1001"/>
      <c r="AF107" s="1001"/>
      <c r="AG107" s="1001"/>
      <c r="AH107" s="1001"/>
      <c r="AI107" s="1001"/>
      <c r="AJ107" s="1001"/>
      <c r="AK107" s="1001"/>
      <c r="AL107" s="1001"/>
      <c r="AM107" s="1001"/>
      <c r="AN107" s="1001"/>
      <c r="AO107" s="1001"/>
      <c r="AP107" s="1001"/>
      <c r="AQ107" s="1001"/>
      <c r="AR107" s="1001"/>
      <c r="AS107" s="1001"/>
      <c r="AT107" s="1001"/>
      <c r="AU107" s="1001"/>
      <c r="AV107" s="1001"/>
      <c r="AW107" s="1001"/>
      <c r="AX107" s="1001"/>
      <c r="AY107" s="1001"/>
      <c r="AZ107" s="1001"/>
      <c r="BA107" s="1001"/>
      <c r="BB107" s="1001"/>
      <c r="BC107" s="1001"/>
      <c r="BD107" s="1001"/>
      <c r="BE107" s="1001"/>
      <c r="BF107" s="1001"/>
      <c r="BG107" s="1001"/>
    </row>
    <row r="108" spans="1:72" x14ac:dyDescent="0.25">
      <c r="A108" s="1592" t="s">
        <v>1655</v>
      </c>
      <c r="B108" s="1653" t="s">
        <v>1624</v>
      </c>
      <c r="D108" s="1593"/>
      <c r="E108" s="1762"/>
      <c r="F108" s="1763"/>
      <c r="G108" s="1762"/>
      <c r="H108" s="1762"/>
      <c r="I108" s="1762"/>
      <c r="J108" s="1762"/>
      <c r="K108" s="1762"/>
      <c r="L108" s="1762"/>
      <c r="M108" s="1762"/>
      <c r="N108" s="1762"/>
      <c r="O108" s="1762"/>
      <c r="P108" s="1762"/>
      <c r="Q108" s="1001"/>
      <c r="R108" s="1648"/>
      <c r="S108" s="1001"/>
      <c r="T108" s="1001"/>
      <c r="U108" s="1633"/>
      <c r="V108" s="1001"/>
      <c r="W108" s="1001"/>
      <c r="X108" s="1001"/>
      <c r="Y108" s="1001"/>
      <c r="Z108" s="1001"/>
      <c r="AA108" s="1001"/>
      <c r="AB108" s="1001"/>
      <c r="AC108" s="1001"/>
      <c r="AD108" s="1001"/>
      <c r="AE108" s="1001"/>
      <c r="AF108" s="1001"/>
      <c r="AG108" s="1001"/>
      <c r="AH108" s="1001"/>
      <c r="AI108" s="1001"/>
      <c r="AJ108" s="1001"/>
      <c r="AK108" s="1001"/>
      <c r="AL108" s="1001"/>
      <c r="AM108" s="1001"/>
      <c r="AN108" s="1001"/>
      <c r="AO108" s="1001"/>
      <c r="AP108" s="1001"/>
      <c r="AQ108" s="1001"/>
      <c r="AR108" s="1001"/>
      <c r="AS108" s="1001"/>
      <c r="AT108" s="1001"/>
      <c r="AU108" s="1001"/>
      <c r="AV108" s="1001"/>
      <c r="AW108" s="1001"/>
      <c r="AX108" s="1001"/>
      <c r="AY108" s="1001"/>
      <c r="AZ108" s="1001"/>
      <c r="BA108" s="1001"/>
      <c r="BB108" s="1001"/>
      <c r="BC108" s="1001"/>
      <c r="BD108" s="1001"/>
      <c r="BE108" s="1001"/>
      <c r="BF108" s="1001"/>
      <c r="BG108" s="1001"/>
    </row>
    <row r="109" spans="1:72" x14ac:dyDescent="0.25">
      <c r="B109" s="1657" t="s">
        <v>1656</v>
      </c>
      <c r="C109" s="1764">
        <f>D104*D105+U102*0.7</f>
        <v>193.32722724214429</v>
      </c>
      <c r="D109" s="1765">
        <v>44713</v>
      </c>
      <c r="E109" s="1766">
        <v>60</v>
      </c>
      <c r="F109" s="1767">
        <f>R58</f>
        <v>7.0000000000000007E-2</v>
      </c>
      <c r="G109" s="1660" t="s">
        <v>1626</v>
      </c>
      <c r="H109" s="1660">
        <v>0.5</v>
      </c>
      <c r="I109" s="1662"/>
      <c r="J109" s="1662"/>
      <c r="K109" s="1662"/>
      <c r="L109" s="1662"/>
      <c r="M109" s="1662"/>
      <c r="N109" s="1662"/>
      <c r="O109" s="1662"/>
      <c r="P109" s="1662"/>
      <c r="Q109" s="1001"/>
      <c r="R109" s="1001"/>
      <c r="S109" s="1001"/>
      <c r="T109" s="1001"/>
      <c r="U109" s="1001"/>
      <c r="V109" s="1001"/>
      <c r="W109" s="1001"/>
      <c r="X109" s="1001"/>
      <c r="Y109" s="1001"/>
      <c r="Z109" s="1001"/>
      <c r="AA109" s="1001"/>
      <c r="AB109" s="1001"/>
      <c r="AC109" s="1001"/>
      <c r="AD109" s="1001"/>
      <c r="AE109" s="1001"/>
      <c r="AF109" s="1001"/>
      <c r="AG109" s="1001"/>
      <c r="AH109" s="1001"/>
      <c r="AI109" s="1001"/>
      <c r="AJ109" s="1001"/>
      <c r="AK109" s="1001"/>
      <c r="AL109" s="1001"/>
      <c r="AM109" s="1001"/>
      <c r="AN109" s="1001"/>
      <c r="AO109" s="1001"/>
      <c r="AP109" s="1001"/>
      <c r="AQ109" s="1001"/>
      <c r="AR109" s="1001"/>
      <c r="AS109" s="1001"/>
      <c r="AT109" s="1001"/>
      <c r="AU109" s="1001"/>
      <c r="AV109" s="1001"/>
      <c r="AW109" s="1001"/>
      <c r="AX109" s="1001"/>
      <c r="AY109" s="1001"/>
      <c r="AZ109" s="1001"/>
      <c r="BA109" s="1001"/>
      <c r="BB109" s="1001"/>
      <c r="BC109" s="1001"/>
      <c r="BD109" s="1001"/>
      <c r="BE109" s="1001"/>
      <c r="BF109" s="1001"/>
      <c r="BG109" s="1001"/>
      <c r="BH109" s="1759" t="s">
        <v>1657</v>
      </c>
      <c r="BI109" s="1759"/>
      <c r="BJ109" s="1759"/>
      <c r="BK109" s="1759"/>
      <c r="BL109" s="1759"/>
      <c r="BM109" s="1759"/>
      <c r="BN109" s="1759"/>
      <c r="BO109" s="1759"/>
      <c r="BP109" s="1759"/>
      <c r="BQ109" s="1759"/>
      <c r="BR109" s="1759"/>
      <c r="BS109" s="1759"/>
      <c r="BT109" s="1759"/>
    </row>
    <row r="110" spans="1:72" x14ac:dyDescent="0.25">
      <c r="B110" s="1615" t="s">
        <v>1612</v>
      </c>
      <c r="C110" s="1660"/>
      <c r="D110" s="1659"/>
      <c r="E110" s="1660"/>
      <c r="F110" s="1677"/>
      <c r="G110" s="1660"/>
      <c r="H110" s="1660"/>
      <c r="I110" s="1662"/>
      <c r="J110" s="1662"/>
      <c r="K110" s="1662"/>
      <c r="L110" s="1662"/>
      <c r="M110" s="1662"/>
      <c r="N110" s="1662"/>
      <c r="O110" s="1662"/>
      <c r="P110" s="1662"/>
      <c r="Q110" s="1001"/>
      <c r="R110" s="1001">
        <f>'BS Raw'!L153/Debt!$B$1</f>
        <v>0</v>
      </c>
      <c r="S110" s="1618">
        <v>0</v>
      </c>
      <c r="T110" s="1634">
        <f t="shared" ref="T110:AB110" si="19">S113</f>
        <v>173.99450451792987</v>
      </c>
      <c r="U110" s="1634">
        <f t="shared" si="19"/>
        <v>135.329059069501</v>
      </c>
      <c r="V110" s="1634">
        <f t="shared" si="19"/>
        <v>96.663613621072145</v>
      </c>
      <c r="W110" s="1634">
        <f t="shared" si="19"/>
        <v>57.99816817264329</v>
      </c>
      <c r="X110" s="1618">
        <f t="shared" si="19"/>
        <v>19.332722724214435</v>
      </c>
      <c r="Y110" s="1618">
        <f t="shared" si="19"/>
        <v>0</v>
      </c>
      <c r="Z110" s="1618">
        <f t="shared" si="19"/>
        <v>0</v>
      </c>
      <c r="AA110" s="1618">
        <f t="shared" si="19"/>
        <v>0</v>
      </c>
      <c r="AB110" s="1618">
        <f t="shared" si="19"/>
        <v>0</v>
      </c>
      <c r="AC110" s="1618"/>
      <c r="AD110" s="1618"/>
      <c r="AE110" s="1618"/>
      <c r="AF110" s="1618"/>
      <c r="AG110" s="1618"/>
      <c r="AH110" s="1618"/>
      <c r="AI110" s="1618"/>
      <c r="AJ110" s="1618"/>
      <c r="AK110" s="1618"/>
      <c r="AL110" s="1618"/>
      <c r="AM110" s="1618"/>
      <c r="AN110" s="1618"/>
      <c r="AO110" s="1618"/>
      <c r="AP110" s="1618"/>
      <c r="AQ110" s="1618"/>
      <c r="AR110" s="1618"/>
      <c r="AS110" s="1618"/>
      <c r="AT110" s="1618"/>
      <c r="AU110" s="1618"/>
      <c r="AV110" s="1618"/>
      <c r="AW110" s="1618"/>
      <c r="AX110" s="1618"/>
      <c r="AY110" s="1618"/>
      <c r="AZ110" s="1618"/>
      <c r="BA110" s="1618"/>
      <c r="BB110" s="1618"/>
      <c r="BC110" s="1618"/>
      <c r="BD110" s="1618"/>
      <c r="BE110" s="1618"/>
      <c r="BF110" s="1618"/>
      <c r="BG110" s="1001"/>
    </row>
    <row r="111" spans="1:72" x14ac:dyDescent="0.25">
      <c r="B111" s="1620" t="s">
        <v>1614</v>
      </c>
      <c r="C111" s="1660"/>
      <c r="D111" s="1659"/>
      <c r="E111" s="1660"/>
      <c r="F111" s="1677"/>
      <c r="G111" s="1660"/>
      <c r="H111" s="1660"/>
      <c r="I111" s="1662"/>
      <c r="J111" s="1662"/>
      <c r="K111" s="1662"/>
      <c r="L111" s="1662"/>
      <c r="M111" s="1662"/>
      <c r="N111" s="1662"/>
      <c r="O111" s="1662"/>
      <c r="P111" s="1662"/>
      <c r="Q111" s="1001"/>
      <c r="R111" s="1001"/>
      <c r="S111" s="1634">
        <f>IF(YEAR($D$109)=YEAR(S4),$C$109,0)</f>
        <v>193.32722724214429</v>
      </c>
      <c r="T111" s="1618">
        <v>0</v>
      </c>
      <c r="U111" s="1618">
        <f t="shared" ref="U111:AB111" si="20">IF(YEAR($D$109)=YEAR(U4),$C$109,0)</f>
        <v>0</v>
      </c>
      <c r="V111" s="1618">
        <f t="shared" si="20"/>
        <v>0</v>
      </c>
      <c r="W111" s="1618">
        <f t="shared" si="20"/>
        <v>0</v>
      </c>
      <c r="X111" s="1618">
        <f t="shared" si="20"/>
        <v>0</v>
      </c>
      <c r="Y111" s="1618">
        <f t="shared" si="20"/>
        <v>0</v>
      </c>
      <c r="Z111" s="1618">
        <f t="shared" si="20"/>
        <v>0</v>
      </c>
      <c r="AA111" s="1618">
        <f t="shared" si="20"/>
        <v>0</v>
      </c>
      <c r="AB111" s="1618">
        <f t="shared" si="20"/>
        <v>0</v>
      </c>
      <c r="AC111" s="1618"/>
      <c r="AD111" s="1618"/>
      <c r="AE111" s="1618"/>
      <c r="AF111" s="1618"/>
      <c r="AG111" s="1618"/>
      <c r="AH111" s="1618"/>
      <c r="AI111" s="1618"/>
      <c r="AJ111" s="1618"/>
      <c r="AK111" s="1618"/>
      <c r="AL111" s="1618"/>
      <c r="AM111" s="1618"/>
      <c r="AN111" s="1618"/>
      <c r="AO111" s="1618"/>
      <c r="AP111" s="1618"/>
      <c r="AQ111" s="1618"/>
      <c r="AR111" s="1618"/>
      <c r="AS111" s="1618"/>
      <c r="AT111" s="1618"/>
      <c r="AU111" s="1618"/>
      <c r="AV111" s="1618"/>
      <c r="AW111" s="1618"/>
      <c r="AX111" s="1618"/>
      <c r="AY111" s="1618"/>
      <c r="AZ111" s="1618"/>
      <c r="BA111" s="1618"/>
      <c r="BB111" s="1618"/>
      <c r="BC111" s="1618"/>
      <c r="BD111" s="1618"/>
      <c r="BE111" s="1618"/>
      <c r="BF111" s="1618"/>
      <c r="BG111" s="1001"/>
    </row>
    <row r="112" spans="1:72" x14ac:dyDescent="0.25">
      <c r="B112" s="1620" t="s">
        <v>1613</v>
      </c>
      <c r="C112" s="1660"/>
      <c r="D112" s="1659"/>
      <c r="E112" s="1660"/>
      <c r="F112" s="1677"/>
      <c r="G112" s="1660"/>
      <c r="H112" s="1660"/>
      <c r="I112" s="1662"/>
      <c r="J112" s="1662"/>
      <c r="K112" s="1662"/>
      <c r="L112" s="1662"/>
      <c r="M112" s="1662"/>
      <c r="N112" s="1662"/>
      <c r="O112" s="1662"/>
      <c r="P112" s="1662"/>
      <c r="Q112" s="1001"/>
      <c r="R112" s="1001"/>
      <c r="S112" s="1634">
        <f>IF($C109=S111,$C109/($E109/12),MIN(R113,R112))</f>
        <v>38.665445448428855</v>
      </c>
      <c r="T112" s="1634">
        <f t="shared" ref="T112:AB112" si="21">IF($C109=T111,$C109/($E109/12),MIN(S113,S112))</f>
        <v>38.665445448428855</v>
      </c>
      <c r="U112" s="1634">
        <f t="shared" si="21"/>
        <v>38.665445448428855</v>
      </c>
      <c r="V112" s="1634">
        <f t="shared" si="21"/>
        <v>38.665445448428855</v>
      </c>
      <c r="W112" s="1634">
        <f t="shared" si="21"/>
        <v>38.665445448428855</v>
      </c>
      <c r="X112" s="1618">
        <f t="shared" si="21"/>
        <v>19.332722724214435</v>
      </c>
      <c r="Y112" s="1618">
        <f t="shared" si="21"/>
        <v>0</v>
      </c>
      <c r="Z112" s="1618">
        <f t="shared" si="21"/>
        <v>0</v>
      </c>
      <c r="AA112" s="1618">
        <f t="shared" si="21"/>
        <v>0</v>
      </c>
      <c r="AB112" s="1618">
        <f t="shared" si="21"/>
        <v>0</v>
      </c>
      <c r="AC112" s="1618"/>
      <c r="AD112" s="1618"/>
      <c r="AE112" s="1618"/>
      <c r="AF112" s="1618"/>
      <c r="AG112" s="1618"/>
      <c r="AH112" s="1618"/>
      <c r="AI112" s="1618"/>
      <c r="AJ112" s="1618"/>
      <c r="AK112" s="1618"/>
      <c r="AL112" s="1618"/>
      <c r="AM112" s="1618"/>
      <c r="AN112" s="1618"/>
      <c r="AO112" s="1618"/>
      <c r="AP112" s="1618"/>
      <c r="AQ112" s="1618"/>
      <c r="AR112" s="1618"/>
      <c r="AS112" s="1618"/>
      <c r="AT112" s="1618"/>
      <c r="AU112" s="1618"/>
      <c r="AV112" s="1618"/>
      <c r="AW112" s="1618"/>
      <c r="AX112" s="1618"/>
      <c r="AY112" s="1618"/>
      <c r="AZ112" s="1618"/>
      <c r="BA112" s="1618"/>
      <c r="BB112" s="1618"/>
      <c r="BC112" s="1618"/>
      <c r="BD112" s="1618"/>
      <c r="BE112" s="1618"/>
      <c r="BF112" s="1618"/>
      <c r="BG112" s="1001"/>
    </row>
    <row r="113" spans="1:59" x14ac:dyDescent="0.25">
      <c r="B113" s="1615" t="s">
        <v>1615</v>
      </c>
      <c r="C113" s="1660"/>
      <c r="D113" s="1659"/>
      <c r="E113" s="1660"/>
      <c r="F113" s="1677"/>
      <c r="G113" s="1660"/>
      <c r="H113" s="1660"/>
      <c r="I113" s="1662"/>
      <c r="J113" s="1662"/>
      <c r="K113" s="1662"/>
      <c r="L113" s="1662"/>
      <c r="M113" s="1662"/>
      <c r="N113" s="1662"/>
      <c r="O113" s="1662"/>
      <c r="P113" s="1662"/>
      <c r="Q113" s="1001"/>
      <c r="R113" s="1001">
        <f>'BS Raw'!M153/Debt!$B$1</f>
        <v>0</v>
      </c>
      <c r="S113" s="1634">
        <f>S110+S111-S112*0.5</f>
        <v>173.99450451792987</v>
      </c>
      <c r="T113" s="1634">
        <f t="shared" ref="T113:AB113" si="22">T110+T111-T112</f>
        <v>135.329059069501</v>
      </c>
      <c r="U113" s="1634">
        <f t="shared" si="22"/>
        <v>96.663613621072145</v>
      </c>
      <c r="V113" s="1634">
        <f t="shared" si="22"/>
        <v>57.99816817264329</v>
      </c>
      <c r="W113" s="1634">
        <f t="shared" si="22"/>
        <v>19.332722724214435</v>
      </c>
      <c r="X113" s="1618">
        <f t="shared" si="22"/>
        <v>0</v>
      </c>
      <c r="Y113" s="1618">
        <f t="shared" si="22"/>
        <v>0</v>
      </c>
      <c r="Z113" s="1618">
        <f t="shared" si="22"/>
        <v>0</v>
      </c>
      <c r="AA113" s="1618">
        <f t="shared" si="22"/>
        <v>0</v>
      </c>
      <c r="AB113" s="1618">
        <f t="shared" si="22"/>
        <v>0</v>
      </c>
      <c r="AC113" s="1618"/>
      <c r="AD113" s="1618"/>
      <c r="AE113" s="1618"/>
      <c r="AF113" s="1618"/>
      <c r="AG113" s="1618"/>
      <c r="AH113" s="1618"/>
      <c r="AI113" s="1618"/>
      <c r="AJ113" s="1618"/>
      <c r="AK113" s="1618"/>
      <c r="AL113" s="1618"/>
      <c r="AM113" s="1618"/>
      <c r="AN113" s="1618"/>
      <c r="AO113" s="1618"/>
      <c r="AP113" s="1618"/>
      <c r="AQ113" s="1618"/>
      <c r="AR113" s="1618"/>
      <c r="AS113" s="1618"/>
      <c r="AT113" s="1618"/>
      <c r="AU113" s="1618"/>
      <c r="AV113" s="1618"/>
      <c r="AW113" s="1618"/>
      <c r="AX113" s="1618"/>
      <c r="AY113" s="1618"/>
      <c r="AZ113" s="1618"/>
      <c r="BA113" s="1618"/>
      <c r="BB113" s="1618"/>
      <c r="BC113" s="1618"/>
      <c r="BD113" s="1618"/>
      <c r="BE113" s="1618"/>
      <c r="BF113" s="1618"/>
      <c r="BG113" s="1001"/>
    </row>
    <row r="114" spans="1:59" s="1642" customFormat="1" x14ac:dyDescent="0.25">
      <c r="A114" s="1635"/>
      <c r="B114" s="1620" t="s">
        <v>1627</v>
      </c>
      <c r="C114" s="1703"/>
      <c r="D114" s="1674"/>
      <c r="E114" s="1673"/>
      <c r="F114" s="1675"/>
      <c r="G114" s="1673"/>
      <c r="H114" s="1673"/>
      <c r="I114" s="1676"/>
      <c r="J114" s="1676"/>
      <c r="K114" s="1676"/>
      <c r="L114" s="1676"/>
      <c r="M114" s="1676"/>
      <c r="N114" s="1676"/>
      <c r="O114" s="1676"/>
      <c r="P114" s="1676"/>
      <c r="Q114" s="1636"/>
      <c r="R114" s="1704">
        <f>F109</f>
        <v>7.0000000000000007E-2</v>
      </c>
      <c r="S114" s="1683">
        <f>R114</f>
        <v>7.0000000000000007E-2</v>
      </c>
      <c r="T114" s="1683">
        <f t="shared" ref="T114:AB114" si="23">S114</f>
        <v>7.0000000000000007E-2</v>
      </c>
      <c r="U114" s="1683">
        <f t="shared" si="23"/>
        <v>7.0000000000000007E-2</v>
      </c>
      <c r="V114" s="1683">
        <f t="shared" si="23"/>
        <v>7.0000000000000007E-2</v>
      </c>
      <c r="W114" s="1683">
        <f t="shared" si="23"/>
        <v>7.0000000000000007E-2</v>
      </c>
      <c r="X114" s="1683">
        <f t="shared" si="23"/>
        <v>7.0000000000000007E-2</v>
      </c>
      <c r="Y114" s="1683">
        <f t="shared" si="23"/>
        <v>7.0000000000000007E-2</v>
      </c>
      <c r="Z114" s="1683">
        <f t="shared" si="23"/>
        <v>7.0000000000000007E-2</v>
      </c>
      <c r="AA114" s="1683">
        <f t="shared" si="23"/>
        <v>7.0000000000000007E-2</v>
      </c>
      <c r="AB114" s="1683">
        <f t="shared" si="23"/>
        <v>7.0000000000000007E-2</v>
      </c>
      <c r="AC114" s="1683"/>
      <c r="AD114" s="1684"/>
      <c r="AE114" s="1684"/>
      <c r="AF114" s="1684"/>
      <c r="AG114" s="1684"/>
      <c r="AH114" s="1684"/>
      <c r="AI114" s="1684"/>
      <c r="AJ114" s="1684"/>
      <c r="AK114" s="1684"/>
      <c r="AL114" s="1684"/>
      <c r="AM114" s="1684"/>
      <c r="AN114" s="1684"/>
      <c r="AO114" s="1684"/>
      <c r="AP114" s="1684"/>
      <c r="AQ114" s="1684"/>
      <c r="AR114" s="1684"/>
      <c r="AS114" s="1684"/>
      <c r="AT114" s="1684"/>
      <c r="AU114" s="1684"/>
      <c r="AV114" s="1684"/>
      <c r="AW114" s="1684"/>
      <c r="AX114" s="1684"/>
      <c r="AY114" s="1684"/>
      <c r="AZ114" s="1684"/>
      <c r="BA114" s="1684"/>
      <c r="BB114" s="1684"/>
      <c r="BC114" s="1684"/>
      <c r="BD114" s="1684"/>
      <c r="BE114" s="1684"/>
      <c r="BF114" s="1684"/>
      <c r="BG114" s="1636"/>
    </row>
    <row r="115" spans="1:59" x14ac:dyDescent="0.25">
      <c r="B115" s="1620" t="s">
        <v>1616</v>
      </c>
      <c r="C115" s="1768"/>
      <c r="D115" s="1769"/>
      <c r="E115" s="1770"/>
      <c r="F115" s="1771"/>
      <c r="G115" s="1770"/>
      <c r="H115" s="1770"/>
      <c r="I115" s="1772"/>
      <c r="J115" s="1772"/>
      <c r="K115" s="1772"/>
      <c r="L115" s="1772"/>
      <c r="M115" s="1772"/>
      <c r="N115" s="1772"/>
      <c r="O115" s="1772"/>
      <c r="P115" s="1772"/>
      <c r="Q115" s="1001"/>
      <c r="R115" s="1636">
        <f>R114*AVERAGE(R110,R113)</f>
        <v>0</v>
      </c>
      <c r="S115" s="1640">
        <f>S114*AVERAGE(S110,S113)</f>
        <v>6.0898076581275458</v>
      </c>
      <c r="T115" s="1640">
        <f t="shared" ref="T115:AB115" si="24">T114*AVERAGE(T110,T113)</f>
        <v>10.826324725560081</v>
      </c>
      <c r="U115" s="1640">
        <f t="shared" si="24"/>
        <v>8.1197435441700616</v>
      </c>
      <c r="V115" s="1640">
        <f t="shared" si="24"/>
        <v>5.4131623627800405</v>
      </c>
      <c r="W115" s="1640">
        <f t="shared" si="24"/>
        <v>2.7065811813900207</v>
      </c>
      <c r="X115" s="1640">
        <f t="shared" si="24"/>
        <v>0.67664529534750528</v>
      </c>
      <c r="Y115" s="1640">
        <f t="shared" si="24"/>
        <v>0</v>
      </c>
      <c r="Z115" s="1640">
        <f t="shared" si="24"/>
        <v>0</v>
      </c>
      <c r="AA115" s="1640">
        <f t="shared" si="24"/>
        <v>0</v>
      </c>
      <c r="AB115" s="1640">
        <f t="shared" si="24"/>
        <v>0</v>
      </c>
      <c r="AC115" s="1640"/>
      <c r="AD115" s="1641"/>
      <c r="AE115" s="1641"/>
      <c r="AF115" s="1641"/>
      <c r="AG115" s="1641"/>
      <c r="AH115" s="1641"/>
      <c r="AI115" s="1641"/>
      <c r="AJ115" s="1641"/>
      <c r="AK115" s="1641"/>
      <c r="AL115" s="1641"/>
      <c r="AM115" s="1641"/>
      <c r="AN115" s="1641"/>
      <c r="AO115" s="1641"/>
      <c r="AP115" s="1641"/>
      <c r="AQ115" s="1641"/>
      <c r="AR115" s="1641"/>
      <c r="AS115" s="1641"/>
      <c r="AT115" s="1641"/>
      <c r="AU115" s="1641"/>
      <c r="AV115" s="1641"/>
      <c r="AW115" s="1641"/>
      <c r="AX115" s="1641"/>
      <c r="AY115" s="1641"/>
      <c r="AZ115" s="1641"/>
      <c r="BA115" s="1641"/>
      <c r="BB115" s="1641"/>
      <c r="BC115" s="1641"/>
      <c r="BD115" s="1641"/>
      <c r="BE115" s="1641"/>
      <c r="BF115" s="1641"/>
      <c r="BG115" s="1001"/>
    </row>
    <row r="116" spans="1:59" x14ac:dyDescent="0.25">
      <c r="B116" s="1620"/>
      <c r="C116" s="1001"/>
      <c r="D116" s="1613"/>
      <c r="E116" s="1001"/>
      <c r="G116" s="1001"/>
      <c r="H116" s="1001"/>
      <c r="I116" s="1001"/>
      <c r="J116" s="1001"/>
      <c r="K116" s="1001"/>
      <c r="L116" s="1001"/>
      <c r="M116" s="1001"/>
      <c r="N116" s="1001"/>
      <c r="O116" s="1001"/>
      <c r="P116" s="1001"/>
      <c r="Q116" s="1001"/>
      <c r="R116" s="1636"/>
      <c r="S116" s="1636"/>
      <c r="T116" s="1636"/>
      <c r="U116" s="1636"/>
      <c r="V116" s="1636"/>
      <c r="W116" s="1636"/>
      <c r="X116" s="1636">
        <f t="shared" ref="X116" si="25">AVERAGE(X110,X113)</f>
        <v>9.6663613621072173</v>
      </c>
      <c r="Y116" s="1636"/>
      <c r="Z116" s="1636"/>
      <c r="AA116" s="1636"/>
      <c r="AB116" s="1636"/>
      <c r="AC116" s="1636"/>
      <c r="AD116" s="1636"/>
      <c r="AE116" s="1636"/>
      <c r="AF116" s="1636"/>
      <c r="AG116" s="1636"/>
      <c r="AH116" s="1636"/>
      <c r="AI116" s="1636"/>
      <c r="AJ116" s="1636"/>
      <c r="AK116" s="1636"/>
      <c r="AL116" s="1636"/>
      <c r="AM116" s="1636"/>
      <c r="AN116" s="1636"/>
      <c r="AO116" s="1636"/>
      <c r="AP116" s="1636"/>
      <c r="AQ116" s="1636"/>
      <c r="AR116" s="1636"/>
      <c r="AS116" s="1636"/>
      <c r="AT116" s="1636"/>
      <c r="AU116" s="1636"/>
      <c r="AV116" s="1636"/>
      <c r="AW116" s="1636"/>
      <c r="AX116" s="1636"/>
      <c r="AY116" s="1636"/>
      <c r="AZ116" s="1636"/>
      <c r="BA116" s="1636"/>
      <c r="BB116" s="1636"/>
      <c r="BC116" s="1636"/>
      <c r="BD116" s="1636"/>
      <c r="BE116" s="1636"/>
      <c r="BF116" s="1636"/>
      <c r="BG116" s="1001"/>
    </row>
    <row r="117" spans="1:59" s="1597" customFormat="1" hidden="1" x14ac:dyDescent="0.25">
      <c r="A117" s="1592" t="s">
        <v>1658</v>
      </c>
      <c r="B117" s="1653" t="s">
        <v>1633</v>
      </c>
      <c r="C117" s="1712"/>
      <c r="D117" s="1713"/>
      <c r="E117" s="1714"/>
      <c r="F117" s="1715"/>
      <c r="G117" s="1714"/>
      <c r="H117" s="1714"/>
      <c r="I117" s="1773"/>
      <c r="J117" s="1773"/>
      <c r="K117" s="1773"/>
      <c r="L117" s="1773"/>
      <c r="M117" s="1773"/>
      <c r="N117" s="1773"/>
      <c r="O117" s="1773"/>
      <c r="P117" s="1773"/>
      <c r="Q117" s="1648"/>
      <c r="R117" s="1648"/>
      <c r="S117" s="1717"/>
      <c r="T117" s="1717"/>
      <c r="U117" s="1717"/>
      <c r="V117" s="1717"/>
      <c r="W117" s="1717"/>
      <c r="X117" s="1717"/>
      <c r="Y117" s="1717"/>
      <c r="Z117" s="1717"/>
      <c r="AA117" s="1717"/>
      <c r="AB117" s="1717"/>
      <c r="AC117" s="1717"/>
      <c r="AD117" s="1717"/>
      <c r="AE117" s="1717"/>
      <c r="AF117" s="1717"/>
      <c r="AG117" s="1717"/>
      <c r="AH117" s="1717"/>
      <c r="AI117" s="1717"/>
      <c r="AJ117" s="1717"/>
      <c r="AK117" s="1717"/>
      <c r="AL117" s="1717"/>
      <c r="AM117" s="1717"/>
      <c r="AN117" s="1717"/>
      <c r="AO117" s="1717"/>
      <c r="AP117" s="1717"/>
      <c r="AQ117" s="1717"/>
      <c r="AR117" s="1717"/>
      <c r="AS117" s="1717"/>
      <c r="AT117" s="1717"/>
      <c r="AU117" s="1717"/>
      <c r="AV117" s="1717"/>
      <c r="AW117" s="1717"/>
      <c r="AX117" s="1717"/>
      <c r="AY117" s="1717"/>
      <c r="AZ117" s="1717"/>
      <c r="BA117" s="1717"/>
      <c r="BB117" s="1717"/>
      <c r="BC117" s="1717"/>
      <c r="BD117" s="1717"/>
      <c r="BE117" s="1717"/>
      <c r="BF117" s="1717"/>
      <c r="BG117" s="1648"/>
    </row>
    <row r="118" spans="1:59" hidden="1" x14ac:dyDescent="0.25">
      <c r="B118" s="1657" t="s">
        <v>1625</v>
      </c>
      <c r="C118" s="1660"/>
      <c r="D118" s="1659"/>
      <c r="E118" s="1660"/>
      <c r="F118" s="1677"/>
      <c r="G118" s="1660"/>
      <c r="H118" s="1660"/>
      <c r="I118" s="1662"/>
      <c r="J118" s="1662"/>
      <c r="K118" s="1662"/>
      <c r="L118" s="1662"/>
      <c r="M118" s="1662"/>
      <c r="N118" s="1662"/>
      <c r="O118" s="1662"/>
      <c r="P118" s="1662"/>
      <c r="Q118" s="1001"/>
      <c r="R118" s="1001"/>
      <c r="S118" s="1718"/>
      <c r="T118" s="1718"/>
      <c r="U118" s="1718"/>
      <c r="V118" s="1718"/>
      <c r="W118" s="1718"/>
      <c r="X118" s="1718"/>
      <c r="Y118" s="1718"/>
      <c r="Z118" s="1718"/>
      <c r="AA118" s="1718"/>
      <c r="AB118" s="1718"/>
      <c r="AC118" s="1718"/>
      <c r="AD118" s="1718"/>
      <c r="AE118" s="1718"/>
      <c r="AF118" s="1718"/>
      <c r="AG118" s="1718"/>
      <c r="AH118" s="1718"/>
      <c r="AI118" s="1718"/>
      <c r="AJ118" s="1718"/>
      <c r="AK118" s="1718"/>
      <c r="AL118" s="1718"/>
      <c r="AM118" s="1718"/>
      <c r="AN118" s="1718"/>
      <c r="AO118" s="1718"/>
      <c r="AP118" s="1718"/>
      <c r="AQ118" s="1718"/>
      <c r="AR118" s="1718"/>
      <c r="AS118" s="1718"/>
      <c r="AT118" s="1718"/>
      <c r="AU118" s="1718"/>
      <c r="AV118" s="1718"/>
      <c r="AW118" s="1718"/>
      <c r="AX118" s="1718"/>
      <c r="AY118" s="1718"/>
      <c r="AZ118" s="1718"/>
      <c r="BA118" s="1718"/>
      <c r="BB118" s="1718"/>
      <c r="BC118" s="1718"/>
      <c r="BD118" s="1718"/>
      <c r="BE118" s="1718"/>
      <c r="BF118" s="1718"/>
      <c r="BG118" s="1001"/>
    </row>
    <row r="119" spans="1:59" hidden="1" x14ac:dyDescent="0.25">
      <c r="B119" s="1615" t="s">
        <v>1612</v>
      </c>
      <c r="C119" s="1660"/>
      <c r="D119" s="1659"/>
      <c r="E119" s="1660"/>
      <c r="F119" s="1677"/>
      <c r="G119" s="1660"/>
      <c r="H119" s="1660"/>
      <c r="I119" s="1662"/>
      <c r="J119" s="1662"/>
      <c r="K119" s="1662"/>
      <c r="L119" s="1662"/>
      <c r="M119" s="1662"/>
      <c r="N119" s="1662"/>
      <c r="O119" s="1662"/>
      <c r="P119" s="1662"/>
      <c r="Q119" s="1001"/>
      <c r="R119" s="1001"/>
      <c r="S119" s="1718"/>
      <c r="T119" s="1718"/>
      <c r="U119" s="1718"/>
      <c r="V119" s="1718"/>
      <c r="W119" s="1718"/>
      <c r="X119" s="1718"/>
      <c r="Y119" s="1718"/>
      <c r="Z119" s="1718"/>
      <c r="AA119" s="1718"/>
      <c r="AB119" s="1718"/>
      <c r="AC119" s="1718"/>
      <c r="AD119" s="1718"/>
      <c r="AE119" s="1718"/>
      <c r="AF119" s="1718"/>
      <c r="AG119" s="1718"/>
      <c r="AH119" s="1718"/>
      <c r="AI119" s="1718"/>
      <c r="AJ119" s="1718"/>
      <c r="AK119" s="1718"/>
      <c r="AL119" s="1718"/>
      <c r="AM119" s="1718"/>
      <c r="AN119" s="1718"/>
      <c r="AO119" s="1718"/>
      <c r="AP119" s="1718"/>
      <c r="AQ119" s="1718"/>
      <c r="AR119" s="1718"/>
      <c r="AS119" s="1718"/>
      <c r="AT119" s="1718"/>
      <c r="AU119" s="1718"/>
      <c r="AV119" s="1718"/>
      <c r="AW119" s="1718"/>
      <c r="AX119" s="1718"/>
      <c r="AY119" s="1718"/>
      <c r="AZ119" s="1718"/>
      <c r="BA119" s="1718"/>
      <c r="BB119" s="1718"/>
      <c r="BC119" s="1718"/>
      <c r="BD119" s="1718"/>
      <c r="BE119" s="1718"/>
      <c r="BF119" s="1718"/>
      <c r="BG119" s="1001"/>
    </row>
    <row r="120" spans="1:59" hidden="1" x14ac:dyDescent="0.25">
      <c r="B120" s="1620" t="s">
        <v>1613</v>
      </c>
      <c r="C120" s="1660"/>
      <c r="D120" s="1659"/>
      <c r="E120" s="1660"/>
      <c r="F120" s="1677"/>
      <c r="G120" s="1660"/>
      <c r="H120" s="1660"/>
      <c r="I120" s="1662"/>
      <c r="J120" s="1662"/>
      <c r="K120" s="1662"/>
      <c r="L120" s="1662"/>
      <c r="M120" s="1662"/>
      <c r="N120" s="1662"/>
      <c r="O120" s="1662"/>
      <c r="P120" s="1662"/>
      <c r="Q120" s="1001"/>
      <c r="R120" s="1001"/>
      <c r="S120" s="1718"/>
      <c r="T120" s="1718"/>
      <c r="U120" s="1718"/>
      <c r="V120" s="1718"/>
      <c r="W120" s="1718"/>
      <c r="X120" s="1718"/>
      <c r="Y120" s="1718"/>
      <c r="Z120" s="1718"/>
      <c r="AA120" s="1718"/>
      <c r="AB120" s="1718"/>
      <c r="AC120" s="1718"/>
      <c r="AD120" s="1718"/>
      <c r="AE120" s="1718"/>
      <c r="AF120" s="1718"/>
      <c r="AG120" s="1718"/>
      <c r="AH120" s="1718"/>
      <c r="AI120" s="1718"/>
      <c r="AJ120" s="1718"/>
      <c r="AK120" s="1718"/>
      <c r="AL120" s="1718"/>
      <c r="AM120" s="1718"/>
      <c r="AN120" s="1718"/>
      <c r="AO120" s="1718"/>
      <c r="AP120" s="1718"/>
      <c r="AQ120" s="1718"/>
      <c r="AR120" s="1718"/>
      <c r="AS120" s="1718"/>
      <c r="AT120" s="1718"/>
      <c r="AU120" s="1718"/>
      <c r="AV120" s="1718"/>
      <c r="AW120" s="1718"/>
      <c r="AX120" s="1718"/>
      <c r="AY120" s="1718"/>
      <c r="AZ120" s="1718"/>
      <c r="BA120" s="1718"/>
      <c r="BB120" s="1718"/>
      <c r="BC120" s="1718"/>
      <c r="BD120" s="1718"/>
      <c r="BE120" s="1718"/>
      <c r="BF120" s="1718"/>
      <c r="BG120" s="1001"/>
    </row>
    <row r="121" spans="1:59" hidden="1" x14ac:dyDescent="0.25">
      <c r="B121" s="1620" t="s">
        <v>1614</v>
      </c>
      <c r="C121" s="1660"/>
      <c r="D121" s="1659"/>
      <c r="E121" s="1660"/>
      <c r="F121" s="1677"/>
      <c r="G121" s="1660"/>
      <c r="H121" s="1660"/>
      <c r="I121" s="1662"/>
      <c r="J121" s="1662"/>
      <c r="K121" s="1662"/>
      <c r="L121" s="1662"/>
      <c r="M121" s="1662"/>
      <c r="N121" s="1662"/>
      <c r="O121" s="1662"/>
      <c r="P121" s="1662"/>
      <c r="Q121" s="1001"/>
      <c r="R121" s="1001"/>
      <c r="S121" s="1718"/>
      <c r="T121" s="1718"/>
      <c r="U121" s="1718"/>
      <c r="V121" s="1718"/>
      <c r="W121" s="1718"/>
      <c r="X121" s="1718"/>
      <c r="Y121" s="1718"/>
      <c r="Z121" s="1718"/>
      <c r="AA121" s="1718"/>
      <c r="AB121" s="1718"/>
      <c r="AC121" s="1718"/>
      <c r="AD121" s="1718"/>
      <c r="AE121" s="1718"/>
      <c r="AF121" s="1718"/>
      <c r="AG121" s="1718"/>
      <c r="AH121" s="1718"/>
      <c r="AI121" s="1718"/>
      <c r="AJ121" s="1718"/>
      <c r="AK121" s="1718"/>
      <c r="AL121" s="1718"/>
      <c r="AM121" s="1718"/>
      <c r="AN121" s="1718"/>
      <c r="AO121" s="1718"/>
      <c r="AP121" s="1718"/>
      <c r="AQ121" s="1718"/>
      <c r="AR121" s="1718"/>
      <c r="AS121" s="1718"/>
      <c r="AT121" s="1718"/>
      <c r="AU121" s="1718"/>
      <c r="AV121" s="1718"/>
      <c r="AW121" s="1718"/>
      <c r="AX121" s="1718"/>
      <c r="AY121" s="1718"/>
      <c r="AZ121" s="1718"/>
      <c r="BA121" s="1718"/>
      <c r="BB121" s="1718"/>
      <c r="BC121" s="1718"/>
      <c r="BD121" s="1718"/>
      <c r="BE121" s="1718"/>
      <c r="BF121" s="1718"/>
      <c r="BG121" s="1001"/>
    </row>
    <row r="122" spans="1:59" s="1597" customFormat="1" hidden="1" x14ac:dyDescent="0.25">
      <c r="A122" s="1592"/>
      <c r="B122" s="1615" t="s">
        <v>1615</v>
      </c>
      <c r="C122" s="1719"/>
      <c r="D122" s="1720"/>
      <c r="E122" s="1719"/>
      <c r="F122" s="1721"/>
      <c r="G122" s="1719"/>
      <c r="H122" s="1719"/>
      <c r="I122" s="1716"/>
      <c r="J122" s="1716"/>
      <c r="K122" s="1716"/>
      <c r="L122" s="1716"/>
      <c r="M122" s="1716"/>
      <c r="N122" s="1716"/>
      <c r="O122" s="1716"/>
      <c r="P122" s="1716"/>
      <c r="Q122" s="1648"/>
      <c r="R122" s="1648"/>
      <c r="S122" s="1717"/>
      <c r="T122" s="1717"/>
      <c r="U122" s="1717"/>
      <c r="V122" s="1717"/>
      <c r="W122" s="1717"/>
      <c r="X122" s="1717"/>
      <c r="Y122" s="1717"/>
      <c r="Z122" s="1717"/>
      <c r="AA122" s="1717"/>
      <c r="AB122" s="1717"/>
      <c r="AC122" s="1717"/>
      <c r="AD122" s="1717"/>
      <c r="AE122" s="1717"/>
      <c r="AF122" s="1717"/>
      <c r="AG122" s="1717"/>
      <c r="AH122" s="1717"/>
      <c r="AI122" s="1717"/>
      <c r="AJ122" s="1717"/>
      <c r="AK122" s="1717"/>
      <c r="AL122" s="1717"/>
      <c r="AM122" s="1717"/>
      <c r="AN122" s="1717"/>
      <c r="AO122" s="1717"/>
      <c r="AP122" s="1717"/>
      <c r="AQ122" s="1717"/>
      <c r="AR122" s="1717"/>
      <c r="AS122" s="1717"/>
      <c r="AT122" s="1717"/>
      <c r="AU122" s="1717"/>
      <c r="AV122" s="1717"/>
      <c r="AW122" s="1717"/>
      <c r="AX122" s="1717"/>
      <c r="AY122" s="1717"/>
      <c r="AZ122" s="1717"/>
      <c r="BA122" s="1717"/>
      <c r="BB122" s="1717"/>
      <c r="BC122" s="1717"/>
      <c r="BD122" s="1717"/>
      <c r="BE122" s="1717"/>
      <c r="BF122" s="1717"/>
      <c r="BG122" s="1648"/>
    </row>
    <row r="123" spans="1:59" s="1597" customFormat="1" hidden="1" x14ac:dyDescent="0.25">
      <c r="A123" s="1592"/>
      <c r="B123" s="1620" t="s">
        <v>1616</v>
      </c>
      <c r="C123" s="1719"/>
      <c r="D123" s="1720"/>
      <c r="E123" s="1719"/>
      <c r="F123" s="1721"/>
      <c r="G123" s="1719"/>
      <c r="H123" s="1719"/>
      <c r="I123" s="1716"/>
      <c r="J123" s="1716"/>
      <c r="K123" s="1716"/>
      <c r="L123" s="1716"/>
      <c r="M123" s="1716"/>
      <c r="N123" s="1716"/>
      <c r="O123" s="1716"/>
      <c r="P123" s="1716"/>
      <c r="Q123" s="1648"/>
      <c r="R123" s="1648"/>
      <c r="S123" s="1717"/>
      <c r="T123" s="1717"/>
      <c r="U123" s="1717"/>
      <c r="V123" s="1717"/>
      <c r="W123" s="1717"/>
      <c r="X123" s="1717"/>
      <c r="Y123" s="1717"/>
      <c r="Z123" s="1717"/>
      <c r="AA123" s="1717"/>
      <c r="AB123" s="1717"/>
      <c r="AC123" s="1717"/>
      <c r="AD123" s="1717"/>
      <c r="AE123" s="1717"/>
      <c r="AF123" s="1717"/>
      <c r="AG123" s="1717"/>
      <c r="AH123" s="1717"/>
      <c r="AI123" s="1717"/>
      <c r="AJ123" s="1717"/>
      <c r="AK123" s="1717"/>
      <c r="AL123" s="1717"/>
      <c r="AM123" s="1717"/>
      <c r="AN123" s="1717"/>
      <c r="AO123" s="1717"/>
      <c r="AP123" s="1717"/>
      <c r="AQ123" s="1717"/>
      <c r="AR123" s="1717"/>
      <c r="AS123" s="1717"/>
      <c r="AT123" s="1717"/>
      <c r="AU123" s="1717"/>
      <c r="AV123" s="1717"/>
      <c r="AW123" s="1717"/>
      <c r="AX123" s="1717"/>
      <c r="AY123" s="1717"/>
      <c r="AZ123" s="1717"/>
      <c r="BA123" s="1717"/>
      <c r="BB123" s="1717"/>
      <c r="BC123" s="1717"/>
      <c r="BD123" s="1717"/>
      <c r="BE123" s="1717"/>
      <c r="BF123" s="1717"/>
      <c r="BG123" s="1648"/>
    </row>
    <row r="124" spans="1:59" s="1597" customFormat="1" hidden="1" x14ac:dyDescent="0.25">
      <c r="A124" s="1592"/>
      <c r="C124" s="1719"/>
      <c r="D124" s="1720"/>
      <c r="E124" s="1719"/>
      <c r="F124" s="1721"/>
      <c r="G124" s="1719"/>
      <c r="H124" s="1719"/>
      <c r="I124" s="1716"/>
      <c r="J124" s="1716"/>
      <c r="K124" s="1716"/>
      <c r="L124" s="1716"/>
      <c r="M124" s="1716"/>
      <c r="N124" s="1716"/>
      <c r="O124" s="1716"/>
      <c r="P124" s="1716"/>
      <c r="Q124" s="1648"/>
      <c r="R124" s="1648"/>
      <c r="S124" s="1717"/>
      <c r="T124" s="1717"/>
      <c r="U124" s="1717"/>
      <c r="V124" s="1717"/>
      <c r="W124" s="1717"/>
      <c r="X124" s="1717"/>
      <c r="Y124" s="1717"/>
      <c r="Z124" s="1717"/>
      <c r="AA124" s="1717"/>
      <c r="AB124" s="1717"/>
      <c r="AC124" s="1717"/>
      <c r="AD124" s="1717"/>
      <c r="AE124" s="1717"/>
      <c r="AF124" s="1717"/>
      <c r="AG124" s="1717"/>
      <c r="AH124" s="1717"/>
      <c r="AI124" s="1717"/>
      <c r="AJ124" s="1717"/>
      <c r="AK124" s="1717"/>
      <c r="AL124" s="1717"/>
      <c r="AM124" s="1717"/>
      <c r="AN124" s="1717"/>
      <c r="AO124" s="1717"/>
      <c r="AP124" s="1717"/>
      <c r="AQ124" s="1717"/>
      <c r="AR124" s="1717"/>
      <c r="AS124" s="1717"/>
      <c r="AT124" s="1717"/>
      <c r="AU124" s="1717"/>
      <c r="AV124" s="1717"/>
      <c r="AW124" s="1717"/>
      <c r="AX124" s="1717"/>
      <c r="AY124" s="1717"/>
      <c r="AZ124" s="1717"/>
      <c r="BA124" s="1717"/>
      <c r="BB124" s="1717"/>
      <c r="BC124" s="1717"/>
      <c r="BD124" s="1717"/>
      <c r="BE124" s="1717"/>
      <c r="BF124" s="1717"/>
      <c r="BG124" s="1648"/>
    </row>
    <row r="125" spans="1:59" hidden="1" x14ac:dyDescent="0.25">
      <c r="B125" s="1657" t="s">
        <v>1634</v>
      </c>
      <c r="C125" s="1660"/>
      <c r="D125" s="1659"/>
      <c r="E125" s="1660"/>
      <c r="F125" s="1677"/>
      <c r="G125" s="1660"/>
      <c r="H125" s="1660"/>
      <c r="I125" s="1662"/>
      <c r="J125" s="1662"/>
      <c r="K125" s="1662"/>
      <c r="L125" s="1662"/>
      <c r="M125" s="1662"/>
      <c r="N125" s="1662"/>
      <c r="O125" s="1662"/>
      <c r="P125" s="1662"/>
      <c r="Q125" s="1001"/>
      <c r="R125" s="1001"/>
      <c r="S125" s="1718"/>
      <c r="T125" s="1718"/>
      <c r="U125" s="1718"/>
      <c r="V125" s="1718"/>
      <c r="W125" s="1718"/>
      <c r="X125" s="1718"/>
      <c r="Y125" s="1718"/>
      <c r="Z125" s="1718"/>
      <c r="AA125" s="1718"/>
      <c r="AB125" s="1718"/>
      <c r="AC125" s="1718"/>
      <c r="AD125" s="1718"/>
      <c r="AE125" s="1718"/>
      <c r="AF125" s="1718"/>
      <c r="AG125" s="1718"/>
      <c r="AH125" s="1718"/>
      <c r="AI125" s="1718"/>
      <c r="AJ125" s="1718"/>
      <c r="AK125" s="1718"/>
      <c r="AL125" s="1718"/>
      <c r="AM125" s="1718"/>
      <c r="AN125" s="1718"/>
      <c r="AO125" s="1718"/>
      <c r="AP125" s="1718"/>
      <c r="AQ125" s="1718"/>
      <c r="AR125" s="1718"/>
      <c r="AS125" s="1718"/>
      <c r="AT125" s="1718"/>
      <c r="AU125" s="1718"/>
      <c r="AV125" s="1718"/>
      <c r="AW125" s="1718"/>
      <c r="AX125" s="1718"/>
      <c r="AY125" s="1718"/>
      <c r="AZ125" s="1718"/>
      <c r="BA125" s="1718"/>
      <c r="BB125" s="1718"/>
      <c r="BC125" s="1718"/>
      <c r="BD125" s="1718"/>
      <c r="BE125" s="1718"/>
      <c r="BF125" s="1718"/>
      <c r="BG125" s="1001"/>
    </row>
    <row r="126" spans="1:59" hidden="1" x14ac:dyDescent="0.25">
      <c r="B126" s="1615" t="s">
        <v>1612</v>
      </c>
      <c r="C126" s="1660"/>
      <c r="D126" s="1659"/>
      <c r="E126" s="1660"/>
      <c r="F126" s="1677"/>
      <c r="G126" s="1660"/>
      <c r="H126" s="1660"/>
      <c r="I126" s="1662"/>
      <c r="J126" s="1662"/>
      <c r="K126" s="1662"/>
      <c r="L126" s="1662"/>
      <c r="M126" s="1662"/>
      <c r="N126" s="1662"/>
      <c r="O126" s="1662"/>
      <c r="P126" s="1662"/>
      <c r="Q126" s="1001"/>
      <c r="R126" s="1001"/>
      <c r="S126" s="1718"/>
      <c r="T126" s="1718"/>
      <c r="U126" s="1718"/>
      <c r="V126" s="1718"/>
      <c r="W126" s="1718"/>
      <c r="X126" s="1718"/>
      <c r="Y126" s="1718"/>
      <c r="Z126" s="1718"/>
      <c r="AA126" s="1718"/>
      <c r="AB126" s="1718"/>
      <c r="AC126" s="1718"/>
      <c r="AD126" s="1718"/>
      <c r="AE126" s="1718"/>
      <c r="AF126" s="1718"/>
      <c r="AG126" s="1718"/>
      <c r="AH126" s="1718"/>
      <c r="AI126" s="1718"/>
      <c r="AJ126" s="1718"/>
      <c r="AK126" s="1718"/>
      <c r="AL126" s="1718"/>
      <c r="AM126" s="1718"/>
      <c r="AN126" s="1718"/>
      <c r="AO126" s="1718"/>
      <c r="AP126" s="1718"/>
      <c r="AQ126" s="1718"/>
      <c r="AR126" s="1718"/>
      <c r="AS126" s="1718"/>
      <c r="AT126" s="1718"/>
      <c r="AU126" s="1718"/>
      <c r="AV126" s="1718"/>
      <c r="AW126" s="1718"/>
      <c r="AX126" s="1718"/>
      <c r="AY126" s="1718"/>
      <c r="AZ126" s="1718"/>
      <c r="BA126" s="1718"/>
      <c r="BB126" s="1718"/>
      <c r="BC126" s="1718"/>
      <c r="BD126" s="1718"/>
      <c r="BE126" s="1718"/>
      <c r="BF126" s="1718"/>
      <c r="BG126" s="1001"/>
    </row>
    <row r="127" spans="1:59" hidden="1" x14ac:dyDescent="0.25">
      <c r="B127" s="1620" t="s">
        <v>1613</v>
      </c>
      <c r="C127" s="1660"/>
      <c r="D127" s="1659"/>
      <c r="E127" s="1660"/>
      <c r="F127" s="1677"/>
      <c r="G127" s="1660"/>
      <c r="H127" s="1660"/>
      <c r="I127" s="1662"/>
      <c r="J127" s="1662"/>
      <c r="K127" s="1662"/>
      <c r="L127" s="1662"/>
      <c r="M127" s="1662"/>
      <c r="N127" s="1662"/>
      <c r="O127" s="1662"/>
      <c r="P127" s="1662"/>
      <c r="Q127" s="1001"/>
      <c r="R127" s="1001"/>
      <c r="S127" s="1718"/>
      <c r="T127" s="1718"/>
      <c r="U127" s="1718"/>
      <c r="V127" s="1718"/>
      <c r="W127" s="1718"/>
      <c r="X127" s="1718"/>
      <c r="Y127" s="1718"/>
      <c r="Z127" s="1718"/>
      <c r="AA127" s="1718"/>
      <c r="AB127" s="1718"/>
      <c r="AC127" s="1718"/>
      <c r="AD127" s="1718"/>
      <c r="AE127" s="1718"/>
      <c r="AF127" s="1718"/>
      <c r="AG127" s="1718"/>
      <c r="AH127" s="1718"/>
      <c r="AI127" s="1718"/>
      <c r="AJ127" s="1718"/>
      <c r="AK127" s="1718"/>
      <c r="AL127" s="1718"/>
      <c r="AM127" s="1718"/>
      <c r="AN127" s="1718"/>
      <c r="AO127" s="1718"/>
      <c r="AP127" s="1718"/>
      <c r="AQ127" s="1718"/>
      <c r="AR127" s="1718"/>
      <c r="AS127" s="1718"/>
      <c r="AT127" s="1718"/>
      <c r="AU127" s="1718"/>
      <c r="AV127" s="1718"/>
      <c r="AW127" s="1718"/>
      <c r="AX127" s="1718"/>
      <c r="AY127" s="1718"/>
      <c r="AZ127" s="1718"/>
      <c r="BA127" s="1718"/>
      <c r="BB127" s="1718"/>
      <c r="BC127" s="1718"/>
      <c r="BD127" s="1718"/>
      <c r="BE127" s="1718"/>
      <c r="BF127" s="1718"/>
      <c r="BG127" s="1001"/>
    </row>
    <row r="128" spans="1:59" hidden="1" x14ac:dyDescent="0.25">
      <c r="B128" s="1620" t="s">
        <v>1614</v>
      </c>
      <c r="C128" s="1660"/>
      <c r="D128" s="1659"/>
      <c r="E128" s="1660"/>
      <c r="F128" s="1677"/>
      <c r="G128" s="1660"/>
      <c r="H128" s="1660"/>
      <c r="I128" s="1662"/>
      <c r="J128" s="1662"/>
      <c r="K128" s="1662"/>
      <c r="L128" s="1662"/>
      <c r="M128" s="1662"/>
      <c r="N128" s="1662"/>
      <c r="O128" s="1662"/>
      <c r="P128" s="1662"/>
      <c r="Q128" s="1001"/>
      <c r="R128" s="1001"/>
      <c r="S128" s="1718"/>
      <c r="T128" s="1718"/>
      <c r="U128" s="1718"/>
      <c r="V128" s="1718"/>
      <c r="W128" s="1718"/>
      <c r="X128" s="1718"/>
      <c r="Y128" s="1718"/>
      <c r="Z128" s="1718"/>
      <c r="AA128" s="1718"/>
      <c r="AB128" s="1718"/>
      <c r="AC128" s="1718"/>
      <c r="AD128" s="1718"/>
      <c r="AE128" s="1718"/>
      <c r="AF128" s="1718"/>
      <c r="AG128" s="1718"/>
      <c r="AH128" s="1718"/>
      <c r="AI128" s="1718"/>
      <c r="AJ128" s="1718"/>
      <c r="AK128" s="1718"/>
      <c r="AL128" s="1718"/>
      <c r="AM128" s="1718"/>
      <c r="AN128" s="1718"/>
      <c r="AO128" s="1718"/>
      <c r="AP128" s="1718"/>
      <c r="AQ128" s="1718"/>
      <c r="AR128" s="1718"/>
      <c r="AS128" s="1718"/>
      <c r="AT128" s="1718"/>
      <c r="AU128" s="1718"/>
      <c r="AV128" s="1718"/>
      <c r="AW128" s="1718"/>
      <c r="AX128" s="1718"/>
      <c r="AY128" s="1718"/>
      <c r="AZ128" s="1718"/>
      <c r="BA128" s="1718"/>
      <c r="BB128" s="1718"/>
      <c r="BC128" s="1718"/>
      <c r="BD128" s="1718"/>
      <c r="BE128" s="1718"/>
      <c r="BF128" s="1718"/>
      <c r="BG128" s="1001"/>
    </row>
    <row r="129" spans="1:59" s="1597" customFormat="1" hidden="1" x14ac:dyDescent="0.25">
      <c r="A129" s="1592"/>
      <c r="B129" s="1615" t="s">
        <v>1615</v>
      </c>
      <c r="C129" s="1719"/>
      <c r="D129" s="1720"/>
      <c r="E129" s="1719"/>
      <c r="F129" s="1721"/>
      <c r="G129" s="1719"/>
      <c r="H129" s="1719"/>
      <c r="I129" s="1716"/>
      <c r="J129" s="1716"/>
      <c r="K129" s="1716"/>
      <c r="L129" s="1716"/>
      <c r="M129" s="1716"/>
      <c r="N129" s="1716"/>
      <c r="O129" s="1716"/>
      <c r="P129" s="1716"/>
      <c r="Q129" s="1648"/>
      <c r="R129" s="1648"/>
      <c r="S129" s="1717"/>
      <c r="T129" s="1717"/>
      <c r="U129" s="1717"/>
      <c r="V129" s="1717"/>
      <c r="W129" s="1717"/>
      <c r="X129" s="1717"/>
      <c r="Y129" s="1717"/>
      <c r="Z129" s="1717"/>
      <c r="AA129" s="1717"/>
      <c r="AB129" s="1717"/>
      <c r="AC129" s="1717"/>
      <c r="AD129" s="1717"/>
      <c r="AE129" s="1717"/>
      <c r="AF129" s="1717"/>
      <c r="AG129" s="1717"/>
      <c r="AH129" s="1717"/>
      <c r="AI129" s="1717"/>
      <c r="AJ129" s="1717"/>
      <c r="AK129" s="1717"/>
      <c r="AL129" s="1717"/>
      <c r="AM129" s="1717"/>
      <c r="AN129" s="1717"/>
      <c r="AO129" s="1717"/>
      <c r="AP129" s="1717"/>
      <c r="AQ129" s="1717"/>
      <c r="AR129" s="1717"/>
      <c r="AS129" s="1717"/>
      <c r="AT129" s="1717"/>
      <c r="AU129" s="1717"/>
      <c r="AV129" s="1717"/>
      <c r="AW129" s="1717"/>
      <c r="AX129" s="1717"/>
      <c r="AY129" s="1717"/>
      <c r="AZ129" s="1717"/>
      <c r="BA129" s="1717"/>
      <c r="BB129" s="1717"/>
      <c r="BC129" s="1717"/>
      <c r="BD129" s="1717"/>
      <c r="BE129" s="1717"/>
      <c r="BF129" s="1717"/>
      <c r="BG129" s="1648"/>
    </row>
    <row r="130" spans="1:59" hidden="1" x14ac:dyDescent="0.25">
      <c r="B130" s="1620" t="s">
        <v>1616</v>
      </c>
      <c r="C130" s="1722"/>
      <c r="D130" s="1723"/>
      <c r="E130" s="1722"/>
      <c r="F130" s="1724"/>
      <c r="G130" s="1722"/>
      <c r="H130" s="1722"/>
      <c r="I130" s="1725"/>
      <c r="J130" s="1725"/>
      <c r="K130" s="1725"/>
      <c r="L130" s="1725"/>
      <c r="M130" s="1725"/>
      <c r="N130" s="1725"/>
      <c r="O130" s="1725"/>
      <c r="P130" s="1725"/>
      <c r="Q130" s="1001"/>
      <c r="R130" s="1001"/>
      <c r="S130" s="1718"/>
      <c r="T130" s="1718"/>
      <c r="U130" s="1718"/>
      <c r="V130" s="1718"/>
      <c r="W130" s="1718"/>
      <c r="X130" s="1718"/>
      <c r="Y130" s="1718"/>
      <c r="Z130" s="1718"/>
      <c r="AA130" s="1718"/>
      <c r="AB130" s="1718"/>
      <c r="AC130" s="1718"/>
      <c r="AD130" s="1718"/>
      <c r="AE130" s="1718"/>
      <c r="AF130" s="1718"/>
      <c r="AG130" s="1718"/>
      <c r="AH130" s="1718"/>
      <c r="AI130" s="1718"/>
      <c r="AJ130" s="1718"/>
      <c r="AK130" s="1718"/>
      <c r="AL130" s="1718"/>
      <c r="AM130" s="1718"/>
      <c r="AN130" s="1718"/>
      <c r="AO130" s="1718"/>
      <c r="AP130" s="1718"/>
      <c r="AQ130" s="1718"/>
      <c r="AR130" s="1718"/>
      <c r="AS130" s="1718"/>
      <c r="AT130" s="1718"/>
      <c r="AU130" s="1718"/>
      <c r="AV130" s="1718"/>
      <c r="AW130" s="1718"/>
      <c r="AX130" s="1718"/>
      <c r="AY130" s="1718"/>
      <c r="AZ130" s="1718"/>
      <c r="BA130" s="1718"/>
      <c r="BB130" s="1718"/>
      <c r="BC130" s="1718"/>
      <c r="BD130" s="1718"/>
      <c r="BE130" s="1718"/>
      <c r="BF130" s="1718"/>
      <c r="BG130" s="1001"/>
    </row>
    <row r="131" spans="1:59" hidden="1" x14ac:dyDescent="0.25">
      <c r="B131" s="1620"/>
      <c r="C131" s="1726"/>
      <c r="D131" s="1727"/>
      <c r="E131" s="1726"/>
      <c r="F131" s="1728"/>
      <c r="G131" s="1726"/>
      <c r="H131" s="1726"/>
      <c r="I131" s="1729"/>
      <c r="J131" s="1729"/>
      <c r="K131" s="1729"/>
      <c r="L131" s="1729"/>
      <c r="M131" s="1729"/>
      <c r="N131" s="1729"/>
      <c r="O131" s="1729"/>
      <c r="P131" s="1729"/>
      <c r="Q131" s="1001"/>
      <c r="R131" s="1001"/>
      <c r="S131" s="1718"/>
      <c r="T131" s="1718"/>
      <c r="U131" s="1718"/>
      <c r="V131" s="1718"/>
      <c r="W131" s="1718"/>
      <c r="X131" s="1718"/>
      <c r="Y131" s="1718"/>
      <c r="Z131" s="1718"/>
      <c r="AA131" s="1718"/>
      <c r="AB131" s="1718"/>
      <c r="AC131" s="1718"/>
      <c r="AD131" s="1718"/>
      <c r="AE131" s="1718"/>
      <c r="AF131" s="1718"/>
      <c r="AG131" s="1718"/>
      <c r="AH131" s="1718"/>
      <c r="AI131" s="1718"/>
      <c r="AJ131" s="1718"/>
      <c r="AK131" s="1718"/>
      <c r="AL131" s="1718"/>
      <c r="AM131" s="1718"/>
      <c r="AN131" s="1718"/>
      <c r="AO131" s="1718"/>
      <c r="AP131" s="1718"/>
      <c r="AQ131" s="1718"/>
      <c r="AR131" s="1718"/>
      <c r="AS131" s="1718"/>
      <c r="AT131" s="1718"/>
      <c r="AU131" s="1718"/>
      <c r="AV131" s="1718"/>
      <c r="AW131" s="1718"/>
      <c r="AX131" s="1718"/>
      <c r="AY131" s="1718"/>
      <c r="AZ131" s="1718"/>
      <c r="BA131" s="1718"/>
      <c r="BB131" s="1718"/>
      <c r="BC131" s="1718"/>
      <c r="BD131" s="1718"/>
      <c r="BE131" s="1718"/>
      <c r="BF131" s="1718"/>
      <c r="BG131" s="1001"/>
    </row>
    <row r="132" spans="1:59" s="1597" customFormat="1" ht="14.4" hidden="1" thickBot="1" x14ac:dyDescent="0.3">
      <c r="A132" s="1592" t="s">
        <v>1659</v>
      </c>
      <c r="B132" s="1644" t="s">
        <v>1636</v>
      </c>
      <c r="C132" s="1730"/>
      <c r="D132" s="1731"/>
      <c r="E132" s="1730"/>
      <c r="F132" s="1732"/>
      <c r="G132" s="1730"/>
      <c r="H132" s="1730"/>
      <c r="I132" s="1733"/>
      <c r="J132" s="1733"/>
      <c r="K132" s="1733"/>
      <c r="L132" s="1733"/>
      <c r="M132" s="1733"/>
      <c r="N132" s="1733"/>
      <c r="O132" s="1733"/>
      <c r="P132" s="1733"/>
      <c r="Q132" s="1645"/>
      <c r="R132" s="1645"/>
      <c r="S132" s="1734"/>
      <c r="T132" s="1734"/>
      <c r="U132" s="1734"/>
      <c r="V132" s="1734"/>
      <c r="W132" s="1734"/>
      <c r="X132" s="1734"/>
      <c r="Y132" s="1734"/>
      <c r="Z132" s="1734"/>
      <c r="AA132" s="1734"/>
      <c r="AB132" s="1734"/>
      <c r="AC132" s="1734"/>
      <c r="AD132" s="1734"/>
      <c r="AE132" s="1734"/>
      <c r="AF132" s="1734"/>
      <c r="AG132" s="1734"/>
      <c r="AH132" s="1734"/>
      <c r="AI132" s="1734"/>
      <c r="AJ132" s="1734"/>
      <c r="AK132" s="1734"/>
      <c r="AL132" s="1734"/>
      <c r="AM132" s="1734"/>
      <c r="AN132" s="1734"/>
      <c r="AO132" s="1734"/>
      <c r="AP132" s="1734"/>
      <c r="AQ132" s="1734"/>
      <c r="AR132" s="1734"/>
      <c r="AS132" s="1734"/>
      <c r="AT132" s="1734"/>
      <c r="AU132" s="1734"/>
      <c r="AV132" s="1734"/>
      <c r="AW132" s="1734"/>
      <c r="AX132" s="1734"/>
      <c r="AY132" s="1734"/>
      <c r="AZ132" s="1734"/>
      <c r="BA132" s="1734"/>
      <c r="BB132" s="1734"/>
      <c r="BC132" s="1734"/>
      <c r="BD132" s="1734"/>
      <c r="BE132" s="1734"/>
      <c r="BF132" s="1734"/>
    </row>
    <row r="133" spans="1:59" hidden="1" x14ac:dyDescent="0.25">
      <c r="B133" s="1593" t="s">
        <v>1637</v>
      </c>
      <c r="C133" s="1709"/>
      <c r="D133" s="1708"/>
      <c r="E133" s="1709"/>
      <c r="F133" s="1710"/>
      <c r="G133" s="1709"/>
      <c r="H133" s="1709"/>
      <c r="I133" s="1735"/>
      <c r="J133" s="1735"/>
      <c r="K133" s="1735"/>
      <c r="L133" s="1735"/>
      <c r="M133" s="1735"/>
      <c r="N133" s="1735"/>
      <c r="O133" s="1735"/>
      <c r="P133" s="1735"/>
      <c r="Q133" s="1001"/>
      <c r="R133" s="1001"/>
      <c r="S133" s="1718"/>
      <c r="T133" s="1718"/>
      <c r="U133" s="1718"/>
      <c r="V133" s="1718"/>
      <c r="W133" s="1718"/>
      <c r="X133" s="1718"/>
      <c r="Y133" s="1718"/>
      <c r="Z133" s="1718"/>
      <c r="AA133" s="1718"/>
      <c r="AB133" s="1718"/>
      <c r="AC133" s="1718"/>
      <c r="AD133" s="1718"/>
      <c r="AE133" s="1718"/>
      <c r="AF133" s="1718"/>
      <c r="AG133" s="1718"/>
      <c r="AH133" s="1718"/>
      <c r="AI133" s="1718"/>
      <c r="AJ133" s="1718"/>
      <c r="AK133" s="1718"/>
      <c r="AL133" s="1718"/>
      <c r="AM133" s="1718"/>
      <c r="AN133" s="1718"/>
      <c r="AO133" s="1718"/>
      <c r="AP133" s="1718"/>
      <c r="AQ133" s="1718"/>
      <c r="AR133" s="1718"/>
      <c r="AS133" s="1718"/>
      <c r="AT133" s="1718"/>
      <c r="AU133" s="1718"/>
      <c r="AV133" s="1718"/>
      <c r="AW133" s="1718"/>
      <c r="AX133" s="1718"/>
      <c r="AY133" s="1718"/>
      <c r="AZ133" s="1718"/>
      <c r="BA133" s="1718"/>
      <c r="BB133" s="1718"/>
      <c r="BC133" s="1718"/>
      <c r="BD133" s="1718"/>
      <c r="BE133" s="1718"/>
      <c r="BF133" s="1718"/>
      <c r="BG133" s="1001"/>
    </row>
    <row r="134" spans="1:59" hidden="1" x14ac:dyDescent="0.25">
      <c r="C134" s="1660"/>
      <c r="D134" s="1659"/>
      <c r="E134" s="1660"/>
      <c r="F134" s="1677"/>
      <c r="G134" s="1660"/>
      <c r="H134" s="1660"/>
      <c r="I134" s="1662"/>
      <c r="J134" s="1662"/>
      <c r="K134" s="1662"/>
      <c r="L134" s="1662"/>
      <c r="M134" s="1662"/>
      <c r="N134" s="1662"/>
      <c r="O134" s="1662"/>
      <c r="P134" s="1662"/>
      <c r="Q134" s="1001"/>
      <c r="R134" s="1001"/>
      <c r="S134" s="1718"/>
      <c r="T134" s="1718"/>
      <c r="U134" s="1718"/>
      <c r="V134" s="1718"/>
      <c r="W134" s="1718"/>
      <c r="X134" s="1718"/>
      <c r="Y134" s="1718"/>
      <c r="Z134" s="1718"/>
      <c r="AA134" s="1718"/>
      <c r="AB134" s="1718"/>
      <c r="AC134" s="1718"/>
      <c r="AD134" s="1718"/>
      <c r="AE134" s="1718"/>
      <c r="AF134" s="1718"/>
      <c r="AG134" s="1718"/>
      <c r="AH134" s="1718"/>
      <c r="AI134" s="1718"/>
      <c r="AJ134" s="1718"/>
      <c r="AK134" s="1718"/>
      <c r="AL134" s="1718"/>
      <c r="AM134" s="1718"/>
      <c r="AN134" s="1718"/>
      <c r="AO134" s="1718"/>
      <c r="AP134" s="1718"/>
      <c r="AQ134" s="1718"/>
      <c r="AR134" s="1718"/>
      <c r="AS134" s="1718"/>
      <c r="AT134" s="1718"/>
      <c r="AU134" s="1718"/>
      <c r="AV134" s="1718"/>
      <c r="AW134" s="1718"/>
      <c r="AX134" s="1718"/>
      <c r="AY134" s="1718"/>
      <c r="AZ134" s="1718"/>
      <c r="BA134" s="1718"/>
      <c r="BB134" s="1718"/>
      <c r="BC134" s="1718"/>
      <c r="BD134" s="1718"/>
      <c r="BE134" s="1718"/>
      <c r="BF134" s="1718"/>
      <c r="BG134" s="1001"/>
    </row>
    <row r="135" spans="1:59" hidden="1" x14ac:dyDescent="0.25">
      <c r="B135" s="1736"/>
      <c r="C135" s="1660"/>
      <c r="D135" s="1659"/>
      <c r="E135" s="1660"/>
      <c r="F135" s="1677"/>
      <c r="G135" s="1660"/>
      <c r="H135" s="1660"/>
      <c r="I135" s="1662"/>
      <c r="J135" s="1662"/>
      <c r="K135" s="1662"/>
      <c r="L135" s="1662"/>
      <c r="M135" s="1662"/>
      <c r="N135" s="1662"/>
      <c r="O135" s="1662"/>
      <c r="P135" s="1662"/>
      <c r="Q135" s="1001"/>
      <c r="R135" s="1001"/>
      <c r="S135" s="1718"/>
      <c r="T135" s="1718"/>
      <c r="U135" s="1718"/>
      <c r="V135" s="1718"/>
      <c r="W135" s="1718"/>
      <c r="X135" s="1718"/>
      <c r="Y135" s="1718"/>
      <c r="Z135" s="1718"/>
      <c r="AA135" s="1718"/>
      <c r="AB135" s="1718"/>
      <c r="AC135" s="1718"/>
      <c r="AD135" s="1718"/>
      <c r="AE135" s="1718"/>
      <c r="AF135" s="1718"/>
      <c r="AG135" s="1718"/>
      <c r="AH135" s="1718"/>
      <c r="AI135" s="1718"/>
      <c r="AJ135" s="1718"/>
      <c r="AK135" s="1718"/>
      <c r="AL135" s="1718"/>
      <c r="AM135" s="1718"/>
      <c r="AN135" s="1718"/>
      <c r="AO135" s="1718"/>
      <c r="AP135" s="1718"/>
      <c r="AQ135" s="1718"/>
      <c r="AR135" s="1718"/>
      <c r="AS135" s="1718"/>
      <c r="AT135" s="1718"/>
      <c r="AU135" s="1718"/>
      <c r="AV135" s="1718"/>
      <c r="AW135" s="1718"/>
      <c r="AX135" s="1718"/>
      <c r="AY135" s="1718"/>
      <c r="AZ135" s="1718"/>
      <c r="BA135" s="1718"/>
      <c r="BB135" s="1718"/>
      <c r="BC135" s="1718"/>
      <c r="BD135" s="1718"/>
      <c r="BE135" s="1718"/>
      <c r="BF135" s="1718"/>
      <c r="BG135" s="1001"/>
    </row>
    <row r="136" spans="1:59" hidden="1" x14ac:dyDescent="0.25">
      <c r="B136" s="1736"/>
      <c r="C136" s="1660"/>
      <c r="D136" s="1659"/>
      <c r="E136" s="1660"/>
      <c r="F136" s="1677"/>
      <c r="G136" s="1660"/>
      <c r="H136" s="1660"/>
      <c r="I136" s="1662"/>
      <c r="J136" s="1662"/>
      <c r="K136" s="1662"/>
      <c r="L136" s="1662"/>
      <c r="M136" s="1662"/>
      <c r="N136" s="1662"/>
      <c r="O136" s="1662"/>
      <c r="P136" s="1662"/>
      <c r="Q136" s="1001"/>
      <c r="R136" s="1001"/>
      <c r="S136" s="1718"/>
      <c r="T136" s="1718"/>
      <c r="U136" s="1718"/>
      <c r="V136" s="1718"/>
      <c r="W136" s="1718"/>
      <c r="X136" s="1718"/>
      <c r="Y136" s="1718"/>
      <c r="Z136" s="1718"/>
      <c r="AA136" s="1718"/>
      <c r="AB136" s="1718"/>
      <c r="AC136" s="1718"/>
      <c r="AD136" s="1718"/>
      <c r="AE136" s="1718"/>
      <c r="AF136" s="1718"/>
      <c r="AG136" s="1718"/>
      <c r="AH136" s="1718"/>
      <c r="AI136" s="1718"/>
      <c r="AJ136" s="1718"/>
      <c r="AK136" s="1718"/>
      <c r="AL136" s="1718"/>
      <c r="AM136" s="1718"/>
      <c r="AN136" s="1718"/>
      <c r="AO136" s="1718"/>
      <c r="AP136" s="1718"/>
      <c r="AQ136" s="1718"/>
      <c r="AR136" s="1718"/>
      <c r="AS136" s="1718"/>
      <c r="AT136" s="1718"/>
      <c r="AU136" s="1718"/>
      <c r="AV136" s="1718"/>
      <c r="AW136" s="1718"/>
      <c r="AX136" s="1718"/>
      <c r="AY136" s="1718"/>
      <c r="AZ136" s="1718"/>
      <c r="BA136" s="1718"/>
      <c r="BB136" s="1718"/>
      <c r="BC136" s="1718"/>
      <c r="BD136" s="1718"/>
      <c r="BE136" s="1718"/>
      <c r="BF136" s="1718"/>
      <c r="BG136" s="1001"/>
    </row>
    <row r="137" spans="1:59" hidden="1" x14ac:dyDescent="0.25">
      <c r="B137" s="1736"/>
      <c r="C137" s="1660"/>
      <c r="D137" s="1659"/>
      <c r="E137" s="1660"/>
      <c r="F137" s="1677"/>
      <c r="G137" s="1660"/>
      <c r="H137" s="1660"/>
      <c r="I137" s="1662"/>
      <c r="J137" s="1662"/>
      <c r="K137" s="1662"/>
      <c r="L137" s="1662"/>
      <c r="M137" s="1662"/>
      <c r="N137" s="1662"/>
      <c r="O137" s="1662"/>
      <c r="P137" s="1662"/>
      <c r="Q137" s="1001"/>
      <c r="R137" s="1001"/>
      <c r="S137" s="1718"/>
      <c r="T137" s="1718"/>
      <c r="U137" s="1718"/>
      <c r="V137" s="1718"/>
      <c r="W137" s="1718"/>
      <c r="X137" s="1718"/>
      <c r="Y137" s="1718"/>
      <c r="Z137" s="1718"/>
      <c r="AA137" s="1718"/>
      <c r="AB137" s="1718"/>
      <c r="AC137" s="1718"/>
      <c r="AD137" s="1718"/>
      <c r="AE137" s="1718"/>
      <c r="AF137" s="1718"/>
      <c r="AG137" s="1718"/>
      <c r="AH137" s="1718"/>
      <c r="AI137" s="1718"/>
      <c r="AJ137" s="1718"/>
      <c r="AK137" s="1718"/>
      <c r="AL137" s="1718"/>
      <c r="AM137" s="1718"/>
      <c r="AN137" s="1718"/>
      <c r="AO137" s="1718"/>
      <c r="AP137" s="1718"/>
      <c r="AQ137" s="1718"/>
      <c r="AR137" s="1718"/>
      <c r="AS137" s="1718"/>
      <c r="AT137" s="1718"/>
      <c r="AU137" s="1718"/>
      <c r="AV137" s="1718"/>
      <c r="AW137" s="1718"/>
      <c r="AX137" s="1718"/>
      <c r="AY137" s="1718"/>
      <c r="AZ137" s="1718"/>
      <c r="BA137" s="1718"/>
      <c r="BB137" s="1718"/>
      <c r="BC137" s="1718"/>
      <c r="BD137" s="1718"/>
      <c r="BE137" s="1718"/>
      <c r="BF137" s="1718"/>
      <c r="BG137" s="1001"/>
    </row>
    <row r="138" spans="1:59" hidden="1" x14ac:dyDescent="0.25">
      <c r="B138" s="1736"/>
      <c r="C138" s="1722"/>
      <c r="D138" s="1723"/>
      <c r="E138" s="1722"/>
      <c r="F138" s="1724"/>
      <c r="G138" s="1722"/>
      <c r="H138" s="1722"/>
      <c r="I138" s="1725"/>
      <c r="J138" s="1725"/>
      <c r="K138" s="1725"/>
      <c r="L138" s="1725"/>
      <c r="M138" s="1725"/>
      <c r="N138" s="1725"/>
      <c r="O138" s="1725"/>
      <c r="P138" s="1725"/>
      <c r="Q138" s="1001"/>
      <c r="R138" s="1001"/>
      <c r="S138" s="1718"/>
      <c r="T138" s="1718"/>
      <c r="U138" s="1718"/>
      <c r="V138" s="1718"/>
      <c r="W138" s="1718"/>
      <c r="X138" s="1718"/>
      <c r="Y138" s="1718"/>
      <c r="Z138" s="1718"/>
      <c r="AA138" s="1718"/>
      <c r="AB138" s="1718"/>
      <c r="AC138" s="1718"/>
      <c r="AD138" s="1718"/>
      <c r="AE138" s="1718"/>
      <c r="AF138" s="1718"/>
      <c r="AG138" s="1718"/>
      <c r="AH138" s="1718"/>
      <c r="AI138" s="1718"/>
      <c r="AJ138" s="1718"/>
      <c r="AK138" s="1718"/>
      <c r="AL138" s="1718"/>
      <c r="AM138" s="1718"/>
      <c r="AN138" s="1718"/>
      <c r="AO138" s="1718"/>
      <c r="AP138" s="1718"/>
      <c r="AQ138" s="1718"/>
      <c r="AR138" s="1718"/>
      <c r="AS138" s="1718"/>
      <c r="AT138" s="1718"/>
      <c r="AU138" s="1718"/>
      <c r="AV138" s="1718"/>
      <c r="AW138" s="1718"/>
      <c r="AX138" s="1718"/>
      <c r="AY138" s="1718"/>
      <c r="AZ138" s="1718"/>
      <c r="BA138" s="1718"/>
      <c r="BB138" s="1718"/>
      <c r="BC138" s="1718"/>
      <c r="BD138" s="1718"/>
      <c r="BE138" s="1718"/>
      <c r="BF138" s="1718"/>
      <c r="BG138" s="1001"/>
    </row>
    <row r="139" spans="1:59" s="1597" customFormat="1" ht="14.4" hidden="1" thickBot="1" x14ac:dyDescent="0.3">
      <c r="A139" s="1592" t="s">
        <v>1660</v>
      </c>
      <c r="B139" s="1644" t="s">
        <v>1639</v>
      </c>
      <c r="C139" s="1737"/>
      <c r="D139" s="1738"/>
      <c r="E139" s="1737"/>
      <c r="F139" s="1739"/>
      <c r="G139" s="1737"/>
      <c r="H139" s="1737"/>
      <c r="I139" s="1740"/>
      <c r="J139" s="1740"/>
      <c r="K139" s="1740"/>
      <c r="L139" s="1740"/>
      <c r="M139" s="1740"/>
      <c r="N139" s="1740"/>
      <c r="O139" s="1740"/>
      <c r="P139" s="1740"/>
      <c r="Q139" s="1645"/>
      <c r="R139" s="1645"/>
      <c r="S139" s="1734"/>
      <c r="T139" s="1734"/>
      <c r="U139" s="1734"/>
      <c r="V139" s="1734"/>
      <c r="W139" s="1734"/>
      <c r="X139" s="1734"/>
      <c r="Y139" s="1734"/>
      <c r="Z139" s="1734"/>
      <c r="AA139" s="1734"/>
      <c r="AB139" s="1734"/>
      <c r="AC139" s="1734"/>
      <c r="AD139" s="1734"/>
      <c r="AE139" s="1734"/>
      <c r="AF139" s="1734"/>
      <c r="AG139" s="1734"/>
      <c r="AH139" s="1734"/>
      <c r="AI139" s="1734"/>
      <c r="AJ139" s="1734"/>
      <c r="AK139" s="1734"/>
      <c r="AL139" s="1734"/>
      <c r="AM139" s="1734"/>
      <c r="AN139" s="1734"/>
      <c r="AO139" s="1734"/>
      <c r="AP139" s="1734"/>
      <c r="AQ139" s="1734"/>
      <c r="AR139" s="1734"/>
      <c r="AS139" s="1734"/>
      <c r="AT139" s="1734"/>
      <c r="AU139" s="1734"/>
      <c r="AV139" s="1734"/>
      <c r="AW139" s="1734"/>
      <c r="AX139" s="1734"/>
      <c r="AY139" s="1734"/>
      <c r="AZ139" s="1734"/>
      <c r="BA139" s="1734"/>
      <c r="BB139" s="1734"/>
      <c r="BC139" s="1734"/>
      <c r="BD139" s="1734"/>
      <c r="BE139" s="1734"/>
      <c r="BF139" s="1734"/>
      <c r="BG139" s="1648"/>
    </row>
    <row r="140" spans="1:59" hidden="1" x14ac:dyDescent="0.25">
      <c r="B140" s="1657" t="s">
        <v>1640</v>
      </c>
      <c r="C140" s="1709"/>
      <c r="D140" s="1708"/>
      <c r="E140" s="1709"/>
      <c r="F140" s="1710"/>
      <c r="G140" s="1709"/>
      <c r="H140" s="1709"/>
      <c r="I140" s="1735"/>
      <c r="J140" s="1735"/>
      <c r="K140" s="1735"/>
      <c r="L140" s="1735"/>
      <c r="M140" s="1735"/>
      <c r="N140" s="1735"/>
      <c r="O140" s="1735"/>
      <c r="P140" s="1735"/>
      <c r="Q140" s="1001"/>
      <c r="R140" s="1001"/>
      <c r="S140" s="1718"/>
      <c r="T140" s="1718"/>
      <c r="U140" s="1718"/>
      <c r="V140" s="1718"/>
      <c r="W140" s="1718"/>
      <c r="X140" s="1718"/>
      <c r="Y140" s="1718"/>
      <c r="Z140" s="1718"/>
      <c r="AA140" s="1718"/>
      <c r="AB140" s="1718"/>
      <c r="AC140" s="1718"/>
      <c r="AD140" s="1718"/>
      <c r="AE140" s="1718"/>
      <c r="AF140" s="1718"/>
      <c r="AG140" s="1718"/>
      <c r="AH140" s="1718"/>
      <c r="AI140" s="1718"/>
      <c r="AJ140" s="1718"/>
      <c r="AK140" s="1718"/>
      <c r="AL140" s="1718"/>
      <c r="AM140" s="1718"/>
      <c r="AN140" s="1718"/>
      <c r="AO140" s="1718"/>
      <c r="AP140" s="1718"/>
      <c r="AQ140" s="1718"/>
      <c r="AR140" s="1718"/>
      <c r="AS140" s="1718"/>
      <c r="AT140" s="1718"/>
      <c r="AU140" s="1718"/>
      <c r="AV140" s="1718"/>
      <c r="AW140" s="1718"/>
      <c r="AX140" s="1718"/>
      <c r="AY140" s="1718"/>
      <c r="AZ140" s="1718"/>
      <c r="BA140" s="1718"/>
      <c r="BB140" s="1718"/>
      <c r="BC140" s="1718"/>
      <c r="BD140" s="1718"/>
      <c r="BE140" s="1718"/>
      <c r="BF140" s="1718"/>
      <c r="BG140" s="1001"/>
    </row>
    <row r="141" spans="1:59" hidden="1" x14ac:dyDescent="0.25">
      <c r="B141" s="1615"/>
      <c r="C141" s="1660"/>
      <c r="D141" s="1659"/>
      <c r="E141" s="1660"/>
      <c r="F141" s="1677"/>
      <c r="G141" s="1660"/>
      <c r="H141" s="1660"/>
      <c r="I141" s="1662"/>
      <c r="J141" s="1662"/>
      <c r="K141" s="1662"/>
      <c r="L141" s="1662"/>
      <c r="M141" s="1662"/>
      <c r="N141" s="1662"/>
      <c r="O141" s="1662"/>
      <c r="P141" s="1662"/>
      <c r="Q141" s="1001"/>
      <c r="R141" s="1001"/>
      <c r="S141" s="1718"/>
      <c r="T141" s="1718"/>
      <c r="U141" s="1718"/>
      <c r="V141" s="1718"/>
      <c r="W141" s="1718"/>
      <c r="X141" s="1718"/>
      <c r="Y141" s="1718"/>
      <c r="Z141" s="1718"/>
      <c r="AA141" s="1718"/>
      <c r="AB141" s="1718"/>
      <c r="AC141" s="1718"/>
      <c r="AD141" s="1718"/>
      <c r="AE141" s="1718"/>
      <c r="AF141" s="1718"/>
      <c r="AG141" s="1718"/>
      <c r="AH141" s="1718"/>
      <c r="AI141" s="1718"/>
      <c r="AJ141" s="1718"/>
      <c r="AK141" s="1718"/>
      <c r="AL141" s="1718"/>
      <c r="AM141" s="1718"/>
      <c r="AN141" s="1718"/>
      <c r="AO141" s="1718"/>
      <c r="AP141" s="1718"/>
      <c r="AQ141" s="1718"/>
      <c r="AR141" s="1718"/>
      <c r="AS141" s="1718"/>
      <c r="AT141" s="1718"/>
      <c r="AU141" s="1718"/>
      <c r="AV141" s="1718"/>
      <c r="AW141" s="1718"/>
      <c r="AX141" s="1718"/>
      <c r="AY141" s="1718"/>
      <c r="AZ141" s="1718"/>
      <c r="BA141" s="1718"/>
      <c r="BB141" s="1718"/>
      <c r="BC141" s="1718"/>
      <c r="BD141" s="1718"/>
      <c r="BE141" s="1718"/>
      <c r="BF141" s="1718"/>
      <c r="BG141" s="1001"/>
    </row>
    <row r="142" spans="1:59" hidden="1" x14ac:dyDescent="0.25">
      <c r="B142" s="1615"/>
      <c r="C142" s="1660"/>
      <c r="D142" s="1659"/>
      <c r="E142" s="1660"/>
      <c r="F142" s="1677"/>
      <c r="G142" s="1660"/>
      <c r="H142" s="1660"/>
      <c r="I142" s="1662"/>
      <c r="J142" s="1662"/>
      <c r="K142" s="1662"/>
      <c r="L142" s="1662"/>
      <c r="M142" s="1662"/>
      <c r="N142" s="1662"/>
      <c r="O142" s="1662"/>
      <c r="P142" s="1662"/>
      <c r="Q142" s="1001"/>
      <c r="R142" s="1001"/>
      <c r="S142" s="1718"/>
      <c r="T142" s="1718"/>
      <c r="U142" s="1718"/>
      <c r="V142" s="1718"/>
      <c r="W142" s="1718"/>
      <c r="X142" s="1718"/>
      <c r="Y142" s="1718"/>
      <c r="Z142" s="1718"/>
      <c r="AA142" s="1718"/>
      <c r="AB142" s="1718"/>
      <c r="AC142" s="1718"/>
      <c r="AD142" s="1718"/>
      <c r="AE142" s="1718"/>
      <c r="AF142" s="1718"/>
      <c r="AG142" s="1718"/>
      <c r="AH142" s="1718"/>
      <c r="AI142" s="1718"/>
      <c r="AJ142" s="1718"/>
      <c r="AK142" s="1718"/>
      <c r="AL142" s="1718"/>
      <c r="AM142" s="1718"/>
      <c r="AN142" s="1718"/>
      <c r="AO142" s="1718"/>
      <c r="AP142" s="1718"/>
      <c r="AQ142" s="1718"/>
      <c r="AR142" s="1718"/>
      <c r="AS142" s="1718"/>
      <c r="AT142" s="1718"/>
      <c r="AU142" s="1718"/>
      <c r="AV142" s="1718"/>
      <c r="AW142" s="1718"/>
      <c r="AX142" s="1718"/>
      <c r="AY142" s="1718"/>
      <c r="AZ142" s="1718"/>
      <c r="BA142" s="1718"/>
      <c r="BB142" s="1718"/>
      <c r="BC142" s="1718"/>
      <c r="BD142" s="1718"/>
      <c r="BE142" s="1718"/>
      <c r="BF142" s="1718"/>
      <c r="BG142" s="1001"/>
    </row>
    <row r="143" spans="1:59" hidden="1" x14ac:dyDescent="0.25">
      <c r="B143" s="1615"/>
      <c r="C143" s="1660"/>
      <c r="D143" s="1659"/>
      <c r="E143" s="1660"/>
      <c r="F143" s="1677"/>
      <c r="G143" s="1660"/>
      <c r="H143" s="1660"/>
      <c r="I143" s="1662"/>
      <c r="J143" s="1662"/>
      <c r="K143" s="1662"/>
      <c r="L143" s="1662"/>
      <c r="M143" s="1662"/>
      <c r="N143" s="1662"/>
      <c r="O143" s="1662"/>
      <c r="P143" s="1662"/>
      <c r="Q143" s="1001"/>
      <c r="R143" s="1001"/>
      <c r="S143" s="1718"/>
      <c r="T143" s="1718"/>
      <c r="U143" s="1718"/>
      <c r="V143" s="1718"/>
      <c r="W143" s="1718"/>
      <c r="X143" s="1718"/>
      <c r="Y143" s="1718"/>
      <c r="Z143" s="1718"/>
      <c r="AA143" s="1718"/>
      <c r="AB143" s="1718"/>
      <c r="AC143" s="1718"/>
      <c r="AD143" s="1718"/>
      <c r="AE143" s="1718"/>
      <c r="AF143" s="1718"/>
      <c r="AG143" s="1718"/>
      <c r="AH143" s="1718"/>
      <c r="AI143" s="1718"/>
      <c r="AJ143" s="1718"/>
      <c r="AK143" s="1718"/>
      <c r="AL143" s="1718"/>
      <c r="AM143" s="1718"/>
      <c r="AN143" s="1718"/>
      <c r="AO143" s="1718"/>
      <c r="AP143" s="1718"/>
      <c r="AQ143" s="1718"/>
      <c r="AR143" s="1718"/>
      <c r="AS143" s="1718"/>
      <c r="AT143" s="1718"/>
      <c r="AU143" s="1718"/>
      <c r="AV143" s="1718"/>
      <c r="AW143" s="1718"/>
      <c r="AX143" s="1718"/>
      <c r="AY143" s="1718"/>
      <c r="AZ143" s="1718"/>
      <c r="BA143" s="1718"/>
      <c r="BB143" s="1718"/>
      <c r="BC143" s="1718"/>
      <c r="BD143" s="1718"/>
      <c r="BE143" s="1718"/>
      <c r="BF143" s="1718"/>
      <c r="BG143" s="1001"/>
    </row>
    <row r="144" spans="1:59" hidden="1" x14ac:dyDescent="0.25">
      <c r="B144" s="1657"/>
      <c r="C144" s="1660"/>
      <c r="D144" s="1659"/>
      <c r="E144" s="1660"/>
      <c r="F144" s="1677"/>
      <c r="G144" s="1660"/>
      <c r="H144" s="1660"/>
      <c r="I144" s="1662"/>
      <c r="J144" s="1662"/>
      <c r="K144" s="1662"/>
      <c r="L144" s="1662"/>
      <c r="M144" s="1662"/>
      <c r="N144" s="1662"/>
      <c r="O144" s="1662"/>
      <c r="P144" s="1662"/>
      <c r="Q144" s="1001"/>
      <c r="R144" s="1001"/>
      <c r="S144" s="1718"/>
      <c r="T144" s="1718"/>
      <c r="U144" s="1718"/>
      <c r="V144" s="1718"/>
      <c r="W144" s="1718"/>
      <c r="X144" s="1718"/>
      <c r="Y144" s="1718"/>
      <c r="Z144" s="1718"/>
      <c r="AA144" s="1718"/>
      <c r="AB144" s="1718"/>
      <c r="AC144" s="1718"/>
      <c r="AD144" s="1718"/>
      <c r="AE144" s="1718"/>
      <c r="AF144" s="1718"/>
      <c r="AG144" s="1718"/>
      <c r="AH144" s="1718"/>
      <c r="AI144" s="1718"/>
      <c r="AJ144" s="1718"/>
      <c r="AK144" s="1718"/>
      <c r="AL144" s="1718"/>
      <c r="AM144" s="1718"/>
      <c r="AN144" s="1718"/>
      <c r="AO144" s="1718"/>
      <c r="AP144" s="1718"/>
      <c r="AQ144" s="1718"/>
      <c r="AR144" s="1718"/>
      <c r="AS144" s="1718"/>
      <c r="AT144" s="1718"/>
      <c r="AU144" s="1718"/>
      <c r="AV144" s="1718"/>
      <c r="AW144" s="1718"/>
      <c r="AX144" s="1718"/>
      <c r="AY144" s="1718"/>
      <c r="AZ144" s="1718"/>
      <c r="BA144" s="1718"/>
      <c r="BB144" s="1718"/>
      <c r="BC144" s="1718"/>
      <c r="BD144" s="1718"/>
      <c r="BE144" s="1718"/>
      <c r="BF144" s="1718"/>
      <c r="BG144" s="1001"/>
    </row>
    <row r="145" spans="1:59" hidden="1" x14ac:dyDescent="0.25">
      <c r="B145" s="1615"/>
      <c r="C145" s="1660"/>
      <c r="D145" s="1659"/>
      <c r="E145" s="1660"/>
      <c r="F145" s="1677"/>
      <c r="G145" s="1660"/>
      <c r="H145" s="1660"/>
      <c r="I145" s="1662"/>
      <c r="J145" s="1662"/>
      <c r="K145" s="1662"/>
      <c r="L145" s="1662"/>
      <c r="M145" s="1662"/>
      <c r="N145" s="1662"/>
      <c r="O145" s="1662"/>
      <c r="P145" s="1662"/>
      <c r="Q145" s="1001"/>
      <c r="R145" s="1001"/>
      <c r="S145" s="1718"/>
      <c r="T145" s="1718"/>
      <c r="U145" s="1718"/>
      <c r="V145" s="1718"/>
      <c r="W145" s="1718"/>
      <c r="X145" s="1718"/>
      <c r="Y145" s="1718"/>
      <c r="Z145" s="1718"/>
      <c r="AA145" s="1718"/>
      <c r="AB145" s="1718"/>
      <c r="AC145" s="1718"/>
      <c r="AD145" s="1718"/>
      <c r="AE145" s="1718"/>
      <c r="AF145" s="1718"/>
      <c r="AG145" s="1718"/>
      <c r="AH145" s="1718"/>
      <c r="AI145" s="1718"/>
      <c r="AJ145" s="1718"/>
      <c r="AK145" s="1718"/>
      <c r="AL145" s="1718"/>
      <c r="AM145" s="1718"/>
      <c r="AN145" s="1718"/>
      <c r="AO145" s="1718"/>
      <c r="AP145" s="1718"/>
      <c r="AQ145" s="1718"/>
      <c r="AR145" s="1718"/>
      <c r="AS145" s="1718"/>
      <c r="AT145" s="1718"/>
      <c r="AU145" s="1718"/>
      <c r="AV145" s="1718"/>
      <c r="AW145" s="1718"/>
      <c r="AX145" s="1718"/>
      <c r="AY145" s="1718"/>
      <c r="AZ145" s="1718"/>
      <c r="BA145" s="1718"/>
      <c r="BB145" s="1718"/>
      <c r="BC145" s="1718"/>
      <c r="BD145" s="1718"/>
      <c r="BE145" s="1718"/>
      <c r="BF145" s="1718"/>
      <c r="BG145" s="1001"/>
    </row>
    <row r="146" spans="1:59" hidden="1" x14ac:dyDescent="0.25">
      <c r="B146" s="1657" t="s">
        <v>1641</v>
      </c>
      <c r="C146" s="1660"/>
      <c r="D146" s="1659"/>
      <c r="E146" s="1660"/>
      <c r="F146" s="1677"/>
      <c r="G146" s="1660"/>
      <c r="H146" s="1660"/>
      <c r="I146" s="1662"/>
      <c r="J146" s="1662"/>
      <c r="K146" s="1662"/>
      <c r="L146" s="1662"/>
      <c r="M146" s="1662"/>
      <c r="N146" s="1662"/>
      <c r="O146" s="1662"/>
      <c r="P146" s="1662"/>
      <c r="Q146" s="1001"/>
      <c r="R146" s="1001"/>
      <c r="S146" s="1718"/>
      <c r="T146" s="1718"/>
      <c r="U146" s="1718"/>
      <c r="V146" s="1718"/>
      <c r="W146" s="1718"/>
      <c r="X146" s="1718"/>
      <c r="Y146" s="1718"/>
      <c r="Z146" s="1718"/>
      <c r="AA146" s="1718"/>
      <c r="AB146" s="1718"/>
      <c r="AC146" s="1718"/>
      <c r="AD146" s="1718"/>
      <c r="AE146" s="1718"/>
      <c r="AF146" s="1718"/>
      <c r="AG146" s="1718"/>
      <c r="AH146" s="1718"/>
      <c r="AI146" s="1718"/>
      <c r="AJ146" s="1718"/>
      <c r="AK146" s="1718"/>
      <c r="AL146" s="1718"/>
      <c r="AM146" s="1718"/>
      <c r="AN146" s="1718"/>
      <c r="AO146" s="1718"/>
      <c r="AP146" s="1718"/>
      <c r="AQ146" s="1718"/>
      <c r="AR146" s="1718"/>
      <c r="AS146" s="1718"/>
      <c r="AT146" s="1718"/>
      <c r="AU146" s="1718"/>
      <c r="AV146" s="1718"/>
      <c r="AW146" s="1718"/>
      <c r="AX146" s="1718"/>
      <c r="AY146" s="1718"/>
      <c r="AZ146" s="1718"/>
      <c r="BA146" s="1718"/>
      <c r="BB146" s="1718"/>
      <c r="BC146" s="1718"/>
      <c r="BD146" s="1718"/>
      <c r="BE146" s="1718"/>
      <c r="BF146" s="1718"/>
      <c r="BG146" s="1001"/>
    </row>
    <row r="147" spans="1:59" hidden="1" x14ac:dyDescent="0.25">
      <c r="B147" s="1736"/>
      <c r="C147" s="1660"/>
      <c r="D147" s="1659"/>
      <c r="E147" s="1660"/>
      <c r="F147" s="1677"/>
      <c r="G147" s="1660"/>
      <c r="H147" s="1660"/>
      <c r="I147" s="1662"/>
      <c r="J147" s="1662"/>
      <c r="K147" s="1662"/>
      <c r="L147" s="1662"/>
      <c r="M147" s="1662"/>
      <c r="N147" s="1662"/>
      <c r="O147" s="1662"/>
      <c r="P147" s="1662"/>
      <c r="Q147" s="1001"/>
      <c r="R147" s="1001"/>
      <c r="S147" s="1718"/>
      <c r="T147" s="1718"/>
      <c r="U147" s="1718"/>
      <c r="V147" s="1718"/>
      <c r="W147" s="1718"/>
      <c r="X147" s="1718"/>
      <c r="Y147" s="1718"/>
      <c r="Z147" s="1718"/>
      <c r="AA147" s="1718"/>
      <c r="AB147" s="1718"/>
      <c r="AC147" s="1718"/>
      <c r="AD147" s="1718"/>
      <c r="AE147" s="1718"/>
      <c r="AF147" s="1718"/>
      <c r="AG147" s="1718"/>
      <c r="AH147" s="1718"/>
      <c r="AI147" s="1718"/>
      <c r="AJ147" s="1718"/>
      <c r="AK147" s="1718"/>
      <c r="AL147" s="1718"/>
      <c r="AM147" s="1718"/>
      <c r="AN147" s="1718"/>
      <c r="AO147" s="1718"/>
      <c r="AP147" s="1718"/>
      <c r="AQ147" s="1718"/>
      <c r="AR147" s="1718"/>
      <c r="AS147" s="1718"/>
      <c r="AT147" s="1718"/>
      <c r="AU147" s="1718"/>
      <c r="AV147" s="1718"/>
      <c r="AW147" s="1718"/>
      <c r="AX147" s="1718"/>
      <c r="AY147" s="1718"/>
      <c r="AZ147" s="1718"/>
      <c r="BA147" s="1718"/>
      <c r="BB147" s="1718"/>
      <c r="BC147" s="1718"/>
      <c r="BD147" s="1718"/>
      <c r="BE147" s="1718"/>
      <c r="BF147" s="1718"/>
      <c r="BG147" s="1001"/>
    </row>
    <row r="148" spans="1:59" s="1742" customFormat="1" hidden="1" x14ac:dyDescent="0.25">
      <c r="A148" s="1741"/>
      <c r="C148" s="1658"/>
      <c r="D148" s="1743"/>
      <c r="E148" s="1658"/>
      <c r="F148" s="1744"/>
      <c r="G148" s="1658"/>
      <c r="H148" s="1658"/>
      <c r="I148" s="1745"/>
      <c r="J148" s="1745"/>
      <c r="K148" s="1745"/>
      <c r="L148" s="1745"/>
      <c r="M148" s="1745"/>
      <c r="N148" s="1745"/>
      <c r="O148" s="1745"/>
      <c r="P148" s="1745"/>
      <c r="Q148" s="1746"/>
      <c r="R148" s="1746"/>
      <c r="S148" s="1747"/>
      <c r="T148" s="1747"/>
      <c r="U148" s="1747"/>
      <c r="V148" s="1747"/>
      <c r="W148" s="1747"/>
      <c r="X148" s="1747"/>
      <c r="Y148" s="1747"/>
      <c r="Z148" s="1747"/>
      <c r="AA148" s="1747"/>
      <c r="AB148" s="1747"/>
      <c r="AC148" s="1747"/>
      <c r="AD148" s="1747"/>
      <c r="AE148" s="1747"/>
      <c r="AF148" s="1747"/>
      <c r="AG148" s="1747"/>
      <c r="AH148" s="1747"/>
      <c r="AI148" s="1747"/>
      <c r="AJ148" s="1747"/>
      <c r="AK148" s="1747"/>
      <c r="AL148" s="1747"/>
      <c r="AM148" s="1747"/>
      <c r="AN148" s="1747"/>
      <c r="AO148" s="1747"/>
      <c r="AP148" s="1747"/>
      <c r="AQ148" s="1747"/>
      <c r="AR148" s="1747"/>
      <c r="AS148" s="1747"/>
      <c r="AT148" s="1747"/>
      <c r="AU148" s="1747"/>
      <c r="AV148" s="1747"/>
      <c r="AW148" s="1747"/>
      <c r="AX148" s="1747"/>
      <c r="AY148" s="1747"/>
      <c r="AZ148" s="1747"/>
      <c r="BA148" s="1747"/>
      <c r="BB148" s="1747"/>
      <c r="BC148" s="1747"/>
      <c r="BD148" s="1747"/>
      <c r="BE148" s="1747"/>
      <c r="BF148" s="1747"/>
      <c r="BG148" s="1746"/>
    </row>
    <row r="149" spans="1:59" s="1742" customFormat="1" hidden="1" x14ac:dyDescent="0.25">
      <c r="A149" s="1741"/>
      <c r="B149" s="1748"/>
      <c r="C149" s="1658"/>
      <c r="D149" s="1743"/>
      <c r="E149" s="1658"/>
      <c r="F149" s="1744"/>
      <c r="G149" s="1658"/>
      <c r="H149" s="1658"/>
      <c r="I149" s="1745"/>
      <c r="J149" s="1745"/>
      <c r="K149" s="1745"/>
      <c r="L149" s="1745"/>
      <c r="M149" s="1745"/>
      <c r="N149" s="1745"/>
      <c r="O149" s="1745"/>
      <c r="P149" s="1745"/>
      <c r="Q149" s="1746"/>
      <c r="R149" s="1746"/>
      <c r="S149" s="1747"/>
      <c r="T149" s="1747"/>
      <c r="U149" s="1747"/>
      <c r="V149" s="1747"/>
      <c r="W149" s="1747"/>
      <c r="X149" s="1747"/>
      <c r="Y149" s="1747"/>
      <c r="Z149" s="1747"/>
      <c r="AA149" s="1747"/>
      <c r="AB149" s="1747"/>
      <c r="AC149" s="1747"/>
      <c r="AD149" s="1747"/>
      <c r="AE149" s="1747"/>
      <c r="AF149" s="1747"/>
      <c r="AG149" s="1747"/>
      <c r="AH149" s="1747"/>
      <c r="AI149" s="1747"/>
      <c r="AJ149" s="1747"/>
      <c r="AK149" s="1747"/>
      <c r="AL149" s="1747"/>
      <c r="AM149" s="1747"/>
      <c r="AN149" s="1747"/>
      <c r="AO149" s="1747"/>
      <c r="AP149" s="1747"/>
      <c r="AQ149" s="1747"/>
      <c r="AR149" s="1747"/>
      <c r="AS149" s="1747"/>
      <c r="AT149" s="1747"/>
      <c r="AU149" s="1747"/>
      <c r="AV149" s="1747"/>
      <c r="AW149" s="1747"/>
      <c r="AX149" s="1747"/>
      <c r="AY149" s="1747"/>
      <c r="AZ149" s="1747"/>
      <c r="BA149" s="1747"/>
      <c r="BB149" s="1747"/>
      <c r="BC149" s="1747"/>
      <c r="BD149" s="1747"/>
      <c r="BE149" s="1747"/>
      <c r="BF149" s="1747"/>
      <c r="BG149" s="1746"/>
    </row>
    <row r="150" spans="1:59" s="1742" customFormat="1" hidden="1" x14ac:dyDescent="0.25">
      <c r="A150" s="1741"/>
      <c r="B150" s="1748"/>
      <c r="C150" s="1658"/>
      <c r="D150" s="1743"/>
      <c r="E150" s="1658"/>
      <c r="F150" s="1744"/>
      <c r="G150" s="1658"/>
      <c r="H150" s="1658"/>
      <c r="I150" s="1745"/>
      <c r="J150" s="1745"/>
      <c r="K150" s="1745"/>
      <c r="L150" s="1745"/>
      <c r="M150" s="1745"/>
      <c r="N150" s="1745"/>
      <c r="O150" s="1745"/>
      <c r="P150" s="1745"/>
      <c r="Q150" s="1746"/>
      <c r="R150" s="1746"/>
      <c r="S150" s="1747"/>
      <c r="T150" s="1747"/>
      <c r="U150" s="1747"/>
      <c r="V150" s="1747"/>
      <c r="W150" s="1747"/>
      <c r="X150" s="1747"/>
      <c r="Y150" s="1747"/>
      <c r="Z150" s="1747"/>
      <c r="AA150" s="1747"/>
      <c r="AB150" s="1747"/>
      <c r="AC150" s="1747"/>
      <c r="AD150" s="1747"/>
      <c r="AE150" s="1747"/>
      <c r="AF150" s="1747"/>
      <c r="AG150" s="1747"/>
      <c r="AH150" s="1747"/>
      <c r="AI150" s="1747"/>
      <c r="AJ150" s="1747"/>
      <c r="AK150" s="1747"/>
      <c r="AL150" s="1747"/>
      <c r="AM150" s="1747"/>
      <c r="AN150" s="1747"/>
      <c r="AO150" s="1747"/>
      <c r="AP150" s="1747"/>
      <c r="AQ150" s="1747"/>
      <c r="AR150" s="1747"/>
      <c r="AS150" s="1747"/>
      <c r="AT150" s="1747"/>
      <c r="AU150" s="1747"/>
      <c r="AV150" s="1747"/>
      <c r="AW150" s="1747"/>
      <c r="AX150" s="1747"/>
      <c r="AY150" s="1747"/>
      <c r="AZ150" s="1747"/>
      <c r="BA150" s="1747"/>
      <c r="BB150" s="1747"/>
      <c r="BC150" s="1747"/>
      <c r="BD150" s="1747"/>
      <c r="BE150" s="1747"/>
      <c r="BF150" s="1747"/>
      <c r="BG150" s="1746"/>
    </row>
    <row r="151" spans="1:59" s="1742" customFormat="1" hidden="1" x14ac:dyDescent="0.25">
      <c r="A151" s="1741"/>
      <c r="B151" s="1748"/>
      <c r="C151" s="1749"/>
      <c r="D151" s="1750"/>
      <c r="E151" s="1749"/>
      <c r="F151" s="1751"/>
      <c r="G151" s="1749"/>
      <c r="H151" s="1749"/>
      <c r="I151" s="1752"/>
      <c r="J151" s="1752"/>
      <c r="K151" s="1752"/>
      <c r="L151" s="1752"/>
      <c r="M151" s="1752"/>
      <c r="N151" s="1752"/>
      <c r="O151" s="1752"/>
      <c r="P151" s="1752"/>
      <c r="Q151" s="1746"/>
      <c r="R151" s="1746"/>
      <c r="S151" s="1747"/>
      <c r="T151" s="1747"/>
      <c r="U151" s="1747"/>
      <c r="V151" s="1747"/>
      <c r="W151" s="1747"/>
      <c r="X151" s="1747"/>
      <c r="Y151" s="1747"/>
      <c r="Z151" s="1747"/>
      <c r="AA151" s="1747"/>
      <c r="AB151" s="1747"/>
      <c r="AC151" s="1747"/>
      <c r="AD151" s="1747"/>
      <c r="AE151" s="1747"/>
      <c r="AF151" s="1747"/>
      <c r="AG151" s="1747"/>
      <c r="AH151" s="1747"/>
      <c r="AI151" s="1747"/>
      <c r="AJ151" s="1747"/>
      <c r="AK151" s="1747"/>
      <c r="AL151" s="1747"/>
      <c r="AM151" s="1747"/>
      <c r="AN151" s="1747"/>
      <c r="AO151" s="1747"/>
      <c r="AP151" s="1747"/>
      <c r="AQ151" s="1747"/>
      <c r="AR151" s="1747"/>
      <c r="AS151" s="1747"/>
      <c r="AT151" s="1747"/>
      <c r="AU151" s="1747"/>
      <c r="AV151" s="1747"/>
      <c r="AW151" s="1747"/>
      <c r="AX151" s="1747"/>
      <c r="AY151" s="1747"/>
      <c r="AZ151" s="1747"/>
      <c r="BA151" s="1747"/>
      <c r="BB151" s="1747"/>
      <c r="BC151" s="1747"/>
      <c r="BD151" s="1747"/>
      <c r="BE151" s="1747"/>
      <c r="BF151" s="1747"/>
      <c r="BG151" s="1746"/>
    </row>
    <row r="153" spans="1:59" ht="14.4" thickBot="1" x14ac:dyDescent="0.3">
      <c r="A153" s="1592">
        <v>2</v>
      </c>
      <c r="B153" s="1644" t="s">
        <v>1661</v>
      </c>
      <c r="C153" s="1686"/>
      <c r="D153" s="1687"/>
      <c r="E153" s="1686"/>
      <c r="F153" s="1688"/>
      <c r="G153" s="1686"/>
      <c r="H153" s="1686"/>
      <c r="I153" s="1686"/>
      <c r="J153" s="1686"/>
      <c r="K153" s="1686"/>
      <c r="L153" s="1686"/>
      <c r="M153" s="1686"/>
      <c r="N153" s="1686"/>
      <c r="O153" s="1686"/>
      <c r="P153" s="1686"/>
      <c r="Q153" s="1001"/>
      <c r="R153" s="1689"/>
      <c r="S153" s="1686"/>
      <c r="T153" s="1686"/>
      <c r="U153" s="1686"/>
      <c r="V153" s="1686"/>
      <c r="W153" s="1686"/>
      <c r="X153" s="1686"/>
      <c r="Y153" s="1686"/>
      <c r="Z153" s="1686"/>
      <c r="AA153" s="1686"/>
      <c r="AB153" s="1686"/>
      <c r="AC153" s="1686"/>
      <c r="AD153" s="1686"/>
      <c r="AE153" s="1686"/>
      <c r="AF153" s="1686"/>
      <c r="AG153" s="1686"/>
      <c r="AH153" s="1686"/>
      <c r="AI153" s="1686"/>
      <c r="AJ153" s="1686"/>
      <c r="AK153" s="1686"/>
      <c r="AL153" s="1686"/>
      <c r="AM153" s="1686"/>
      <c r="AN153" s="1686"/>
      <c r="AO153" s="1686"/>
      <c r="AP153" s="1686"/>
      <c r="AQ153" s="1686"/>
      <c r="AR153" s="1686"/>
      <c r="AS153" s="1686"/>
      <c r="AT153" s="1686"/>
      <c r="AU153" s="1686"/>
      <c r="AV153" s="1686"/>
      <c r="AW153" s="1686"/>
      <c r="AX153" s="1686"/>
      <c r="AY153" s="1686"/>
      <c r="AZ153" s="1686"/>
      <c r="BA153" s="1686"/>
      <c r="BB153" s="1686"/>
      <c r="BC153" s="1686"/>
      <c r="BD153" s="1686"/>
      <c r="BE153" s="1686"/>
      <c r="BF153" s="1686"/>
      <c r="BG153" s="1001"/>
    </row>
    <row r="154" spans="1:59" x14ac:dyDescent="0.25">
      <c r="B154" s="1597"/>
      <c r="C154" s="1759" t="s">
        <v>1662</v>
      </c>
      <c r="D154" s="1759"/>
      <c r="E154" s="1759"/>
      <c r="F154" s="1759"/>
      <c r="G154" s="1759"/>
      <c r="H154" s="1759"/>
      <c r="I154" s="1759"/>
      <c r="J154" s="1759"/>
      <c r="K154" s="1759"/>
      <c r="L154" s="1759"/>
      <c r="M154" s="1759"/>
      <c r="N154" s="1759"/>
      <c r="O154" s="1759"/>
      <c r="P154" s="1759"/>
      <c r="Q154" s="1759"/>
      <c r="S154" s="1001"/>
      <c r="T154" s="1001"/>
      <c r="U154" s="1001"/>
      <c r="V154" s="1001"/>
      <c r="W154" s="1001"/>
      <c r="X154" s="1001"/>
      <c r="Y154" s="1001"/>
      <c r="Z154" s="1001"/>
      <c r="AA154" s="1001"/>
      <c r="AB154" s="1001"/>
      <c r="AC154" s="1001"/>
      <c r="AD154" s="1001"/>
      <c r="AE154" s="1001"/>
      <c r="AF154" s="1001"/>
      <c r="AG154" s="1001"/>
      <c r="AH154" s="1001"/>
      <c r="AI154" s="1001"/>
      <c r="AJ154" s="1001"/>
      <c r="AK154" s="1001"/>
      <c r="AL154" s="1001"/>
      <c r="AM154" s="1001"/>
      <c r="AN154" s="1001"/>
      <c r="AO154" s="1001"/>
      <c r="AP154" s="1001"/>
      <c r="AQ154" s="1001"/>
      <c r="AR154" s="1001"/>
      <c r="AS154" s="1001"/>
      <c r="AT154" s="1001"/>
      <c r="AU154" s="1001"/>
      <c r="AV154" s="1001"/>
      <c r="AW154" s="1001"/>
      <c r="AX154" s="1001"/>
      <c r="AY154" s="1001"/>
      <c r="AZ154" s="1001"/>
      <c r="BA154" s="1001"/>
      <c r="BB154" s="1001"/>
      <c r="BC154" s="1001"/>
      <c r="BD154" s="1001"/>
      <c r="BE154" s="1001"/>
      <c r="BF154" s="1001"/>
      <c r="BG154" s="1001"/>
    </row>
    <row r="155" spans="1:59" x14ac:dyDescent="0.25">
      <c r="B155" s="1597"/>
      <c r="C155" s="1758" t="s">
        <v>1663</v>
      </c>
      <c r="D155" s="1760">
        <f>AVERAGE('Mảng dược phẩm'!X235,'Mảng dược phẩm'!Y235)/'Mảng dược phẩm'!X243*'Mảng dược phẩm'!X242*'Mảng dược phẩm'!Y99/1000</f>
        <v>9.3125147424040513</v>
      </c>
      <c r="E155" s="1039"/>
      <c r="F155" s="1039"/>
      <c r="G155" s="1039"/>
      <c r="H155" s="1039"/>
      <c r="I155" s="1039"/>
      <c r="J155" s="1039"/>
      <c r="K155" s="1039"/>
      <c r="L155" s="1039"/>
      <c r="M155" s="1039"/>
      <c r="N155" s="1039"/>
      <c r="O155" s="1039"/>
      <c r="P155" s="1039"/>
      <c r="Q155" s="1039"/>
      <c r="R155" s="1597" t="s">
        <v>1664</v>
      </c>
      <c r="S155" s="1001"/>
      <c r="T155" s="1001"/>
      <c r="U155" s="1633">
        <f>43.1%*255*D159</f>
        <v>66.863388352748515</v>
      </c>
      <c r="V155" s="1001"/>
      <c r="W155" s="1001"/>
      <c r="X155" s="1001"/>
      <c r="Y155" s="1001"/>
      <c r="Z155" s="1001"/>
      <c r="AA155" s="1001"/>
      <c r="AB155" s="1001"/>
      <c r="AC155" s="1001"/>
      <c r="AD155" s="1001"/>
      <c r="AE155" s="1001"/>
      <c r="AF155" s="1001"/>
      <c r="AG155" s="1001"/>
      <c r="AH155" s="1001"/>
      <c r="AI155" s="1001"/>
      <c r="AJ155" s="1001"/>
      <c r="AK155" s="1001"/>
      <c r="AL155" s="1001"/>
      <c r="AM155" s="1001"/>
      <c r="AN155" s="1001"/>
      <c r="AO155" s="1001"/>
      <c r="AP155" s="1001"/>
      <c r="AQ155" s="1001"/>
      <c r="AR155" s="1001"/>
      <c r="AS155" s="1001"/>
      <c r="AT155" s="1001"/>
      <c r="AU155" s="1001"/>
      <c r="AV155" s="1001"/>
      <c r="AW155" s="1001"/>
      <c r="AX155" s="1001"/>
      <c r="AY155" s="1001"/>
      <c r="AZ155" s="1001"/>
      <c r="BA155" s="1001"/>
      <c r="BB155" s="1001"/>
      <c r="BC155" s="1001"/>
      <c r="BD155" s="1001"/>
      <c r="BE155" s="1001"/>
      <c r="BF155" s="1001"/>
      <c r="BG155" s="1001"/>
    </row>
    <row r="156" spans="1:59" x14ac:dyDescent="0.25">
      <c r="B156" s="1597"/>
      <c r="C156" s="1758" t="s">
        <v>1665</v>
      </c>
      <c r="D156" s="1760">
        <f>'Mảng dược phẩm'!Z236/'Mảng dược phẩm'!Z243*'Mảng dược phẩm'!Z242*'Mảng dược phẩm'!Z100/1000</f>
        <v>3.3637837697323376</v>
      </c>
      <c r="E156" s="1039"/>
      <c r="F156" s="1039"/>
      <c r="G156" s="1039"/>
      <c r="H156" s="1039"/>
      <c r="I156" s="1039"/>
      <c r="J156" s="1039"/>
      <c r="K156" s="1039"/>
      <c r="L156" s="1039"/>
      <c r="M156" s="1039"/>
      <c r="N156" s="1039"/>
      <c r="O156" s="1039"/>
      <c r="P156" s="1039"/>
      <c r="Q156" s="1039"/>
      <c r="R156" s="1648" t="s">
        <v>1666</v>
      </c>
      <c r="S156" s="1001"/>
      <c r="T156" s="1001"/>
      <c r="U156" s="1633">
        <f>0.3*34.3%*350</f>
        <v>36.015000000000001</v>
      </c>
      <c r="V156" s="1001"/>
      <c r="W156" s="1001"/>
      <c r="X156" s="1001"/>
      <c r="Y156" s="1001"/>
      <c r="Z156" s="1001"/>
      <c r="AA156" s="1001"/>
      <c r="AB156" s="1001"/>
      <c r="AC156" s="1001"/>
      <c r="AD156" s="1001"/>
      <c r="AE156" s="1001"/>
      <c r="AF156" s="1001"/>
      <c r="AG156" s="1001"/>
      <c r="AH156" s="1001"/>
      <c r="AI156" s="1001"/>
      <c r="AJ156" s="1001"/>
      <c r="AK156" s="1001"/>
      <c r="AL156" s="1001"/>
      <c r="AM156" s="1001"/>
      <c r="AN156" s="1001"/>
      <c r="AO156" s="1001"/>
      <c r="AP156" s="1001"/>
      <c r="AQ156" s="1001"/>
      <c r="AR156" s="1001"/>
      <c r="AS156" s="1001"/>
      <c r="AT156" s="1001"/>
      <c r="AU156" s="1001"/>
      <c r="AV156" s="1001"/>
      <c r="AW156" s="1001"/>
      <c r="AX156" s="1001"/>
      <c r="AY156" s="1001"/>
      <c r="AZ156" s="1001"/>
      <c r="BA156" s="1001"/>
      <c r="BB156" s="1001"/>
      <c r="BC156" s="1001"/>
      <c r="BD156" s="1001"/>
      <c r="BE156" s="1001"/>
      <c r="BF156" s="1001"/>
      <c r="BG156" s="1001"/>
    </row>
    <row r="157" spans="1:59" x14ac:dyDescent="0.25">
      <c r="B157" s="1597"/>
      <c r="C157" s="1758" t="s">
        <v>1667</v>
      </c>
      <c r="D157" s="1760">
        <f>'Mảng dược phẩm'!Z237/'Mảng dược phẩm'!Z243*'Mảng dược phẩm'!Z242*'Mảng dược phẩm'!Z101/1000</f>
        <v>2.5387662924858732</v>
      </c>
      <c r="E157" s="1039"/>
      <c r="F157" s="1039"/>
      <c r="G157" s="1039"/>
      <c r="H157" s="1039"/>
      <c r="I157" s="1039"/>
      <c r="J157" s="1039"/>
      <c r="K157" s="1039"/>
      <c r="L157" s="1039"/>
      <c r="M157" s="1039"/>
      <c r="N157" s="1039"/>
      <c r="O157" s="1039"/>
      <c r="P157" s="1039"/>
      <c r="Q157" s="1039"/>
      <c r="R157" s="1597" t="s">
        <v>1668</v>
      </c>
      <c r="S157" s="1001"/>
      <c r="T157" s="1001"/>
      <c r="U157" s="1633">
        <f>U155+U156</f>
        <v>102.87838835274852</v>
      </c>
      <c r="V157" s="1001"/>
      <c r="W157" s="1001"/>
      <c r="X157" s="1001"/>
      <c r="Y157" s="1001"/>
      <c r="Z157" s="1001"/>
      <c r="AA157" s="1001"/>
      <c r="AB157" s="1001"/>
      <c r="AC157" s="1001"/>
      <c r="AD157" s="1001"/>
      <c r="AE157" s="1001"/>
      <c r="AF157" s="1001"/>
      <c r="AG157" s="1001"/>
      <c r="AH157" s="1001"/>
      <c r="AI157" s="1001"/>
      <c r="AJ157" s="1001"/>
      <c r="AK157" s="1001"/>
      <c r="AL157" s="1001"/>
      <c r="AM157" s="1001"/>
      <c r="AN157" s="1001"/>
      <c r="AO157" s="1001"/>
      <c r="AP157" s="1001"/>
      <c r="AQ157" s="1001"/>
      <c r="AR157" s="1001"/>
      <c r="AS157" s="1001"/>
      <c r="AT157" s="1001"/>
      <c r="AU157" s="1001"/>
      <c r="AV157" s="1001"/>
      <c r="AW157" s="1001"/>
      <c r="AX157" s="1001"/>
      <c r="AY157" s="1001"/>
      <c r="AZ157" s="1001"/>
      <c r="BA157" s="1001"/>
      <c r="BB157" s="1001"/>
      <c r="BC157" s="1001"/>
      <c r="BD157" s="1001"/>
      <c r="BE157" s="1001"/>
      <c r="BF157" s="1001"/>
      <c r="BG157" s="1001"/>
    </row>
    <row r="158" spans="1:59" ht="24.6" customHeight="1" x14ac:dyDescent="0.25">
      <c r="B158" s="1597"/>
      <c r="C158" s="1758" t="s">
        <v>1669</v>
      </c>
      <c r="D158" s="1760">
        <f>'Mảng dược phẩm'!Z238/'Mảng dược phẩm'!Z243*'Mảng dược phẩm'!Z242*'Mảng dược phẩm'!Z102/1000</f>
        <v>9.2145284168359251E-2</v>
      </c>
      <c r="E158" s="1001"/>
      <c r="G158" s="1001"/>
      <c r="H158" s="1001"/>
      <c r="I158" s="1001"/>
      <c r="J158" s="1001"/>
      <c r="K158" s="1001"/>
      <c r="L158" s="1001"/>
      <c r="M158" s="1001"/>
      <c r="N158" s="1001"/>
      <c r="O158" s="1001"/>
      <c r="P158" s="1001"/>
      <c r="Q158" s="1001"/>
      <c r="S158" s="1001"/>
      <c r="T158" s="1001"/>
      <c r="V158" s="1001"/>
      <c r="W158" s="1001"/>
      <c r="X158" s="1001"/>
      <c r="Y158" s="1001"/>
      <c r="Z158" s="1001"/>
      <c r="AA158" s="1001"/>
      <c r="AB158" s="1001"/>
      <c r="AC158" s="1001"/>
      <c r="AD158" s="1001"/>
      <c r="AE158" s="1001"/>
      <c r="AF158" s="1001"/>
      <c r="AG158" s="1001"/>
      <c r="AH158" s="1001"/>
      <c r="AI158" s="1001"/>
      <c r="AJ158" s="1001"/>
      <c r="AK158" s="1001"/>
      <c r="AL158" s="1001"/>
      <c r="AM158" s="1001"/>
      <c r="AN158" s="1001"/>
      <c r="AO158" s="1001"/>
      <c r="AP158" s="1001"/>
      <c r="AQ158" s="1001"/>
      <c r="AR158" s="1001"/>
      <c r="AS158" s="1001"/>
      <c r="AT158" s="1001"/>
      <c r="AU158" s="1001"/>
      <c r="AV158" s="1001"/>
      <c r="AW158" s="1001"/>
      <c r="AX158" s="1001"/>
      <c r="AY158" s="1001"/>
      <c r="AZ158" s="1001"/>
      <c r="BA158" s="1001"/>
      <c r="BB158" s="1001"/>
      <c r="BC158" s="1001"/>
      <c r="BD158" s="1001"/>
      <c r="BE158" s="1001"/>
      <c r="BF158" s="1001"/>
      <c r="BG158" s="1001"/>
    </row>
    <row r="159" spans="1:59" ht="24.6" customHeight="1" x14ac:dyDescent="0.25">
      <c r="B159" s="1597"/>
      <c r="C159" s="1648" t="s">
        <v>1670</v>
      </c>
      <c r="D159" s="1774">
        <f>D155/SUM(D155:D158)</f>
        <v>0.60837439927890913</v>
      </c>
      <c r="E159" s="1001"/>
      <c r="G159" s="1001"/>
      <c r="H159" s="1001"/>
      <c r="I159" s="1001"/>
      <c r="J159" s="1001"/>
      <c r="K159" s="1001"/>
      <c r="L159" s="1001"/>
      <c r="M159" s="1001"/>
      <c r="N159" s="1001"/>
      <c r="O159" s="1001"/>
      <c r="P159" s="1001"/>
      <c r="Q159" s="1001">
        <f>C162+U157</f>
        <v>260.13547181612182</v>
      </c>
      <c r="S159" s="1001"/>
      <c r="T159" s="1001"/>
      <c r="U159" s="1001"/>
      <c r="V159" s="1001"/>
      <c r="W159" s="1001"/>
      <c r="X159" s="1001"/>
      <c r="Y159" s="1001"/>
      <c r="Z159" s="1001"/>
      <c r="AA159" s="1001"/>
      <c r="AB159" s="1001"/>
      <c r="AC159" s="1001"/>
      <c r="AD159" s="1001"/>
      <c r="AE159" s="1001"/>
      <c r="AF159" s="1001"/>
      <c r="AG159" s="1001"/>
      <c r="AH159" s="1001"/>
      <c r="AI159" s="1001"/>
      <c r="AJ159" s="1001"/>
      <c r="AK159" s="1001"/>
      <c r="AL159" s="1001"/>
      <c r="AM159" s="1001"/>
      <c r="AN159" s="1001"/>
      <c r="AO159" s="1001"/>
      <c r="AP159" s="1001"/>
      <c r="AQ159" s="1001"/>
      <c r="AR159" s="1001"/>
      <c r="AS159" s="1001"/>
      <c r="AT159" s="1001"/>
      <c r="AU159" s="1001"/>
      <c r="AV159" s="1001"/>
      <c r="AW159" s="1001"/>
      <c r="AX159" s="1001"/>
      <c r="AY159" s="1001"/>
      <c r="AZ159" s="1001"/>
      <c r="BA159" s="1001"/>
      <c r="BB159" s="1001"/>
      <c r="BC159" s="1001"/>
      <c r="BD159" s="1001"/>
      <c r="BE159" s="1001"/>
      <c r="BF159" s="1001"/>
      <c r="BG159" s="1001"/>
    </row>
    <row r="160" spans="1:59" x14ac:dyDescent="0.25">
      <c r="B160" s="1597"/>
      <c r="C160" s="1648" t="s">
        <v>1671</v>
      </c>
      <c r="D160" s="1760">
        <f>56.9%*255</f>
        <v>145.095</v>
      </c>
      <c r="E160" s="1001"/>
      <c r="G160" s="1001"/>
      <c r="H160" s="1001"/>
      <c r="I160" s="1001"/>
      <c r="J160" s="1001"/>
      <c r="K160" s="1001"/>
      <c r="L160" s="1001"/>
      <c r="M160" s="1001"/>
      <c r="N160" s="1001"/>
      <c r="O160" s="1001"/>
      <c r="P160" s="1001"/>
      <c r="Q160" s="1001"/>
      <c r="S160" s="1001"/>
      <c r="T160" s="1001"/>
      <c r="U160" s="1001"/>
      <c r="V160" s="1001"/>
      <c r="W160" s="1001"/>
      <c r="X160" s="1001"/>
      <c r="Y160" s="1001"/>
      <c r="Z160" s="1001"/>
      <c r="AA160" s="1001"/>
      <c r="AB160" s="1001"/>
      <c r="AC160" s="1001"/>
      <c r="AD160" s="1001"/>
      <c r="AE160" s="1001"/>
      <c r="AF160" s="1001"/>
      <c r="AG160" s="1001"/>
      <c r="AH160" s="1001"/>
      <c r="AI160" s="1001"/>
      <c r="AJ160" s="1001"/>
      <c r="AK160" s="1001"/>
      <c r="AL160" s="1001"/>
      <c r="AM160" s="1001"/>
      <c r="AN160" s="1001"/>
      <c r="AO160" s="1001"/>
      <c r="AP160" s="1001"/>
      <c r="AQ160" s="1001"/>
      <c r="AR160" s="1001"/>
      <c r="AS160" s="1001"/>
      <c r="AT160" s="1001"/>
      <c r="AU160" s="1001"/>
      <c r="AV160" s="1001"/>
      <c r="AW160" s="1001"/>
      <c r="AX160" s="1001"/>
      <c r="AY160" s="1001"/>
      <c r="AZ160" s="1001"/>
      <c r="BA160" s="1001"/>
      <c r="BB160" s="1001"/>
      <c r="BC160" s="1001"/>
      <c r="BD160" s="1001"/>
      <c r="BE160" s="1001"/>
      <c r="BF160" s="1001"/>
      <c r="BG160" s="1001"/>
    </row>
    <row r="161" spans="1:59" x14ac:dyDescent="0.25">
      <c r="A161" s="1592" t="s">
        <v>373</v>
      </c>
      <c r="B161" s="1653" t="s">
        <v>1624</v>
      </c>
      <c r="C161" s="1762"/>
      <c r="D161" s="1775"/>
      <c r="E161" s="1762"/>
      <c r="F161" s="1763"/>
      <c r="G161" s="1762"/>
      <c r="H161" s="1762"/>
      <c r="I161" s="1762"/>
      <c r="J161" s="1762"/>
      <c r="K161" s="1762"/>
      <c r="L161" s="1762"/>
      <c r="M161" s="1762"/>
      <c r="N161" s="1762"/>
      <c r="O161" s="1762"/>
      <c r="P161" s="1762"/>
      <c r="Q161" s="1001"/>
      <c r="R161" s="1001"/>
      <c r="S161" s="1001"/>
      <c r="T161" s="1001"/>
      <c r="U161" s="1001"/>
      <c r="V161" s="1001"/>
      <c r="W161" s="1001"/>
      <c r="X161" s="1001"/>
      <c r="Y161" s="1001"/>
      <c r="Z161" s="1001"/>
      <c r="AA161" s="1001"/>
      <c r="AB161" s="1001"/>
      <c r="AC161" s="1001"/>
      <c r="AD161" s="1001"/>
      <c r="AE161" s="1001"/>
      <c r="AF161" s="1001"/>
      <c r="AG161" s="1001"/>
      <c r="AH161" s="1001"/>
      <c r="AI161" s="1001"/>
      <c r="AJ161" s="1001"/>
      <c r="AK161" s="1001"/>
      <c r="AL161" s="1001"/>
      <c r="AM161" s="1001"/>
      <c r="AN161" s="1001"/>
      <c r="AO161" s="1001"/>
      <c r="AP161" s="1001"/>
      <c r="AQ161" s="1001"/>
      <c r="AR161" s="1001"/>
      <c r="AS161" s="1001"/>
      <c r="AT161" s="1001"/>
      <c r="AU161" s="1001"/>
      <c r="AV161" s="1001"/>
      <c r="AW161" s="1001"/>
      <c r="AX161" s="1001"/>
      <c r="AY161" s="1001"/>
      <c r="AZ161" s="1001"/>
      <c r="BA161" s="1001"/>
      <c r="BB161" s="1001"/>
      <c r="BC161" s="1001"/>
      <c r="BD161" s="1001"/>
      <c r="BE161" s="1001"/>
      <c r="BF161" s="1001"/>
      <c r="BG161" s="1001"/>
    </row>
    <row r="162" spans="1:59" x14ac:dyDescent="0.25">
      <c r="B162" s="1657" t="s">
        <v>1672</v>
      </c>
      <c r="C162" s="1776">
        <f>D159*D160+0.3*U102</f>
        <v>157.25708346337331</v>
      </c>
      <c r="D162" s="1765">
        <v>45078</v>
      </c>
      <c r="E162" s="1766">
        <v>60</v>
      </c>
      <c r="F162" s="1677">
        <f>F109</f>
        <v>7.0000000000000007E-2</v>
      </c>
      <c r="G162" s="1660" t="s">
        <v>1626</v>
      </c>
      <c r="H162" s="1660">
        <v>0.5</v>
      </c>
      <c r="I162" s="1662"/>
      <c r="J162" s="1662"/>
      <c r="K162" s="1662"/>
      <c r="L162" s="1662"/>
      <c r="M162" s="1662"/>
      <c r="N162" s="1662"/>
      <c r="O162" s="1662"/>
      <c r="P162" s="1662"/>
      <c r="Q162" s="1001"/>
      <c r="R162" s="1001"/>
      <c r="S162" s="1001"/>
      <c r="T162" s="1001"/>
      <c r="U162" s="1001"/>
      <c r="V162" s="1001"/>
      <c r="W162" s="1001"/>
      <c r="X162" s="1001"/>
      <c r="Y162" s="1001"/>
      <c r="Z162" s="1001"/>
      <c r="AA162" s="1001"/>
      <c r="AB162" s="1001"/>
      <c r="AC162" s="1001"/>
      <c r="AD162" s="1001"/>
      <c r="AE162" s="1001"/>
      <c r="AF162" s="1001"/>
      <c r="AG162" s="1001"/>
      <c r="AH162" s="1001"/>
      <c r="AI162" s="1001"/>
      <c r="AJ162" s="1001"/>
      <c r="AK162" s="1001"/>
      <c r="AL162" s="1001"/>
      <c r="AM162" s="1001"/>
      <c r="AN162" s="1001"/>
      <c r="AO162" s="1001"/>
      <c r="AP162" s="1001"/>
      <c r="AQ162" s="1001"/>
      <c r="AR162" s="1001"/>
      <c r="AS162" s="1001"/>
      <c r="AT162" s="1001"/>
      <c r="AU162" s="1001"/>
      <c r="AV162" s="1001"/>
      <c r="AW162" s="1001"/>
      <c r="AX162" s="1001"/>
      <c r="AY162" s="1001"/>
      <c r="AZ162" s="1001"/>
      <c r="BA162" s="1001"/>
      <c r="BB162" s="1001"/>
      <c r="BC162" s="1001"/>
      <c r="BD162" s="1001"/>
      <c r="BE162" s="1001"/>
      <c r="BF162" s="1001"/>
      <c r="BG162" s="1001"/>
    </row>
    <row r="163" spans="1:59" x14ac:dyDescent="0.25">
      <c r="B163" s="1615" t="s">
        <v>1612</v>
      </c>
      <c r="C163" s="1660"/>
      <c r="D163" s="1659"/>
      <c r="E163" s="1660"/>
      <c r="F163" s="1677"/>
      <c r="G163" s="1660"/>
      <c r="H163" s="1660"/>
      <c r="I163" s="1662"/>
      <c r="J163" s="1662"/>
      <c r="K163" s="1662"/>
      <c r="L163" s="1662"/>
      <c r="M163" s="1662"/>
      <c r="N163" s="1662"/>
      <c r="O163" s="1662"/>
      <c r="P163" s="1662"/>
      <c r="Q163" s="1001"/>
      <c r="R163" s="1001">
        <f>'BS Raw'!L198/Debt!$B$1</f>
        <v>0</v>
      </c>
      <c r="S163" s="1618">
        <v>0</v>
      </c>
      <c r="T163" s="1634">
        <f t="shared" ref="T163:AB163" si="26">S166</f>
        <v>0</v>
      </c>
      <c r="U163" s="1634">
        <f t="shared" si="26"/>
        <v>141.53137511703596</v>
      </c>
      <c r="V163" s="1634">
        <f t="shared" si="26"/>
        <v>110.07995842436131</v>
      </c>
      <c r="W163" s="1634">
        <f t="shared" si="26"/>
        <v>78.628541731686653</v>
      </c>
      <c r="X163" s="1634">
        <f t="shared" si="26"/>
        <v>47.17712503901199</v>
      </c>
      <c r="Y163" s="1618">
        <f t="shared" si="26"/>
        <v>15.725708346337328</v>
      </c>
      <c r="Z163" s="1618">
        <f t="shared" si="26"/>
        <v>0</v>
      </c>
      <c r="AA163" s="1618">
        <f t="shared" si="26"/>
        <v>0</v>
      </c>
      <c r="AB163" s="1618">
        <f t="shared" si="26"/>
        <v>0</v>
      </c>
      <c r="AC163" s="1618"/>
      <c r="AD163" s="1618"/>
      <c r="AE163" s="1618"/>
      <c r="AF163" s="1618"/>
      <c r="AG163" s="1618"/>
      <c r="AH163" s="1618"/>
      <c r="AI163" s="1618"/>
      <c r="AJ163" s="1618"/>
      <c r="AK163" s="1618"/>
      <c r="AL163" s="1618"/>
      <c r="AM163" s="1618"/>
      <c r="AN163" s="1618"/>
      <c r="AO163" s="1618"/>
      <c r="AP163" s="1618"/>
      <c r="AQ163" s="1618"/>
      <c r="AR163" s="1618"/>
      <c r="AS163" s="1618"/>
      <c r="AT163" s="1618"/>
      <c r="AU163" s="1618"/>
      <c r="AV163" s="1618"/>
      <c r="AW163" s="1618"/>
      <c r="AX163" s="1618"/>
      <c r="AY163" s="1618"/>
      <c r="AZ163" s="1618"/>
      <c r="BA163" s="1618"/>
      <c r="BB163" s="1618"/>
      <c r="BC163" s="1618"/>
      <c r="BD163" s="1618"/>
      <c r="BE163" s="1618"/>
      <c r="BF163" s="1618"/>
      <c r="BG163" s="1001"/>
    </row>
    <row r="164" spans="1:59" x14ac:dyDescent="0.25">
      <c r="B164" s="1620" t="s">
        <v>1614</v>
      </c>
      <c r="C164" s="1660"/>
      <c r="D164" s="1659"/>
      <c r="E164" s="1660"/>
      <c r="F164" s="1677"/>
      <c r="G164" s="1660"/>
      <c r="H164" s="1660"/>
      <c r="I164" s="1662"/>
      <c r="J164" s="1662"/>
      <c r="K164" s="1662"/>
      <c r="L164" s="1662"/>
      <c r="M164" s="1662"/>
      <c r="N164" s="1662"/>
      <c r="O164" s="1662"/>
      <c r="P164" s="1662"/>
      <c r="Q164" s="1001"/>
      <c r="R164" s="1001"/>
      <c r="S164" s="1618">
        <f>IF(YEAR($D162)=YEAR(S$4),$C162,0)</f>
        <v>0</v>
      </c>
      <c r="T164" s="1634">
        <f>IF(YEAR($D162)=YEAR(T$4),$C162,0)</f>
        <v>157.25708346337331</v>
      </c>
      <c r="U164" s="1634">
        <f t="shared" ref="U164:AB164" si="27">IF(YEAR($D162)=YEAR(U$4),$C162,0)</f>
        <v>0</v>
      </c>
      <c r="V164" s="1634">
        <f t="shared" si="27"/>
        <v>0</v>
      </c>
      <c r="W164" s="1634">
        <f t="shared" si="27"/>
        <v>0</v>
      </c>
      <c r="X164" s="1634">
        <f t="shared" si="27"/>
        <v>0</v>
      </c>
      <c r="Y164" s="1618">
        <f t="shared" si="27"/>
        <v>0</v>
      </c>
      <c r="Z164" s="1618">
        <f t="shared" si="27"/>
        <v>0</v>
      </c>
      <c r="AA164" s="1618">
        <f t="shared" si="27"/>
        <v>0</v>
      </c>
      <c r="AB164" s="1618">
        <f t="shared" si="27"/>
        <v>0</v>
      </c>
      <c r="AC164" s="1618"/>
      <c r="AD164" s="1618"/>
      <c r="AE164" s="1618"/>
      <c r="AF164" s="1618"/>
      <c r="AG164" s="1618"/>
      <c r="AH164" s="1618"/>
      <c r="AI164" s="1618"/>
      <c r="AJ164" s="1618"/>
      <c r="AK164" s="1618"/>
      <c r="AL164" s="1618"/>
      <c r="AM164" s="1618"/>
      <c r="AN164" s="1618"/>
      <c r="AO164" s="1618"/>
      <c r="AP164" s="1618"/>
      <c r="AQ164" s="1618"/>
      <c r="AR164" s="1618"/>
      <c r="AS164" s="1618"/>
      <c r="AT164" s="1618"/>
      <c r="AU164" s="1618"/>
      <c r="AV164" s="1618"/>
      <c r="AW164" s="1618"/>
      <c r="AX164" s="1618"/>
      <c r="AY164" s="1618"/>
      <c r="AZ164" s="1618"/>
      <c r="BA164" s="1618"/>
      <c r="BB164" s="1618"/>
      <c r="BC164" s="1618"/>
      <c r="BD164" s="1618"/>
      <c r="BE164" s="1618"/>
      <c r="BF164" s="1618"/>
      <c r="BG164" s="1001"/>
    </row>
    <row r="165" spans="1:59" x14ac:dyDescent="0.25">
      <c r="B165" s="1620" t="s">
        <v>1613</v>
      </c>
      <c r="C165" s="1660"/>
      <c r="D165" s="1659"/>
      <c r="E165" s="1660"/>
      <c r="F165" s="1677"/>
      <c r="G165" s="1660"/>
      <c r="H165" s="1660"/>
      <c r="I165" s="1662"/>
      <c r="J165" s="1662"/>
      <c r="K165" s="1662"/>
      <c r="L165" s="1662"/>
      <c r="M165" s="1662"/>
      <c r="N165" s="1662"/>
      <c r="O165" s="1662"/>
      <c r="P165" s="1662"/>
      <c r="Q165" s="1001"/>
      <c r="R165" s="1001"/>
      <c r="S165" s="1618">
        <f>IF($C162=S164,$C162/($E162/12),MIN(R166,R165))</f>
        <v>0</v>
      </c>
      <c r="T165" s="1634">
        <f t="shared" ref="T165:AB165" si="28">IF($C162=T164,$C162/($E162/12),MIN(S166,S165))</f>
        <v>31.451416692674663</v>
      </c>
      <c r="U165" s="1634">
        <f t="shared" si="28"/>
        <v>31.451416692674663</v>
      </c>
      <c r="V165" s="1634">
        <f t="shared" si="28"/>
        <v>31.451416692674663</v>
      </c>
      <c r="W165" s="1634">
        <f t="shared" si="28"/>
        <v>31.451416692674663</v>
      </c>
      <c r="X165" s="1634">
        <f t="shared" si="28"/>
        <v>31.451416692674663</v>
      </c>
      <c r="Y165" s="1618">
        <f t="shared" si="28"/>
        <v>15.725708346337328</v>
      </c>
      <c r="Z165" s="1618">
        <f t="shared" si="28"/>
        <v>0</v>
      </c>
      <c r="AA165" s="1618">
        <f t="shared" si="28"/>
        <v>0</v>
      </c>
      <c r="AB165" s="1618">
        <f t="shared" si="28"/>
        <v>0</v>
      </c>
      <c r="AC165" s="1618"/>
      <c r="AD165" s="1618"/>
      <c r="AE165" s="1618"/>
      <c r="AF165" s="1618"/>
      <c r="AG165" s="1618"/>
      <c r="AH165" s="1618"/>
      <c r="AI165" s="1618"/>
      <c r="AJ165" s="1618"/>
      <c r="AK165" s="1618"/>
      <c r="AL165" s="1618"/>
      <c r="AM165" s="1618"/>
      <c r="AN165" s="1618"/>
      <c r="AO165" s="1618"/>
      <c r="AP165" s="1618"/>
      <c r="AQ165" s="1618"/>
      <c r="AR165" s="1618"/>
      <c r="AS165" s="1618"/>
      <c r="AT165" s="1618"/>
      <c r="AU165" s="1618"/>
      <c r="AV165" s="1618"/>
      <c r="AW165" s="1618"/>
      <c r="AX165" s="1618"/>
      <c r="AY165" s="1618"/>
      <c r="AZ165" s="1618"/>
      <c r="BA165" s="1618"/>
      <c r="BB165" s="1618"/>
      <c r="BC165" s="1618"/>
      <c r="BD165" s="1618"/>
      <c r="BE165" s="1618"/>
      <c r="BF165" s="1618"/>
      <c r="BG165" s="1001"/>
    </row>
    <row r="166" spans="1:59" x14ac:dyDescent="0.25">
      <c r="B166" s="1615" t="s">
        <v>1615</v>
      </c>
      <c r="C166" s="1660"/>
      <c r="D166" s="1659"/>
      <c r="E166" s="1660"/>
      <c r="F166" s="1677"/>
      <c r="G166" s="1660"/>
      <c r="H166" s="1660"/>
      <c r="I166" s="1662"/>
      <c r="J166" s="1662"/>
      <c r="K166" s="1662"/>
      <c r="L166" s="1662"/>
      <c r="M166" s="1662"/>
      <c r="N166" s="1662"/>
      <c r="O166" s="1662"/>
      <c r="P166" s="1662"/>
      <c r="Q166" s="1001"/>
      <c r="R166" s="1001">
        <f>'BS Raw'!M198/Debt!$B$1</f>
        <v>0</v>
      </c>
      <c r="S166" s="1618">
        <v>0</v>
      </c>
      <c r="T166" s="1634">
        <f>T163+T164-T165*0.5</f>
        <v>141.53137511703596</v>
      </c>
      <c r="U166" s="1634">
        <f t="shared" ref="U166:AB166" si="29">U163+U164-U165</f>
        <v>110.07995842436131</v>
      </c>
      <c r="V166" s="1634">
        <f t="shared" si="29"/>
        <v>78.628541731686653</v>
      </c>
      <c r="W166" s="1634">
        <f t="shared" si="29"/>
        <v>47.17712503901199</v>
      </c>
      <c r="X166" s="1634">
        <f t="shared" si="29"/>
        <v>15.725708346337328</v>
      </c>
      <c r="Y166" s="1618">
        <f t="shared" si="29"/>
        <v>0</v>
      </c>
      <c r="Z166" s="1618">
        <f t="shared" si="29"/>
        <v>0</v>
      </c>
      <c r="AA166" s="1618">
        <f t="shared" si="29"/>
        <v>0</v>
      </c>
      <c r="AB166" s="1618">
        <f t="shared" si="29"/>
        <v>0</v>
      </c>
      <c r="AC166" s="1618"/>
      <c r="AD166" s="1618"/>
      <c r="AE166" s="1618"/>
      <c r="AF166" s="1618"/>
      <c r="AG166" s="1618"/>
      <c r="AH166" s="1618"/>
      <c r="AI166" s="1618"/>
      <c r="AJ166" s="1618"/>
      <c r="AK166" s="1618"/>
      <c r="AL166" s="1618"/>
      <c r="AM166" s="1618"/>
      <c r="AN166" s="1618"/>
      <c r="AO166" s="1618"/>
      <c r="AP166" s="1618"/>
      <c r="AQ166" s="1618"/>
      <c r="AR166" s="1618"/>
      <c r="AS166" s="1618"/>
      <c r="AT166" s="1618"/>
      <c r="AU166" s="1618"/>
      <c r="AV166" s="1618"/>
      <c r="AW166" s="1618"/>
      <c r="AX166" s="1618"/>
      <c r="AY166" s="1618"/>
      <c r="AZ166" s="1618"/>
      <c r="BA166" s="1618"/>
      <c r="BB166" s="1618"/>
      <c r="BC166" s="1618"/>
      <c r="BD166" s="1618"/>
      <c r="BE166" s="1618"/>
      <c r="BF166" s="1618"/>
      <c r="BG166" s="1001"/>
    </row>
    <row r="167" spans="1:59" s="1642" customFormat="1" x14ac:dyDescent="0.25">
      <c r="A167" s="1635"/>
      <c r="B167" s="1620" t="s">
        <v>1627</v>
      </c>
      <c r="C167" s="1703"/>
      <c r="D167" s="1674"/>
      <c r="E167" s="1673"/>
      <c r="F167" s="1675"/>
      <c r="G167" s="1673"/>
      <c r="H167" s="1673"/>
      <c r="I167" s="1676"/>
      <c r="J167" s="1676"/>
      <c r="K167" s="1676"/>
      <c r="L167" s="1676"/>
      <c r="M167" s="1676"/>
      <c r="N167" s="1676"/>
      <c r="O167" s="1676"/>
      <c r="P167" s="1676"/>
      <c r="Q167" s="1636"/>
      <c r="R167" s="1704">
        <f>F162</f>
        <v>7.0000000000000007E-2</v>
      </c>
      <c r="S167" s="1683">
        <f>R167</f>
        <v>7.0000000000000007E-2</v>
      </c>
      <c r="T167" s="1683">
        <f t="shared" ref="T167:AB167" si="30">S167</f>
        <v>7.0000000000000007E-2</v>
      </c>
      <c r="U167" s="1683">
        <f t="shared" si="30"/>
        <v>7.0000000000000007E-2</v>
      </c>
      <c r="V167" s="1683">
        <f t="shared" si="30"/>
        <v>7.0000000000000007E-2</v>
      </c>
      <c r="W167" s="1683">
        <f t="shared" si="30"/>
        <v>7.0000000000000007E-2</v>
      </c>
      <c r="X167" s="1683">
        <f t="shared" si="30"/>
        <v>7.0000000000000007E-2</v>
      </c>
      <c r="Y167" s="1683">
        <f t="shared" si="30"/>
        <v>7.0000000000000007E-2</v>
      </c>
      <c r="Z167" s="1683">
        <f t="shared" si="30"/>
        <v>7.0000000000000007E-2</v>
      </c>
      <c r="AA167" s="1683">
        <f t="shared" si="30"/>
        <v>7.0000000000000007E-2</v>
      </c>
      <c r="AB167" s="1683">
        <f t="shared" si="30"/>
        <v>7.0000000000000007E-2</v>
      </c>
      <c r="AC167" s="1683"/>
      <c r="AD167" s="1684"/>
      <c r="AE167" s="1684"/>
      <c r="AF167" s="1684"/>
      <c r="AG167" s="1684"/>
      <c r="AH167" s="1684"/>
      <c r="AI167" s="1684"/>
      <c r="AJ167" s="1684"/>
      <c r="AK167" s="1684"/>
      <c r="AL167" s="1684"/>
      <c r="AM167" s="1684"/>
      <c r="AN167" s="1684"/>
      <c r="AO167" s="1684"/>
      <c r="AP167" s="1684"/>
      <c r="AQ167" s="1684"/>
      <c r="AR167" s="1684"/>
      <c r="AS167" s="1684"/>
      <c r="AT167" s="1684"/>
      <c r="AU167" s="1684"/>
      <c r="AV167" s="1684"/>
      <c r="AW167" s="1684"/>
      <c r="AX167" s="1684"/>
      <c r="AY167" s="1684"/>
      <c r="AZ167" s="1684"/>
      <c r="BA167" s="1684"/>
      <c r="BB167" s="1684"/>
      <c r="BC167" s="1684"/>
      <c r="BD167" s="1684"/>
      <c r="BE167" s="1684"/>
      <c r="BF167" s="1684"/>
      <c r="BG167" s="1636"/>
    </row>
    <row r="168" spans="1:59" x14ac:dyDescent="0.25">
      <c r="B168" s="1620" t="s">
        <v>1616</v>
      </c>
      <c r="C168" s="1705"/>
      <c r="D168" s="1659"/>
      <c r="E168" s="1660"/>
      <c r="F168" s="1677"/>
      <c r="G168" s="1660"/>
      <c r="H168" s="1660"/>
      <c r="I168" s="1662"/>
      <c r="J168" s="1662"/>
      <c r="K168" s="1662"/>
      <c r="L168" s="1662"/>
      <c r="M168" s="1662"/>
      <c r="N168" s="1662"/>
      <c r="O168" s="1662"/>
      <c r="P168" s="1662"/>
      <c r="Q168" s="1001"/>
      <c r="R168" s="1636">
        <f>R167*AVERAGE(R163,R166)</f>
        <v>0</v>
      </c>
      <c r="S168" s="1641">
        <f t="shared" ref="S168" si="31">S167*AVERAGE(S163,S166)</f>
        <v>0</v>
      </c>
      <c r="T168" s="1640">
        <f>T167*AVERAGE(T163,T166)</f>
        <v>4.9535981290962594</v>
      </c>
      <c r="U168" s="1640">
        <f t="shared" ref="U168:AB168" si="32">U167*AVERAGE(U163,U166)</f>
        <v>8.806396673948905</v>
      </c>
      <c r="V168" s="1640">
        <f t="shared" si="32"/>
        <v>6.6047975054616792</v>
      </c>
      <c r="W168" s="1640">
        <f t="shared" si="32"/>
        <v>4.4031983369744534</v>
      </c>
      <c r="X168" s="1640">
        <f t="shared" si="32"/>
        <v>2.2015991684872263</v>
      </c>
      <c r="Y168" s="1640">
        <f t="shared" si="32"/>
        <v>0.55039979212180656</v>
      </c>
      <c r="Z168" s="1641">
        <f t="shared" si="32"/>
        <v>0</v>
      </c>
      <c r="AA168" s="1641">
        <f t="shared" si="32"/>
        <v>0</v>
      </c>
      <c r="AB168" s="1641">
        <f t="shared" si="32"/>
        <v>0</v>
      </c>
      <c r="AC168" s="1641"/>
      <c r="AD168" s="1641"/>
      <c r="AE168" s="1641"/>
      <c r="AF168" s="1641"/>
      <c r="AG168" s="1641"/>
      <c r="AH168" s="1641"/>
      <c r="AI168" s="1641"/>
      <c r="AJ168" s="1641"/>
      <c r="AK168" s="1641"/>
      <c r="AL168" s="1641"/>
      <c r="AM168" s="1641"/>
      <c r="AN168" s="1641"/>
      <c r="AO168" s="1641"/>
      <c r="AP168" s="1641"/>
      <c r="AQ168" s="1641"/>
      <c r="AR168" s="1641"/>
      <c r="AS168" s="1641"/>
      <c r="AT168" s="1641"/>
      <c r="AU168" s="1641"/>
      <c r="AV168" s="1641"/>
      <c r="AW168" s="1641"/>
      <c r="AX168" s="1641"/>
      <c r="AY168" s="1641"/>
      <c r="AZ168" s="1641"/>
      <c r="BA168" s="1641"/>
      <c r="BB168" s="1641"/>
      <c r="BC168" s="1641"/>
      <c r="BD168" s="1641"/>
      <c r="BE168" s="1641"/>
      <c r="BF168" s="1641"/>
      <c r="BG168" s="1001"/>
    </row>
    <row r="170" spans="1:59" ht="14.4" thickBot="1" x14ac:dyDescent="0.3">
      <c r="A170" s="1592">
        <v>3</v>
      </c>
      <c r="B170" s="1644" t="s">
        <v>1673</v>
      </c>
      <c r="C170" s="1686"/>
      <c r="D170" s="1687"/>
      <c r="E170" s="1686"/>
      <c r="F170" s="1688"/>
      <c r="G170" s="1686"/>
      <c r="H170" s="1686"/>
      <c r="I170" s="1686"/>
      <c r="J170" s="1686"/>
      <c r="K170" s="1686"/>
      <c r="L170" s="1686"/>
      <c r="M170" s="1686"/>
      <c r="N170" s="1686"/>
      <c r="O170" s="1686"/>
      <c r="P170" s="1686"/>
      <c r="Q170" s="1001"/>
      <c r="R170" s="1689"/>
      <c r="S170" s="1686"/>
      <c r="T170" s="1686"/>
      <c r="U170" s="1686"/>
      <c r="V170" s="1686"/>
      <c r="W170" s="1686"/>
      <c r="X170" s="1686"/>
      <c r="Y170" s="1686"/>
      <c r="Z170" s="1686"/>
      <c r="AA170" s="1686"/>
      <c r="AB170" s="1686"/>
      <c r="AC170" s="1686"/>
      <c r="AD170" s="1686"/>
      <c r="AE170" s="1686"/>
      <c r="AF170" s="1686"/>
      <c r="AG170" s="1686"/>
      <c r="AH170" s="1686"/>
      <c r="AI170" s="1686"/>
      <c r="AJ170" s="1686"/>
      <c r="AK170" s="1686"/>
      <c r="AL170" s="1686"/>
      <c r="AM170" s="1686"/>
      <c r="AN170" s="1686"/>
      <c r="AO170" s="1686"/>
      <c r="AP170" s="1686"/>
      <c r="AQ170" s="1686"/>
      <c r="AR170" s="1686"/>
      <c r="AS170" s="1686"/>
      <c r="AT170" s="1686"/>
      <c r="AU170" s="1686"/>
      <c r="AV170" s="1686"/>
      <c r="AW170" s="1686"/>
      <c r="AX170" s="1686"/>
      <c r="AY170" s="1686"/>
      <c r="AZ170" s="1686"/>
      <c r="BA170" s="1686"/>
      <c r="BB170" s="1686"/>
      <c r="BC170" s="1686"/>
      <c r="BD170" s="1686"/>
      <c r="BE170" s="1686"/>
      <c r="BF170" s="1686"/>
      <c r="BG170" s="1001"/>
    </row>
    <row r="171" spans="1:59" x14ac:dyDescent="0.25">
      <c r="B171" s="1597"/>
      <c r="C171" s="1759" t="s">
        <v>1674</v>
      </c>
      <c r="D171" s="1759"/>
      <c r="E171" s="1759"/>
      <c r="F171" s="1759"/>
      <c r="G171" s="1759"/>
      <c r="H171" s="1759"/>
      <c r="I171" s="1001"/>
      <c r="J171" s="1001"/>
      <c r="K171" s="1001"/>
      <c r="L171" s="1001"/>
      <c r="M171" s="1001"/>
      <c r="N171" s="1001"/>
      <c r="O171" s="1001"/>
      <c r="P171" s="1001"/>
      <c r="Q171" s="1759"/>
      <c r="R171" s="1039"/>
      <c r="S171" s="1039"/>
      <c r="T171" s="1039"/>
      <c r="U171" s="1039"/>
      <c r="V171" s="1001"/>
      <c r="W171" s="1001"/>
      <c r="X171" s="1001"/>
      <c r="Y171" s="1001"/>
      <c r="Z171" s="1001"/>
      <c r="AA171" s="1001"/>
      <c r="AB171" s="1001"/>
      <c r="AC171" s="1001"/>
      <c r="AD171" s="1001"/>
      <c r="AE171" s="1001"/>
      <c r="AF171" s="1001"/>
      <c r="AG171" s="1001"/>
      <c r="AH171" s="1001"/>
      <c r="AI171" s="1001"/>
      <c r="AJ171" s="1001"/>
      <c r="AK171" s="1001"/>
      <c r="AL171" s="1001"/>
      <c r="AM171" s="1001"/>
      <c r="AN171" s="1001"/>
      <c r="AO171" s="1001"/>
      <c r="AP171" s="1001"/>
      <c r="AQ171" s="1001"/>
      <c r="AR171" s="1001"/>
      <c r="AS171" s="1001"/>
      <c r="AT171" s="1001"/>
      <c r="AU171" s="1001"/>
      <c r="AV171" s="1001"/>
      <c r="AW171" s="1001"/>
      <c r="AX171" s="1001"/>
      <c r="AY171" s="1001"/>
      <c r="AZ171" s="1001"/>
      <c r="BA171" s="1001"/>
      <c r="BB171" s="1001"/>
      <c r="BC171" s="1001"/>
      <c r="BD171" s="1001"/>
      <c r="BE171" s="1001"/>
      <c r="BF171" s="1001"/>
      <c r="BG171" s="1001"/>
    </row>
    <row r="172" spans="1:59" x14ac:dyDescent="0.25">
      <c r="B172" s="1597"/>
      <c r="C172" s="1648" t="s">
        <v>1675</v>
      </c>
      <c r="D172" s="1774">
        <f>(D157+D158)/(SUM(D155:D158))</f>
        <v>0.17187400978972867</v>
      </c>
      <c r="E172" s="1001"/>
      <c r="G172" s="1001"/>
      <c r="H172" s="1001"/>
      <c r="I172" s="1001"/>
      <c r="J172" s="1001"/>
      <c r="K172" s="1001"/>
      <c r="L172" s="1001"/>
      <c r="M172" s="1001"/>
      <c r="N172" s="1001"/>
      <c r="O172" s="1001"/>
      <c r="P172" s="1001"/>
      <c r="Q172" s="1001"/>
      <c r="R172" s="1597" t="s">
        <v>1676</v>
      </c>
      <c r="S172" s="1001"/>
      <c r="T172" s="1001"/>
      <c r="U172" s="1633">
        <f>43.1%*255*D172</f>
        <v>18.88981304594013</v>
      </c>
      <c r="V172" s="1001"/>
      <c r="W172" s="1001"/>
      <c r="X172" s="1001"/>
      <c r="Y172" s="1001"/>
      <c r="Z172" s="1001"/>
      <c r="AA172" s="1001"/>
      <c r="AB172" s="1001"/>
      <c r="AC172" s="1001"/>
      <c r="AD172" s="1001"/>
      <c r="AE172" s="1001"/>
      <c r="AF172" s="1001"/>
      <c r="AG172" s="1001"/>
      <c r="AH172" s="1001"/>
      <c r="AI172" s="1001"/>
      <c r="AJ172" s="1001"/>
      <c r="AK172" s="1001"/>
      <c r="AL172" s="1001"/>
      <c r="AM172" s="1001"/>
      <c r="AN172" s="1001"/>
      <c r="AO172" s="1001"/>
      <c r="AP172" s="1001"/>
      <c r="AQ172" s="1001"/>
      <c r="AR172" s="1001"/>
      <c r="AS172" s="1001"/>
      <c r="AT172" s="1001"/>
      <c r="AU172" s="1001"/>
      <c r="AV172" s="1001"/>
      <c r="AW172" s="1001"/>
      <c r="AX172" s="1001"/>
      <c r="AY172" s="1001"/>
      <c r="AZ172" s="1001"/>
      <c r="BA172" s="1001"/>
      <c r="BB172" s="1001"/>
      <c r="BC172" s="1001"/>
      <c r="BD172" s="1001"/>
      <c r="BE172" s="1001"/>
      <c r="BF172" s="1001"/>
      <c r="BG172" s="1001"/>
    </row>
    <row r="173" spans="1:59" x14ac:dyDescent="0.25">
      <c r="B173" s="1597"/>
      <c r="C173" s="1648"/>
      <c r="D173" s="1774"/>
      <c r="E173" s="1001"/>
      <c r="G173" s="1001"/>
      <c r="H173" s="1001"/>
      <c r="I173" s="1001"/>
      <c r="J173" s="1001"/>
      <c r="K173" s="1001"/>
      <c r="L173" s="1001"/>
      <c r="M173" s="1001"/>
      <c r="N173" s="1001"/>
      <c r="O173" s="1001"/>
      <c r="P173" s="1001"/>
      <c r="Q173" s="1001"/>
      <c r="R173" s="1648"/>
      <c r="S173" s="1001"/>
      <c r="T173" s="1001"/>
      <c r="U173" s="1643"/>
      <c r="V173" s="1001"/>
      <c r="W173" s="1001"/>
      <c r="X173" s="1001"/>
      <c r="Y173" s="1001"/>
      <c r="Z173" s="1001"/>
      <c r="AA173" s="1001"/>
      <c r="AB173" s="1001"/>
      <c r="AC173" s="1001"/>
      <c r="AD173" s="1001"/>
      <c r="AE173" s="1001"/>
      <c r="AF173" s="1001"/>
      <c r="AG173" s="1001"/>
      <c r="AH173" s="1001"/>
      <c r="AI173" s="1001"/>
      <c r="AJ173" s="1001"/>
      <c r="AK173" s="1001"/>
      <c r="AL173" s="1001"/>
      <c r="AM173" s="1001"/>
      <c r="AN173" s="1001"/>
      <c r="AO173" s="1001"/>
      <c r="AP173" s="1001"/>
      <c r="AQ173" s="1001"/>
      <c r="AR173" s="1001"/>
      <c r="AS173" s="1001"/>
      <c r="AT173" s="1001"/>
      <c r="AU173" s="1001"/>
      <c r="AV173" s="1001"/>
      <c r="AW173" s="1001"/>
      <c r="AX173" s="1001"/>
      <c r="AY173" s="1001"/>
      <c r="AZ173" s="1001"/>
      <c r="BA173" s="1001"/>
      <c r="BB173" s="1001"/>
      <c r="BC173" s="1001"/>
      <c r="BD173" s="1001"/>
      <c r="BE173" s="1001"/>
      <c r="BF173" s="1001"/>
      <c r="BG173" s="1001"/>
    </row>
    <row r="174" spans="1:59" x14ac:dyDescent="0.25">
      <c r="B174" s="1597"/>
      <c r="C174" s="1648"/>
      <c r="D174" s="1774"/>
      <c r="E174" s="1001"/>
      <c r="G174" s="1001"/>
      <c r="H174" s="1001"/>
      <c r="I174" s="1001"/>
      <c r="J174" s="1001"/>
      <c r="K174" s="1001"/>
      <c r="L174" s="1001"/>
      <c r="M174" s="1001"/>
      <c r="N174" s="1001"/>
      <c r="O174" s="1001"/>
      <c r="P174" s="1001"/>
      <c r="Q174" s="1001"/>
      <c r="R174" s="1597"/>
      <c r="S174" s="1001"/>
      <c r="T174" s="1001"/>
      <c r="U174" s="1001"/>
      <c r="V174" s="1001"/>
      <c r="W174" s="1001"/>
      <c r="X174" s="1001"/>
      <c r="Y174" s="1001"/>
      <c r="Z174" s="1001"/>
      <c r="AA174" s="1001"/>
      <c r="AB174" s="1001"/>
      <c r="AC174" s="1001"/>
      <c r="AD174" s="1001"/>
      <c r="AE174" s="1001"/>
      <c r="AF174" s="1001"/>
      <c r="AG174" s="1001"/>
      <c r="AH174" s="1001"/>
      <c r="AI174" s="1001"/>
      <c r="AJ174" s="1001"/>
      <c r="AK174" s="1001"/>
      <c r="AL174" s="1001"/>
      <c r="AM174" s="1001"/>
      <c r="AN174" s="1001"/>
      <c r="AO174" s="1001"/>
      <c r="AP174" s="1001"/>
      <c r="AQ174" s="1001"/>
      <c r="AR174" s="1001"/>
      <c r="AS174" s="1001"/>
      <c r="AT174" s="1001"/>
      <c r="AU174" s="1001"/>
      <c r="AV174" s="1001"/>
      <c r="AW174" s="1001"/>
      <c r="AX174" s="1001"/>
      <c r="AY174" s="1001"/>
      <c r="AZ174" s="1001"/>
      <c r="BA174" s="1001"/>
      <c r="BB174" s="1001"/>
      <c r="BC174" s="1001"/>
      <c r="BD174" s="1001"/>
      <c r="BE174" s="1001"/>
      <c r="BF174" s="1001"/>
      <c r="BG174" s="1001"/>
    </row>
    <row r="175" spans="1:59" x14ac:dyDescent="0.25">
      <c r="B175" s="1597"/>
      <c r="C175" s="1001"/>
      <c r="D175" s="1613"/>
      <c r="E175" s="1001"/>
      <c r="G175" s="1001"/>
      <c r="H175" s="1001"/>
      <c r="I175" s="1001"/>
      <c r="J175" s="1001"/>
      <c r="K175" s="1001"/>
      <c r="L175" s="1001"/>
      <c r="M175" s="1001"/>
      <c r="N175" s="1001"/>
      <c r="O175" s="1001"/>
      <c r="P175" s="1001"/>
      <c r="Q175" s="1001">
        <f>C177+U172</f>
        <v>43.827872496380806</v>
      </c>
      <c r="R175" s="1597"/>
      <c r="S175" s="1001"/>
      <c r="T175" s="1001"/>
      <c r="U175" s="1633"/>
      <c r="V175" s="1001"/>
      <c r="W175" s="1001"/>
      <c r="X175" s="1001"/>
      <c r="Y175" s="1001"/>
      <c r="Z175" s="1001"/>
      <c r="AA175" s="1001"/>
      <c r="AB175" s="1001"/>
      <c r="AC175" s="1001"/>
      <c r="AD175" s="1001"/>
      <c r="AE175" s="1001"/>
      <c r="AF175" s="1001"/>
      <c r="AG175" s="1001"/>
      <c r="AH175" s="1001"/>
      <c r="AI175" s="1001"/>
      <c r="AJ175" s="1001"/>
      <c r="AK175" s="1001"/>
      <c r="AL175" s="1001"/>
      <c r="AM175" s="1001"/>
      <c r="AN175" s="1001"/>
      <c r="AO175" s="1001"/>
      <c r="AP175" s="1001"/>
      <c r="AQ175" s="1001"/>
      <c r="AR175" s="1001"/>
      <c r="AS175" s="1001"/>
      <c r="AT175" s="1001"/>
      <c r="AU175" s="1001"/>
      <c r="AV175" s="1001"/>
      <c r="AW175" s="1001"/>
      <c r="AX175" s="1001"/>
      <c r="AY175" s="1001"/>
      <c r="AZ175" s="1001"/>
      <c r="BA175" s="1001"/>
      <c r="BB175" s="1001"/>
      <c r="BC175" s="1001"/>
      <c r="BD175" s="1001"/>
      <c r="BE175" s="1001"/>
      <c r="BF175" s="1001"/>
      <c r="BG175" s="1001"/>
    </row>
    <row r="176" spans="1:59" x14ac:dyDescent="0.25">
      <c r="A176" s="1592" t="s">
        <v>513</v>
      </c>
      <c r="B176" s="1653" t="s">
        <v>1624</v>
      </c>
      <c r="C176" s="1762"/>
      <c r="D176" s="1775"/>
      <c r="E176" s="1762"/>
      <c r="F176" s="1763"/>
      <c r="G176" s="1762"/>
      <c r="H176" s="1762"/>
      <c r="I176" s="1762"/>
      <c r="J176" s="1762"/>
      <c r="K176" s="1762"/>
      <c r="L176" s="1762"/>
      <c r="M176" s="1762"/>
      <c r="N176" s="1762"/>
      <c r="O176" s="1762"/>
      <c r="P176" s="1762"/>
      <c r="Q176" s="1001"/>
      <c r="R176" s="1001"/>
      <c r="S176" s="1001"/>
      <c r="T176" s="1001"/>
      <c r="U176" s="1001"/>
      <c r="V176" s="1001"/>
      <c r="W176" s="1001"/>
      <c r="X176" s="1001"/>
      <c r="Y176" s="1001"/>
      <c r="Z176" s="1001"/>
      <c r="AA176" s="1001"/>
      <c r="AB176" s="1001"/>
      <c r="AC176" s="1001"/>
      <c r="AD176" s="1001"/>
      <c r="AE176" s="1001"/>
      <c r="AF176" s="1001"/>
      <c r="AG176" s="1001"/>
      <c r="AH176" s="1001"/>
      <c r="AI176" s="1001"/>
      <c r="AJ176" s="1001"/>
      <c r="AK176" s="1001"/>
      <c r="AL176" s="1001"/>
      <c r="AM176" s="1001"/>
      <c r="AN176" s="1001"/>
      <c r="AO176" s="1001"/>
      <c r="AP176" s="1001"/>
      <c r="AQ176" s="1001"/>
      <c r="AR176" s="1001"/>
      <c r="AS176" s="1001"/>
      <c r="AT176" s="1001"/>
      <c r="AU176" s="1001"/>
      <c r="AV176" s="1001"/>
      <c r="AW176" s="1001"/>
      <c r="AX176" s="1001"/>
      <c r="AY176" s="1001"/>
      <c r="AZ176" s="1001"/>
      <c r="BA176" s="1001"/>
      <c r="BB176" s="1001"/>
      <c r="BC176" s="1001"/>
      <c r="BD176" s="1001"/>
      <c r="BE176" s="1001"/>
      <c r="BF176" s="1001"/>
      <c r="BG176" s="1001"/>
    </row>
    <row r="177" spans="1:59" x14ac:dyDescent="0.25">
      <c r="B177" s="1657" t="s">
        <v>1672</v>
      </c>
      <c r="C177" s="1776">
        <f>D160*D172</f>
        <v>24.938059450440679</v>
      </c>
      <c r="D177" s="1765">
        <v>45444</v>
      </c>
      <c r="E177" s="1766">
        <v>60</v>
      </c>
      <c r="F177" s="1677">
        <f>F162</f>
        <v>7.0000000000000007E-2</v>
      </c>
      <c r="G177" s="1660" t="s">
        <v>1626</v>
      </c>
      <c r="H177" s="1660">
        <v>0.5</v>
      </c>
      <c r="I177" s="1662"/>
      <c r="J177" s="1662"/>
      <c r="K177" s="1662"/>
      <c r="L177" s="1662"/>
      <c r="M177" s="1662"/>
      <c r="N177" s="1662"/>
      <c r="O177" s="1662"/>
      <c r="P177" s="1662"/>
      <c r="Q177" s="1001"/>
      <c r="R177" s="1001"/>
      <c r="S177" s="1001"/>
      <c r="T177" s="1001"/>
      <c r="U177" s="1001"/>
      <c r="V177" s="1001"/>
      <c r="W177" s="1001"/>
      <c r="X177" s="1001"/>
      <c r="Y177" s="1001"/>
      <c r="Z177" s="1001"/>
      <c r="AA177" s="1001"/>
      <c r="AB177" s="1001"/>
      <c r="AC177" s="1001"/>
      <c r="AD177" s="1001"/>
      <c r="AE177" s="1001"/>
      <c r="AF177" s="1001"/>
      <c r="AG177" s="1001"/>
      <c r="AH177" s="1001"/>
      <c r="AI177" s="1001"/>
      <c r="AJ177" s="1001"/>
      <c r="AK177" s="1001"/>
      <c r="AL177" s="1001"/>
      <c r="AM177" s="1001"/>
      <c r="AN177" s="1001"/>
      <c r="AO177" s="1001"/>
      <c r="AP177" s="1001"/>
      <c r="AQ177" s="1001"/>
      <c r="AR177" s="1001"/>
      <c r="AS177" s="1001"/>
      <c r="AT177" s="1001"/>
      <c r="AU177" s="1001"/>
      <c r="AV177" s="1001"/>
      <c r="AW177" s="1001"/>
      <c r="AX177" s="1001"/>
      <c r="AY177" s="1001"/>
      <c r="AZ177" s="1001"/>
      <c r="BA177" s="1001"/>
      <c r="BB177" s="1001"/>
      <c r="BC177" s="1001"/>
      <c r="BD177" s="1001"/>
      <c r="BE177" s="1001"/>
      <c r="BF177" s="1001"/>
      <c r="BG177" s="1001"/>
    </row>
    <row r="178" spans="1:59" x14ac:dyDescent="0.25">
      <c r="B178" s="1615" t="s">
        <v>1612</v>
      </c>
      <c r="C178" s="1660"/>
      <c r="D178" s="1659"/>
      <c r="E178" s="1660"/>
      <c r="F178" s="1677"/>
      <c r="G178" s="1660"/>
      <c r="H178" s="1660"/>
      <c r="I178" s="1662"/>
      <c r="J178" s="1662"/>
      <c r="K178" s="1662"/>
      <c r="L178" s="1662"/>
      <c r="M178" s="1662"/>
      <c r="N178" s="1662"/>
      <c r="O178" s="1662"/>
      <c r="P178" s="1662"/>
      <c r="Q178" s="1001"/>
      <c r="R178" s="1001">
        <f>'BS Raw'!L209/Debt!$B$1</f>
        <v>0</v>
      </c>
      <c r="S178" s="1618">
        <v>0</v>
      </c>
      <c r="T178" s="1618">
        <f t="shared" ref="T178:AB178" si="33">S181</f>
        <v>0</v>
      </c>
      <c r="U178" s="1634">
        <f t="shared" si="33"/>
        <v>0</v>
      </c>
      <c r="V178" s="1634">
        <f t="shared" si="33"/>
        <v>22.44425350539661</v>
      </c>
      <c r="W178" s="1634">
        <f t="shared" si="33"/>
        <v>17.456641615308474</v>
      </c>
      <c r="X178" s="1634">
        <f t="shared" si="33"/>
        <v>12.469029725220338</v>
      </c>
      <c r="Y178" s="1634">
        <f t="shared" si="33"/>
        <v>7.481417835132202</v>
      </c>
      <c r="Z178" s="1634">
        <f t="shared" si="33"/>
        <v>2.4938059450440662</v>
      </c>
      <c r="AA178" s="1634">
        <f t="shared" si="33"/>
        <v>0</v>
      </c>
      <c r="AB178" s="1634">
        <f t="shared" si="33"/>
        <v>0</v>
      </c>
      <c r="AC178" s="1634"/>
      <c r="AD178" s="1618"/>
      <c r="AE178" s="1618"/>
      <c r="AF178" s="1618"/>
      <c r="AG178" s="1618"/>
      <c r="AH178" s="1618"/>
      <c r="AI178" s="1618"/>
      <c r="AJ178" s="1618"/>
      <c r="AK178" s="1618"/>
      <c r="AL178" s="1618"/>
      <c r="AM178" s="1618"/>
      <c r="AN178" s="1618"/>
      <c r="AO178" s="1618"/>
      <c r="AP178" s="1618"/>
      <c r="AQ178" s="1618"/>
      <c r="AR178" s="1618"/>
      <c r="AS178" s="1618"/>
      <c r="AT178" s="1618"/>
      <c r="AU178" s="1618"/>
      <c r="AV178" s="1618"/>
      <c r="AW178" s="1618"/>
      <c r="AX178" s="1618"/>
      <c r="AY178" s="1618"/>
      <c r="AZ178" s="1618"/>
      <c r="BA178" s="1618"/>
      <c r="BB178" s="1618"/>
      <c r="BC178" s="1618"/>
      <c r="BD178" s="1618"/>
      <c r="BE178" s="1618"/>
      <c r="BF178" s="1618"/>
      <c r="BG178" s="1001"/>
    </row>
    <row r="179" spans="1:59" x14ac:dyDescent="0.25">
      <c r="B179" s="1620" t="s">
        <v>1614</v>
      </c>
      <c r="C179" s="1660"/>
      <c r="D179" s="1659"/>
      <c r="E179" s="1660"/>
      <c r="F179" s="1677"/>
      <c r="G179" s="1660"/>
      <c r="H179" s="1660"/>
      <c r="I179" s="1662"/>
      <c r="J179" s="1662"/>
      <c r="K179" s="1662"/>
      <c r="L179" s="1662"/>
      <c r="M179" s="1662"/>
      <c r="N179" s="1662"/>
      <c r="O179" s="1662"/>
      <c r="P179" s="1662"/>
      <c r="Q179" s="1001"/>
      <c r="R179" s="1001"/>
      <c r="S179" s="1618">
        <f>IF(YEAR($D177)=YEAR(S$4),$C177,0)</f>
        <v>0</v>
      </c>
      <c r="T179" s="1618">
        <f>IF(YEAR($D177)=YEAR(T$4),$C177,0)</f>
        <v>0</v>
      </c>
      <c r="U179" s="1634">
        <f t="shared" ref="U179:AB179" si="34">IF(YEAR($D177)=YEAR(U$4),$C177,0)</f>
        <v>24.938059450440679</v>
      </c>
      <c r="V179" s="1634">
        <f t="shared" si="34"/>
        <v>0</v>
      </c>
      <c r="W179" s="1634">
        <f t="shared" si="34"/>
        <v>0</v>
      </c>
      <c r="X179" s="1634">
        <f t="shared" si="34"/>
        <v>0</v>
      </c>
      <c r="Y179" s="1634">
        <f t="shared" si="34"/>
        <v>0</v>
      </c>
      <c r="Z179" s="1634">
        <f t="shared" si="34"/>
        <v>0</v>
      </c>
      <c r="AA179" s="1634">
        <f t="shared" si="34"/>
        <v>0</v>
      </c>
      <c r="AB179" s="1634">
        <f t="shared" si="34"/>
        <v>0</v>
      </c>
      <c r="AC179" s="1634"/>
      <c r="AD179" s="1618"/>
      <c r="AE179" s="1618"/>
      <c r="AF179" s="1618"/>
      <c r="AG179" s="1618"/>
      <c r="AH179" s="1618"/>
      <c r="AI179" s="1618"/>
      <c r="AJ179" s="1618"/>
      <c r="AK179" s="1618"/>
      <c r="AL179" s="1618"/>
      <c r="AM179" s="1618"/>
      <c r="AN179" s="1618"/>
      <c r="AO179" s="1618"/>
      <c r="AP179" s="1618"/>
      <c r="AQ179" s="1618"/>
      <c r="AR179" s="1618"/>
      <c r="AS179" s="1618"/>
      <c r="AT179" s="1618"/>
      <c r="AU179" s="1618"/>
      <c r="AV179" s="1618"/>
      <c r="AW179" s="1618"/>
      <c r="AX179" s="1618"/>
      <c r="AY179" s="1618"/>
      <c r="AZ179" s="1618"/>
      <c r="BA179" s="1618"/>
      <c r="BB179" s="1618"/>
      <c r="BC179" s="1618"/>
      <c r="BD179" s="1618"/>
      <c r="BE179" s="1618"/>
      <c r="BF179" s="1618"/>
      <c r="BG179" s="1001"/>
    </row>
    <row r="180" spans="1:59" x14ac:dyDescent="0.25">
      <c r="B180" s="1620" t="s">
        <v>1613</v>
      </c>
      <c r="C180" s="1660"/>
      <c r="D180" s="1659"/>
      <c r="E180" s="1660"/>
      <c r="F180" s="1677"/>
      <c r="G180" s="1660"/>
      <c r="H180" s="1660"/>
      <c r="I180" s="1662"/>
      <c r="J180" s="1662"/>
      <c r="K180" s="1662"/>
      <c r="L180" s="1662"/>
      <c r="M180" s="1662"/>
      <c r="N180" s="1662"/>
      <c r="O180" s="1662"/>
      <c r="P180" s="1662"/>
      <c r="Q180" s="1001"/>
      <c r="R180" s="1001"/>
      <c r="S180" s="1618">
        <f>IF($C177=S179,$C177/($E177/12),MIN(R181,R180))</f>
        <v>0</v>
      </c>
      <c r="T180" s="1618">
        <f t="shared" ref="T180:Y180" si="35">IF($C177=T179,$C177/($E177/12),MIN(S181,S180))</f>
        <v>0</v>
      </c>
      <c r="U180" s="1634">
        <f t="shared" si="35"/>
        <v>4.9876118900881359</v>
      </c>
      <c r="V180" s="1634">
        <f t="shared" si="35"/>
        <v>4.9876118900881359</v>
      </c>
      <c r="W180" s="1634">
        <f t="shared" si="35"/>
        <v>4.9876118900881359</v>
      </c>
      <c r="X180" s="1634">
        <f t="shared" si="35"/>
        <v>4.9876118900881359</v>
      </c>
      <c r="Y180" s="1634">
        <f t="shared" si="35"/>
        <v>4.9876118900881359</v>
      </c>
      <c r="Z180" s="1634">
        <f>IF($C177=Z179,$C177/($E177/12),MIN(Y181,Y180))</f>
        <v>2.4938059450440662</v>
      </c>
      <c r="AA180" s="1634">
        <f t="shared" ref="AA180:AB180" si="36">IF($C177=AA179,$C177/($E177/12),MIN(Z181,Z180))</f>
        <v>0</v>
      </c>
      <c r="AB180" s="1634">
        <f t="shared" si="36"/>
        <v>0</v>
      </c>
      <c r="AC180" s="1634"/>
      <c r="AD180" s="1618"/>
      <c r="AE180" s="1618"/>
      <c r="AF180" s="1618"/>
      <c r="AG180" s="1618"/>
      <c r="AH180" s="1618"/>
      <c r="AI180" s="1618"/>
      <c r="AJ180" s="1618"/>
      <c r="AK180" s="1618"/>
      <c r="AL180" s="1618"/>
      <c r="AM180" s="1618"/>
      <c r="AN180" s="1618"/>
      <c r="AO180" s="1618"/>
      <c r="AP180" s="1618"/>
      <c r="AQ180" s="1618"/>
      <c r="AR180" s="1618"/>
      <c r="AS180" s="1618"/>
      <c r="AT180" s="1618"/>
      <c r="AU180" s="1618"/>
      <c r="AV180" s="1618"/>
      <c r="AW180" s="1618"/>
      <c r="AX180" s="1618"/>
      <c r="AY180" s="1618"/>
      <c r="AZ180" s="1618"/>
      <c r="BA180" s="1618"/>
      <c r="BB180" s="1618"/>
      <c r="BC180" s="1618"/>
      <c r="BD180" s="1618"/>
      <c r="BE180" s="1618"/>
      <c r="BF180" s="1618"/>
      <c r="BG180" s="1001"/>
    </row>
    <row r="181" spans="1:59" x14ac:dyDescent="0.25">
      <c r="B181" s="1615" t="s">
        <v>1615</v>
      </c>
      <c r="C181" s="1660"/>
      <c r="D181" s="1659"/>
      <c r="E181" s="1660"/>
      <c r="F181" s="1677"/>
      <c r="G181" s="1660"/>
      <c r="H181" s="1660"/>
      <c r="I181" s="1662"/>
      <c r="J181" s="1662"/>
      <c r="K181" s="1662"/>
      <c r="L181" s="1662"/>
      <c r="M181" s="1662"/>
      <c r="N181" s="1662"/>
      <c r="O181" s="1662"/>
      <c r="P181" s="1662"/>
      <c r="Q181" s="1001"/>
      <c r="R181" s="1001">
        <f>'BS Raw'!M209/Debt!$B$1</f>
        <v>0</v>
      </c>
      <c r="S181" s="1618">
        <v>0</v>
      </c>
      <c r="T181" s="1618"/>
      <c r="U181" s="1634">
        <f>U178+U179-U180*0.5</f>
        <v>22.44425350539661</v>
      </c>
      <c r="V181" s="1634">
        <f t="shared" ref="V181:AB181" si="37">V178+V179-V180</f>
        <v>17.456641615308474</v>
      </c>
      <c r="W181" s="1634">
        <f t="shared" si="37"/>
        <v>12.469029725220338</v>
      </c>
      <c r="X181" s="1634">
        <f t="shared" si="37"/>
        <v>7.481417835132202</v>
      </c>
      <c r="Y181" s="1634">
        <f t="shared" si="37"/>
        <v>2.4938059450440662</v>
      </c>
      <c r="Z181" s="1634">
        <f t="shared" si="37"/>
        <v>0</v>
      </c>
      <c r="AA181" s="1634">
        <f t="shared" si="37"/>
        <v>0</v>
      </c>
      <c r="AB181" s="1634">
        <f t="shared" si="37"/>
        <v>0</v>
      </c>
      <c r="AC181" s="1634"/>
      <c r="AD181" s="1618"/>
      <c r="AE181" s="1618"/>
      <c r="AF181" s="1618"/>
      <c r="AG181" s="1618"/>
      <c r="AH181" s="1618"/>
      <c r="AI181" s="1618"/>
      <c r="AJ181" s="1618"/>
      <c r="AK181" s="1618"/>
      <c r="AL181" s="1618"/>
      <c r="AM181" s="1618"/>
      <c r="AN181" s="1618"/>
      <c r="AO181" s="1618"/>
      <c r="AP181" s="1618"/>
      <c r="AQ181" s="1618"/>
      <c r="AR181" s="1618"/>
      <c r="AS181" s="1618"/>
      <c r="AT181" s="1618"/>
      <c r="AU181" s="1618"/>
      <c r="AV181" s="1618"/>
      <c r="AW181" s="1618"/>
      <c r="AX181" s="1618"/>
      <c r="AY181" s="1618"/>
      <c r="AZ181" s="1618"/>
      <c r="BA181" s="1618"/>
      <c r="BB181" s="1618"/>
      <c r="BC181" s="1618"/>
      <c r="BD181" s="1618"/>
      <c r="BE181" s="1618"/>
      <c r="BF181" s="1618"/>
      <c r="BG181" s="1001"/>
    </row>
    <row r="182" spans="1:59" s="1642" customFormat="1" x14ac:dyDescent="0.25">
      <c r="A182" s="1635"/>
      <c r="B182" s="1620" t="s">
        <v>1627</v>
      </c>
      <c r="C182" s="1703"/>
      <c r="D182" s="1674"/>
      <c r="E182" s="1673"/>
      <c r="F182" s="1675"/>
      <c r="G182" s="1673"/>
      <c r="H182" s="1673"/>
      <c r="I182" s="1676"/>
      <c r="J182" s="1676"/>
      <c r="K182" s="1676"/>
      <c r="L182" s="1676"/>
      <c r="M182" s="1676"/>
      <c r="N182" s="1676"/>
      <c r="O182" s="1676"/>
      <c r="P182" s="1676"/>
      <c r="Q182" s="1636"/>
      <c r="R182" s="1704">
        <f>F177</f>
        <v>7.0000000000000007E-2</v>
      </c>
      <c r="S182" s="1683">
        <f>R182</f>
        <v>7.0000000000000007E-2</v>
      </c>
      <c r="T182" s="1683">
        <f t="shared" ref="T182:AB182" si="38">S182</f>
        <v>7.0000000000000007E-2</v>
      </c>
      <c r="U182" s="1683">
        <f t="shared" si="38"/>
        <v>7.0000000000000007E-2</v>
      </c>
      <c r="V182" s="1683">
        <f t="shared" si="38"/>
        <v>7.0000000000000007E-2</v>
      </c>
      <c r="W182" s="1683">
        <f t="shared" si="38"/>
        <v>7.0000000000000007E-2</v>
      </c>
      <c r="X182" s="1683">
        <f t="shared" si="38"/>
        <v>7.0000000000000007E-2</v>
      </c>
      <c r="Y182" s="1683">
        <f t="shared" si="38"/>
        <v>7.0000000000000007E-2</v>
      </c>
      <c r="Z182" s="1683">
        <f t="shared" si="38"/>
        <v>7.0000000000000007E-2</v>
      </c>
      <c r="AA182" s="1683">
        <f t="shared" si="38"/>
        <v>7.0000000000000007E-2</v>
      </c>
      <c r="AB182" s="1683">
        <f t="shared" si="38"/>
        <v>7.0000000000000007E-2</v>
      </c>
      <c r="AC182" s="1683"/>
      <c r="AD182" s="1684"/>
      <c r="AE182" s="1684"/>
      <c r="AF182" s="1684"/>
      <c r="AG182" s="1684"/>
      <c r="AH182" s="1684"/>
      <c r="AI182" s="1684"/>
      <c r="AJ182" s="1684"/>
      <c r="AK182" s="1684"/>
      <c r="AL182" s="1684"/>
      <c r="AM182" s="1684"/>
      <c r="AN182" s="1684"/>
      <c r="AO182" s="1684"/>
      <c r="AP182" s="1684"/>
      <c r="AQ182" s="1684"/>
      <c r="AR182" s="1684"/>
      <c r="AS182" s="1684"/>
      <c r="AT182" s="1684"/>
      <c r="AU182" s="1684"/>
      <c r="AV182" s="1684"/>
      <c r="AW182" s="1684"/>
      <c r="AX182" s="1684"/>
      <c r="AY182" s="1684"/>
      <c r="AZ182" s="1684"/>
      <c r="BA182" s="1684"/>
      <c r="BB182" s="1684"/>
      <c r="BC182" s="1684"/>
      <c r="BD182" s="1684"/>
      <c r="BE182" s="1684"/>
      <c r="BF182" s="1684"/>
      <c r="BG182" s="1636"/>
    </row>
    <row r="183" spans="1:59" x14ac:dyDescent="0.25">
      <c r="B183" s="1620" t="s">
        <v>1616</v>
      </c>
      <c r="C183" s="1705"/>
      <c r="D183" s="1659"/>
      <c r="E183" s="1660"/>
      <c r="F183" s="1677"/>
      <c r="G183" s="1660"/>
      <c r="H183" s="1660"/>
      <c r="I183" s="1662"/>
      <c r="J183" s="1662"/>
      <c r="K183" s="1662"/>
      <c r="L183" s="1662"/>
      <c r="M183" s="1662"/>
      <c r="N183" s="1662"/>
      <c r="O183" s="1662"/>
      <c r="P183" s="1662"/>
      <c r="Q183" s="1001"/>
      <c r="R183" s="1636">
        <f>R182*AVERAGE(R178,R181)</f>
        <v>0</v>
      </c>
      <c r="S183" s="1641">
        <f t="shared" ref="S183:AB183" si="39">S182*AVERAGE(S178,S181)</f>
        <v>0</v>
      </c>
      <c r="T183" s="1641">
        <f t="shared" si="39"/>
        <v>0</v>
      </c>
      <c r="U183" s="1640">
        <f>U182*AVERAGE(U178,U181)</f>
        <v>0.78554887268888141</v>
      </c>
      <c r="V183" s="1640">
        <f t="shared" si="39"/>
        <v>1.3965313292246782</v>
      </c>
      <c r="W183" s="1640">
        <f t="shared" si="39"/>
        <v>1.0473984969185086</v>
      </c>
      <c r="X183" s="1640">
        <f t="shared" si="39"/>
        <v>0.69826566461233897</v>
      </c>
      <c r="Y183" s="1640">
        <f t="shared" si="39"/>
        <v>0.34913283230616943</v>
      </c>
      <c r="Z183" s="1641">
        <f t="shared" si="39"/>
        <v>8.7283208076542329E-2</v>
      </c>
      <c r="AA183" s="1641">
        <f t="shared" si="39"/>
        <v>0</v>
      </c>
      <c r="AB183" s="1641">
        <f t="shared" si="39"/>
        <v>0</v>
      </c>
      <c r="AC183" s="1641"/>
      <c r="AD183" s="1641"/>
      <c r="AE183" s="1641"/>
      <c r="AF183" s="1641"/>
      <c r="AG183" s="1641"/>
      <c r="AH183" s="1641"/>
      <c r="AI183" s="1641"/>
      <c r="AJ183" s="1641"/>
      <c r="AK183" s="1641"/>
      <c r="AL183" s="1641"/>
      <c r="AM183" s="1641"/>
      <c r="AN183" s="1641"/>
      <c r="AO183" s="1641"/>
      <c r="AP183" s="1641"/>
      <c r="AQ183" s="1641"/>
      <c r="AR183" s="1641"/>
      <c r="AS183" s="1641"/>
      <c r="AT183" s="1641"/>
      <c r="AU183" s="1641"/>
      <c r="AV183" s="1641"/>
      <c r="AW183" s="1641"/>
      <c r="AX183" s="1641"/>
      <c r="AY183" s="1641"/>
      <c r="AZ183" s="1641"/>
      <c r="BA183" s="1641"/>
      <c r="BB183" s="1641"/>
      <c r="BC183" s="1641"/>
      <c r="BD183" s="1641"/>
      <c r="BE183" s="1641"/>
      <c r="BF183" s="1641"/>
      <c r="BG183" s="1001"/>
    </row>
    <row r="185" spans="1:59" ht="14.4" thickBot="1" x14ac:dyDescent="0.3">
      <c r="A185" s="1592">
        <v>4</v>
      </c>
      <c r="B185" s="1644" t="s">
        <v>1677</v>
      </c>
      <c r="C185" s="1686"/>
      <c r="D185" s="1687"/>
      <c r="E185" s="1686"/>
      <c r="F185" s="1688"/>
      <c r="G185" s="1686"/>
      <c r="H185" s="1686"/>
      <c r="I185" s="1686"/>
      <c r="J185" s="1686"/>
      <c r="K185" s="1686"/>
      <c r="L185" s="1686"/>
      <c r="M185" s="1686"/>
      <c r="N185" s="1686"/>
      <c r="O185" s="1686"/>
      <c r="P185" s="1686"/>
      <c r="Q185" s="1001"/>
      <c r="R185" s="1689"/>
      <c r="S185" s="1686"/>
      <c r="T185" s="1686"/>
      <c r="U185" s="1686"/>
      <c r="V185" s="1686"/>
      <c r="W185" s="1686"/>
      <c r="X185" s="1686"/>
      <c r="Y185" s="1686"/>
      <c r="Z185" s="1686"/>
      <c r="AA185" s="1686"/>
      <c r="AB185" s="1686"/>
      <c r="AC185" s="1686"/>
      <c r="AD185" s="1686"/>
      <c r="AE185" s="1686"/>
      <c r="AF185" s="1686"/>
      <c r="AG185" s="1686"/>
      <c r="AH185" s="1686"/>
      <c r="AI185" s="1686"/>
      <c r="AJ185" s="1686"/>
      <c r="AK185" s="1686"/>
      <c r="AL185" s="1686"/>
      <c r="AM185" s="1686"/>
      <c r="AN185" s="1686"/>
      <c r="AO185" s="1686"/>
      <c r="AP185" s="1686"/>
      <c r="AQ185" s="1686"/>
      <c r="AR185" s="1686"/>
      <c r="AS185" s="1686"/>
      <c r="AT185" s="1686"/>
      <c r="AU185" s="1686"/>
      <c r="AV185" s="1686"/>
      <c r="AW185" s="1686"/>
      <c r="AX185" s="1686"/>
      <c r="AY185" s="1686"/>
      <c r="AZ185" s="1686"/>
      <c r="BA185" s="1686"/>
      <c r="BB185" s="1686"/>
      <c r="BC185" s="1686"/>
      <c r="BD185" s="1686"/>
      <c r="BE185" s="1686"/>
      <c r="BF185" s="1686"/>
      <c r="BG185" s="1001"/>
    </row>
    <row r="186" spans="1:59" x14ac:dyDescent="0.25">
      <c r="B186" s="1597"/>
      <c r="C186" s="1001"/>
      <c r="D186" s="1613"/>
      <c r="E186" s="1001"/>
      <c r="G186" s="1001"/>
      <c r="H186" s="1001"/>
      <c r="I186" s="1001"/>
      <c r="J186" s="1001"/>
      <c r="K186" s="1001"/>
      <c r="L186" s="1001"/>
      <c r="M186" s="1001"/>
      <c r="N186" s="1001"/>
      <c r="O186" s="1001"/>
      <c r="P186" s="1001"/>
      <c r="Q186" s="1001"/>
      <c r="S186" s="1001"/>
      <c r="T186" s="1001"/>
      <c r="U186" s="1001"/>
      <c r="V186" s="1001"/>
      <c r="W186" s="1001"/>
      <c r="X186" s="1001"/>
      <c r="Y186" s="1001"/>
      <c r="Z186" s="1001"/>
      <c r="AA186" s="1001"/>
      <c r="AB186" s="1001"/>
      <c r="AC186" s="1001"/>
      <c r="AD186" s="1001"/>
      <c r="AE186" s="1001"/>
      <c r="AF186" s="1001"/>
      <c r="AG186" s="1001"/>
      <c r="AH186" s="1001"/>
      <c r="AI186" s="1001"/>
      <c r="AJ186" s="1001"/>
      <c r="AK186" s="1001"/>
      <c r="AL186" s="1001"/>
      <c r="AM186" s="1001"/>
      <c r="AN186" s="1001"/>
      <c r="AO186" s="1001"/>
      <c r="AP186" s="1001"/>
      <c r="AQ186" s="1001"/>
      <c r="AR186" s="1001"/>
      <c r="AS186" s="1001"/>
      <c r="AT186" s="1001"/>
      <c r="AU186" s="1001"/>
      <c r="AV186" s="1001"/>
      <c r="AW186" s="1001"/>
      <c r="AX186" s="1001"/>
      <c r="AY186" s="1001"/>
      <c r="AZ186" s="1001"/>
      <c r="BA186" s="1001"/>
      <c r="BB186" s="1001"/>
      <c r="BC186" s="1001"/>
      <c r="BD186" s="1001"/>
      <c r="BE186" s="1001"/>
      <c r="BF186" s="1001"/>
      <c r="BG186" s="1001"/>
    </row>
    <row r="187" spans="1:59" x14ac:dyDescent="0.25">
      <c r="A187" s="1592" t="s">
        <v>523</v>
      </c>
      <c r="B187" s="1653" t="s">
        <v>1624</v>
      </c>
      <c r="C187" s="1762"/>
      <c r="D187" s="1775"/>
      <c r="E187" s="1762"/>
      <c r="F187" s="1763"/>
      <c r="G187" s="1762"/>
      <c r="H187" s="1762"/>
      <c r="I187" s="1762"/>
      <c r="J187" s="1762"/>
      <c r="K187" s="1762"/>
      <c r="L187" s="1762"/>
      <c r="M187" s="1762"/>
      <c r="N187" s="1762"/>
      <c r="O187" s="1762"/>
      <c r="P187" s="1762"/>
      <c r="Q187" s="1001"/>
      <c r="R187" s="1001"/>
      <c r="S187" s="1001"/>
      <c r="T187" s="1001"/>
      <c r="U187" s="1001"/>
      <c r="V187" s="1001"/>
      <c r="W187" s="1001"/>
      <c r="X187" s="1001"/>
      <c r="Y187" s="1001"/>
      <c r="Z187" s="1001"/>
      <c r="AA187" s="1001"/>
      <c r="AB187" s="1001"/>
      <c r="AC187" s="1001"/>
      <c r="AD187" s="1001"/>
      <c r="AE187" s="1001"/>
      <c r="AF187" s="1001"/>
      <c r="AG187" s="1001"/>
      <c r="AH187" s="1001"/>
      <c r="AI187" s="1001"/>
      <c r="AJ187" s="1001"/>
      <c r="AK187" s="1001"/>
      <c r="AL187" s="1001"/>
      <c r="AM187" s="1001"/>
      <c r="AN187" s="1001"/>
      <c r="AO187" s="1001"/>
      <c r="AP187" s="1001"/>
      <c r="AQ187" s="1001"/>
      <c r="AR187" s="1001"/>
      <c r="AS187" s="1001"/>
      <c r="AT187" s="1001"/>
      <c r="AU187" s="1001"/>
      <c r="AV187" s="1001"/>
      <c r="AW187" s="1001"/>
      <c r="AX187" s="1001"/>
      <c r="AY187" s="1001"/>
      <c r="AZ187" s="1001"/>
      <c r="BA187" s="1001"/>
      <c r="BB187" s="1001"/>
      <c r="BC187" s="1001"/>
      <c r="BD187" s="1001"/>
      <c r="BE187" s="1001"/>
      <c r="BF187" s="1001"/>
      <c r="BG187" s="1001"/>
    </row>
    <row r="188" spans="1:59" x14ac:dyDescent="0.25">
      <c r="B188" s="1657" t="s">
        <v>1672</v>
      </c>
      <c r="C188" s="1766">
        <v>0</v>
      </c>
      <c r="D188" s="1765">
        <v>45809</v>
      </c>
      <c r="E188" s="1766">
        <v>60</v>
      </c>
      <c r="F188" s="1677">
        <f>F177</f>
        <v>7.0000000000000007E-2</v>
      </c>
      <c r="G188" s="1660" t="s">
        <v>1626</v>
      </c>
      <c r="H188" s="1660">
        <v>0.5</v>
      </c>
      <c r="I188" s="1662"/>
      <c r="J188" s="1662"/>
      <c r="K188" s="1662"/>
      <c r="L188" s="1662"/>
      <c r="M188" s="1662"/>
      <c r="N188" s="1662"/>
      <c r="O188" s="1662"/>
      <c r="P188" s="1662"/>
      <c r="Q188" s="1001"/>
      <c r="R188" s="1001"/>
      <c r="S188" s="1001"/>
      <c r="T188" s="1001"/>
      <c r="U188" s="1001"/>
      <c r="V188" s="1001"/>
      <c r="W188" s="1001"/>
      <c r="X188" s="1001"/>
      <c r="Y188" s="1001"/>
      <c r="Z188" s="1001"/>
      <c r="AA188" s="1001"/>
      <c r="AB188" s="1001"/>
      <c r="AC188" s="1001"/>
      <c r="AD188" s="1001"/>
      <c r="AE188" s="1001"/>
      <c r="AF188" s="1001"/>
      <c r="AG188" s="1001"/>
      <c r="AH188" s="1001"/>
      <c r="AI188" s="1001"/>
      <c r="AJ188" s="1001"/>
      <c r="AK188" s="1001"/>
      <c r="AL188" s="1001"/>
      <c r="AM188" s="1001"/>
      <c r="AN188" s="1001"/>
      <c r="AO188" s="1001"/>
      <c r="AP188" s="1001"/>
      <c r="AQ188" s="1001"/>
      <c r="AR188" s="1001"/>
      <c r="AS188" s="1001"/>
      <c r="AT188" s="1001"/>
      <c r="AU188" s="1001"/>
      <c r="AV188" s="1001"/>
      <c r="AW188" s="1001"/>
      <c r="AX188" s="1001"/>
      <c r="AY188" s="1001"/>
      <c r="AZ188" s="1001"/>
      <c r="BA188" s="1001"/>
      <c r="BB188" s="1001"/>
      <c r="BC188" s="1001"/>
      <c r="BD188" s="1001"/>
      <c r="BE188" s="1001"/>
      <c r="BF188" s="1001"/>
      <c r="BG188" s="1001"/>
    </row>
    <row r="189" spans="1:59" x14ac:dyDescent="0.25">
      <c r="B189" s="1615" t="s">
        <v>1612</v>
      </c>
      <c r="C189" s="1660"/>
      <c r="D189" s="1659"/>
      <c r="E189" s="1660"/>
      <c r="F189" s="1677"/>
      <c r="G189" s="1660"/>
      <c r="H189" s="1660"/>
      <c r="I189" s="1662"/>
      <c r="J189" s="1662"/>
      <c r="K189" s="1662"/>
      <c r="L189" s="1662"/>
      <c r="M189" s="1662"/>
      <c r="N189" s="1662"/>
      <c r="O189" s="1662"/>
      <c r="P189" s="1662"/>
      <c r="Q189" s="1001"/>
      <c r="R189" s="1001">
        <f>'BS Raw'!L220/Debt!$B$1</f>
        <v>0</v>
      </c>
      <c r="S189" s="1618">
        <v>0</v>
      </c>
      <c r="T189" s="1618">
        <f t="shared" ref="T189:AB189" si="40">S192</f>
        <v>0</v>
      </c>
      <c r="U189" s="1618">
        <f t="shared" si="40"/>
        <v>0</v>
      </c>
      <c r="V189" s="1618">
        <f t="shared" si="40"/>
        <v>0</v>
      </c>
      <c r="W189" s="1618">
        <f t="shared" si="40"/>
        <v>0</v>
      </c>
      <c r="X189" s="1618">
        <f t="shared" si="40"/>
        <v>0</v>
      </c>
      <c r="Y189" s="1618">
        <f t="shared" si="40"/>
        <v>0</v>
      </c>
      <c r="Z189" s="1618">
        <f t="shared" si="40"/>
        <v>0</v>
      </c>
      <c r="AA189" s="1618">
        <f t="shared" si="40"/>
        <v>0</v>
      </c>
      <c r="AB189" s="1618">
        <f t="shared" si="40"/>
        <v>0</v>
      </c>
      <c r="AC189" s="1618"/>
      <c r="AD189" s="1618"/>
      <c r="AE189" s="1618"/>
      <c r="AF189" s="1618"/>
      <c r="AG189" s="1618"/>
      <c r="AH189" s="1618"/>
      <c r="AI189" s="1618"/>
      <c r="AJ189" s="1618"/>
      <c r="AK189" s="1618"/>
      <c r="AL189" s="1618"/>
      <c r="AM189" s="1618"/>
      <c r="AN189" s="1618"/>
      <c r="AO189" s="1618"/>
      <c r="AP189" s="1618"/>
      <c r="AQ189" s="1618"/>
      <c r="AR189" s="1618"/>
      <c r="AS189" s="1618"/>
      <c r="AT189" s="1618"/>
      <c r="AU189" s="1618"/>
      <c r="AV189" s="1618"/>
      <c r="AW189" s="1618"/>
      <c r="AX189" s="1618"/>
      <c r="AY189" s="1618"/>
      <c r="AZ189" s="1618"/>
      <c r="BA189" s="1618"/>
      <c r="BB189" s="1618"/>
      <c r="BC189" s="1618"/>
      <c r="BD189" s="1618"/>
      <c r="BE189" s="1618"/>
      <c r="BF189" s="1618"/>
      <c r="BG189" s="1001"/>
    </row>
    <row r="190" spans="1:59" x14ac:dyDescent="0.25">
      <c r="B190" s="1620" t="s">
        <v>1614</v>
      </c>
      <c r="C190" s="1660"/>
      <c r="D190" s="1659"/>
      <c r="E190" s="1660"/>
      <c r="F190" s="1677"/>
      <c r="G190" s="1660"/>
      <c r="H190" s="1660"/>
      <c r="I190" s="1662"/>
      <c r="J190" s="1662"/>
      <c r="K190" s="1662"/>
      <c r="L190" s="1662"/>
      <c r="M190" s="1662"/>
      <c r="N190" s="1662"/>
      <c r="O190" s="1662"/>
      <c r="P190" s="1662"/>
      <c r="Q190" s="1001"/>
      <c r="R190" s="1001"/>
      <c r="S190" s="1618">
        <f>IF(YEAR($D188)=YEAR(S$4),$C188,0)</f>
        <v>0</v>
      </c>
      <c r="T190" s="1618">
        <f>IF(YEAR($D188)=YEAR(T$4),$C188,0)</f>
        <v>0</v>
      </c>
      <c r="U190" s="1618">
        <f t="shared" ref="U190:AB190" si="41">IF(YEAR($D188)=YEAR(U$4),$C188,0)</f>
        <v>0</v>
      </c>
      <c r="V190" s="1618">
        <f t="shared" si="41"/>
        <v>0</v>
      </c>
      <c r="W190" s="1618">
        <f t="shared" si="41"/>
        <v>0</v>
      </c>
      <c r="X190" s="1618">
        <f t="shared" si="41"/>
        <v>0</v>
      </c>
      <c r="Y190" s="1618">
        <f t="shared" si="41"/>
        <v>0</v>
      </c>
      <c r="Z190" s="1618">
        <f t="shared" si="41"/>
        <v>0</v>
      </c>
      <c r="AA190" s="1618">
        <f t="shared" si="41"/>
        <v>0</v>
      </c>
      <c r="AB190" s="1618">
        <f t="shared" si="41"/>
        <v>0</v>
      </c>
      <c r="AC190" s="1618"/>
      <c r="AD190" s="1618"/>
      <c r="AE190" s="1618"/>
      <c r="AF190" s="1618"/>
      <c r="AG190" s="1618"/>
      <c r="AH190" s="1618"/>
      <c r="AI190" s="1618"/>
      <c r="AJ190" s="1618"/>
      <c r="AK190" s="1618"/>
      <c r="AL190" s="1618"/>
      <c r="AM190" s="1618"/>
      <c r="AN190" s="1618"/>
      <c r="AO190" s="1618"/>
      <c r="AP190" s="1618"/>
      <c r="AQ190" s="1618"/>
      <c r="AR190" s="1618"/>
      <c r="AS190" s="1618"/>
      <c r="AT190" s="1618"/>
      <c r="AU190" s="1618"/>
      <c r="AV190" s="1618"/>
      <c r="AW190" s="1618"/>
      <c r="AX190" s="1618"/>
      <c r="AY190" s="1618"/>
      <c r="AZ190" s="1618"/>
      <c r="BA190" s="1618"/>
      <c r="BB190" s="1618"/>
      <c r="BC190" s="1618"/>
      <c r="BD190" s="1618"/>
      <c r="BE190" s="1618"/>
      <c r="BF190" s="1618"/>
      <c r="BG190" s="1001"/>
    </row>
    <row r="191" spans="1:59" x14ac:dyDescent="0.25">
      <c r="B191" s="1620" t="s">
        <v>1613</v>
      </c>
      <c r="C191" s="1660"/>
      <c r="D191" s="1659"/>
      <c r="E191" s="1660"/>
      <c r="F191" s="1677"/>
      <c r="G191" s="1660"/>
      <c r="H191" s="1660"/>
      <c r="I191" s="1662"/>
      <c r="J191" s="1662"/>
      <c r="K191" s="1662"/>
      <c r="L191" s="1662"/>
      <c r="M191" s="1662"/>
      <c r="N191" s="1662"/>
      <c r="O191" s="1662"/>
      <c r="P191" s="1662"/>
      <c r="Q191" s="1001"/>
      <c r="R191" s="1001"/>
      <c r="S191" s="1618">
        <f>IF($C188=S190,$C188/($E188/12),MIN(R192,R191))</f>
        <v>0</v>
      </c>
      <c r="T191" s="1618">
        <f t="shared" ref="T191:AB191" si="42">IF($C188=T190,$C188/($E188/12),MIN(S192,S191))</f>
        <v>0</v>
      </c>
      <c r="U191" s="1618">
        <f t="shared" si="42"/>
        <v>0</v>
      </c>
      <c r="V191" s="1618">
        <f t="shared" si="42"/>
        <v>0</v>
      </c>
      <c r="W191" s="1618">
        <f t="shared" si="42"/>
        <v>0</v>
      </c>
      <c r="X191" s="1618">
        <f t="shared" si="42"/>
        <v>0</v>
      </c>
      <c r="Y191" s="1618">
        <f t="shared" si="42"/>
        <v>0</v>
      </c>
      <c r="Z191" s="1618">
        <f t="shared" si="42"/>
        <v>0</v>
      </c>
      <c r="AA191" s="1618">
        <f t="shared" si="42"/>
        <v>0</v>
      </c>
      <c r="AB191" s="1618">
        <f t="shared" si="42"/>
        <v>0</v>
      </c>
      <c r="AC191" s="1618"/>
      <c r="AD191" s="1618"/>
      <c r="AE191" s="1618"/>
      <c r="AF191" s="1618"/>
      <c r="AG191" s="1618"/>
      <c r="AH191" s="1618"/>
      <c r="AI191" s="1618"/>
      <c r="AJ191" s="1618"/>
      <c r="AK191" s="1618"/>
      <c r="AL191" s="1618"/>
      <c r="AM191" s="1618"/>
      <c r="AN191" s="1618"/>
      <c r="AO191" s="1618"/>
      <c r="AP191" s="1618"/>
      <c r="AQ191" s="1618"/>
      <c r="AR191" s="1618"/>
      <c r="AS191" s="1618"/>
      <c r="AT191" s="1618"/>
      <c r="AU191" s="1618"/>
      <c r="AV191" s="1618"/>
      <c r="AW191" s="1618"/>
      <c r="AX191" s="1618"/>
      <c r="AY191" s="1618"/>
      <c r="AZ191" s="1618"/>
      <c r="BA191" s="1618"/>
      <c r="BB191" s="1618"/>
      <c r="BC191" s="1618"/>
      <c r="BD191" s="1618"/>
      <c r="BE191" s="1618"/>
      <c r="BF191" s="1618"/>
      <c r="BG191" s="1001"/>
    </row>
    <row r="192" spans="1:59" x14ac:dyDescent="0.25">
      <c r="B192" s="1615" t="s">
        <v>1615</v>
      </c>
      <c r="C192" s="1660"/>
      <c r="D192" s="1659"/>
      <c r="E192" s="1660"/>
      <c r="F192" s="1677"/>
      <c r="G192" s="1660"/>
      <c r="H192" s="1660"/>
      <c r="I192" s="1662"/>
      <c r="J192" s="1662"/>
      <c r="K192" s="1662"/>
      <c r="L192" s="1662"/>
      <c r="M192" s="1662"/>
      <c r="N192" s="1662"/>
      <c r="O192" s="1662"/>
      <c r="P192" s="1662"/>
      <c r="Q192" s="1001"/>
      <c r="R192" s="1001">
        <f>'BS Raw'!M220/Debt!$B$1</f>
        <v>0</v>
      </c>
      <c r="S192" s="1618">
        <v>0</v>
      </c>
      <c r="T192" s="1618">
        <f t="shared" ref="T192:AB192" si="43">T189+T190-T191</f>
        <v>0</v>
      </c>
      <c r="U192" s="1618">
        <f t="shared" si="43"/>
        <v>0</v>
      </c>
      <c r="V192" s="1618">
        <f t="shared" si="43"/>
        <v>0</v>
      </c>
      <c r="W192" s="1618">
        <f t="shared" si="43"/>
        <v>0</v>
      </c>
      <c r="X192" s="1618">
        <f t="shared" si="43"/>
        <v>0</v>
      </c>
      <c r="Y192" s="1618">
        <f t="shared" si="43"/>
        <v>0</v>
      </c>
      <c r="Z192" s="1618">
        <f t="shared" si="43"/>
        <v>0</v>
      </c>
      <c r="AA192" s="1618">
        <f t="shared" si="43"/>
        <v>0</v>
      </c>
      <c r="AB192" s="1618">
        <f t="shared" si="43"/>
        <v>0</v>
      </c>
      <c r="AC192" s="1618"/>
      <c r="AD192" s="1618"/>
      <c r="AE192" s="1618"/>
      <c r="AF192" s="1618"/>
      <c r="AG192" s="1618"/>
      <c r="AH192" s="1618"/>
      <c r="AI192" s="1618"/>
      <c r="AJ192" s="1618"/>
      <c r="AK192" s="1618"/>
      <c r="AL192" s="1618"/>
      <c r="AM192" s="1618"/>
      <c r="AN192" s="1618"/>
      <c r="AO192" s="1618"/>
      <c r="AP192" s="1618"/>
      <c r="AQ192" s="1618"/>
      <c r="AR192" s="1618"/>
      <c r="AS192" s="1618"/>
      <c r="AT192" s="1618"/>
      <c r="AU192" s="1618"/>
      <c r="AV192" s="1618"/>
      <c r="AW192" s="1618"/>
      <c r="AX192" s="1618"/>
      <c r="AY192" s="1618"/>
      <c r="AZ192" s="1618"/>
      <c r="BA192" s="1618"/>
      <c r="BB192" s="1618"/>
      <c r="BC192" s="1618"/>
      <c r="BD192" s="1618"/>
      <c r="BE192" s="1618"/>
      <c r="BF192" s="1618"/>
      <c r="BG192" s="1001"/>
    </row>
    <row r="193" spans="1:59" s="1642" customFormat="1" x14ac:dyDescent="0.25">
      <c r="A193" s="1635"/>
      <c r="B193" s="1620" t="s">
        <v>1627</v>
      </c>
      <c r="C193" s="1703"/>
      <c r="D193" s="1674"/>
      <c r="E193" s="1673"/>
      <c r="F193" s="1675"/>
      <c r="G193" s="1673"/>
      <c r="H193" s="1673"/>
      <c r="I193" s="1676"/>
      <c r="J193" s="1676"/>
      <c r="K193" s="1676"/>
      <c r="L193" s="1676"/>
      <c r="M193" s="1676"/>
      <c r="N193" s="1676"/>
      <c r="O193" s="1676"/>
      <c r="P193" s="1676"/>
      <c r="Q193" s="1636"/>
      <c r="R193" s="1638">
        <f>F188</f>
        <v>7.0000000000000007E-2</v>
      </c>
      <c r="S193" s="1684">
        <f>R193</f>
        <v>7.0000000000000007E-2</v>
      </c>
      <c r="T193" s="1684">
        <f t="shared" ref="T193:AB193" si="44">S193</f>
        <v>7.0000000000000007E-2</v>
      </c>
      <c r="U193" s="1684">
        <f t="shared" si="44"/>
        <v>7.0000000000000007E-2</v>
      </c>
      <c r="V193" s="1684">
        <f t="shared" si="44"/>
        <v>7.0000000000000007E-2</v>
      </c>
      <c r="W193" s="1684">
        <f t="shared" si="44"/>
        <v>7.0000000000000007E-2</v>
      </c>
      <c r="X193" s="1684">
        <f t="shared" si="44"/>
        <v>7.0000000000000007E-2</v>
      </c>
      <c r="Y193" s="1684">
        <f t="shared" si="44"/>
        <v>7.0000000000000007E-2</v>
      </c>
      <c r="Z193" s="1684">
        <f t="shared" si="44"/>
        <v>7.0000000000000007E-2</v>
      </c>
      <c r="AA193" s="1684">
        <f t="shared" si="44"/>
        <v>7.0000000000000007E-2</v>
      </c>
      <c r="AB193" s="1684">
        <f t="shared" si="44"/>
        <v>7.0000000000000007E-2</v>
      </c>
      <c r="AC193" s="1684"/>
      <c r="AD193" s="1684"/>
      <c r="AE193" s="1684"/>
      <c r="AF193" s="1684"/>
      <c r="AG193" s="1684"/>
      <c r="AH193" s="1684"/>
      <c r="AI193" s="1684"/>
      <c r="AJ193" s="1684"/>
      <c r="AK193" s="1684"/>
      <c r="AL193" s="1684"/>
      <c r="AM193" s="1684"/>
      <c r="AN193" s="1684"/>
      <c r="AO193" s="1684"/>
      <c r="AP193" s="1684"/>
      <c r="AQ193" s="1684"/>
      <c r="AR193" s="1684"/>
      <c r="AS193" s="1684"/>
      <c r="AT193" s="1684"/>
      <c r="AU193" s="1684"/>
      <c r="AV193" s="1684"/>
      <c r="AW193" s="1684"/>
      <c r="AX193" s="1684"/>
      <c r="AY193" s="1684"/>
      <c r="AZ193" s="1684"/>
      <c r="BA193" s="1684"/>
      <c r="BB193" s="1684"/>
      <c r="BC193" s="1684"/>
      <c r="BD193" s="1684"/>
      <c r="BE193" s="1684"/>
      <c r="BF193" s="1684"/>
      <c r="BG193" s="1636"/>
    </row>
    <row r="194" spans="1:59" x14ac:dyDescent="0.25">
      <c r="B194" s="1620" t="s">
        <v>1616</v>
      </c>
      <c r="C194" s="1705"/>
      <c r="D194" s="1659"/>
      <c r="E194" s="1660"/>
      <c r="F194" s="1677"/>
      <c r="G194" s="1660"/>
      <c r="H194" s="1660"/>
      <c r="I194" s="1662"/>
      <c r="J194" s="1662"/>
      <c r="K194" s="1662"/>
      <c r="L194" s="1662"/>
      <c r="M194" s="1662"/>
      <c r="N194" s="1662"/>
      <c r="O194" s="1662"/>
      <c r="P194" s="1662"/>
      <c r="Q194" s="1001"/>
      <c r="R194" s="1636">
        <f>R193*AVERAGE(R189,R192)</f>
        <v>0</v>
      </c>
      <c r="S194" s="1641">
        <f t="shared" ref="S194:AB194" si="45">S193*AVERAGE(S189,S192)</f>
        <v>0</v>
      </c>
      <c r="T194" s="1641">
        <f t="shared" si="45"/>
        <v>0</v>
      </c>
      <c r="U194" s="1641">
        <f t="shared" si="45"/>
        <v>0</v>
      </c>
      <c r="V194" s="1641">
        <f t="shared" si="45"/>
        <v>0</v>
      </c>
      <c r="W194" s="1641">
        <f t="shared" si="45"/>
        <v>0</v>
      </c>
      <c r="X194" s="1641">
        <f t="shared" si="45"/>
        <v>0</v>
      </c>
      <c r="Y194" s="1641">
        <f t="shared" si="45"/>
        <v>0</v>
      </c>
      <c r="Z194" s="1641">
        <f t="shared" si="45"/>
        <v>0</v>
      </c>
      <c r="AA194" s="1641">
        <f t="shared" si="45"/>
        <v>0</v>
      </c>
      <c r="AB194" s="1641">
        <f t="shared" si="45"/>
        <v>0</v>
      </c>
      <c r="AC194" s="1641"/>
      <c r="AD194" s="1641"/>
      <c r="AE194" s="1641"/>
      <c r="AF194" s="1641"/>
      <c r="AG194" s="1641"/>
      <c r="AH194" s="1641"/>
      <c r="AI194" s="1641"/>
      <c r="AJ194" s="1641"/>
      <c r="AK194" s="1641"/>
      <c r="AL194" s="1641"/>
      <c r="AM194" s="1641"/>
      <c r="AN194" s="1641"/>
      <c r="AO194" s="1641"/>
      <c r="AP194" s="1641"/>
      <c r="AQ194" s="1641"/>
      <c r="AR194" s="1641"/>
      <c r="AS194" s="1641"/>
      <c r="AT194" s="1641"/>
      <c r="AU194" s="1641"/>
      <c r="AV194" s="1641"/>
      <c r="AW194" s="1641"/>
      <c r="AX194" s="1641"/>
      <c r="AY194" s="1641"/>
      <c r="AZ194" s="1641"/>
      <c r="BA194" s="1641"/>
      <c r="BB194" s="1641"/>
      <c r="BC194" s="1641"/>
      <c r="BD194" s="1641"/>
      <c r="BE194" s="1641"/>
      <c r="BF194" s="1641"/>
      <c r="BG194" s="1001"/>
    </row>
    <row r="196" spans="1:59" ht="14.4" thickBot="1" x14ac:dyDescent="0.3">
      <c r="A196" s="1592">
        <v>5</v>
      </c>
      <c r="B196" s="1644" t="s">
        <v>1678</v>
      </c>
      <c r="C196" s="1686"/>
      <c r="D196" s="1687"/>
      <c r="E196" s="1686"/>
      <c r="F196" s="1688"/>
      <c r="G196" s="1686"/>
      <c r="H196" s="1686"/>
      <c r="I196" s="1686"/>
      <c r="J196" s="1686"/>
      <c r="K196" s="1686"/>
      <c r="L196" s="1686"/>
      <c r="M196" s="1686"/>
      <c r="N196" s="1686"/>
      <c r="O196" s="1686"/>
      <c r="P196" s="1686"/>
      <c r="Q196" s="1001"/>
      <c r="R196" s="1689"/>
      <c r="S196" s="1686"/>
      <c r="T196" s="1686"/>
      <c r="U196" s="1686"/>
      <c r="V196" s="1686"/>
      <c r="W196" s="1686"/>
      <c r="X196" s="1686"/>
      <c r="Y196" s="1686"/>
      <c r="Z196" s="1686"/>
      <c r="AA196" s="1686"/>
      <c r="AB196" s="1686"/>
      <c r="AC196" s="1686"/>
      <c r="AD196" s="1686"/>
      <c r="AE196" s="1686"/>
      <c r="AF196" s="1686"/>
      <c r="AG196" s="1686"/>
      <c r="AH196" s="1686"/>
      <c r="AI196" s="1686"/>
      <c r="AJ196" s="1686"/>
      <c r="AK196" s="1686"/>
      <c r="AL196" s="1686"/>
      <c r="AM196" s="1686"/>
      <c r="AN196" s="1686"/>
      <c r="AO196" s="1686"/>
      <c r="AP196" s="1686"/>
      <c r="AQ196" s="1686"/>
      <c r="AR196" s="1686"/>
      <c r="AS196" s="1686"/>
      <c r="AT196" s="1686"/>
      <c r="AU196" s="1686"/>
      <c r="AV196" s="1686"/>
      <c r="AW196" s="1686"/>
      <c r="AX196" s="1686"/>
      <c r="AY196" s="1686"/>
      <c r="AZ196" s="1686"/>
      <c r="BA196" s="1686"/>
      <c r="BB196" s="1686"/>
      <c r="BC196" s="1686"/>
      <c r="BD196" s="1686"/>
      <c r="BE196" s="1686"/>
      <c r="BF196" s="1686"/>
      <c r="BG196" s="1001"/>
    </row>
    <row r="197" spans="1:59" x14ac:dyDescent="0.25">
      <c r="B197" s="1597"/>
      <c r="C197" s="1759" t="s">
        <v>1679</v>
      </c>
      <c r="D197" s="1759"/>
      <c r="E197" s="1759"/>
      <c r="F197" s="1759"/>
      <c r="G197" s="1759"/>
      <c r="H197" s="1759"/>
      <c r="I197" s="1759"/>
      <c r="J197" s="1759"/>
      <c r="K197" s="1759"/>
      <c r="L197" s="1759"/>
      <c r="M197" s="1759"/>
      <c r="N197" s="1759"/>
      <c r="O197" s="1759"/>
      <c r="P197" s="1759"/>
      <c r="Q197" s="1759"/>
      <c r="S197" s="1001"/>
      <c r="T197" s="1001"/>
      <c r="U197" s="1001"/>
      <c r="V197" s="1001"/>
      <c r="W197" s="1001"/>
      <c r="X197" s="1001"/>
      <c r="Y197" s="1001"/>
      <c r="Z197" s="1001"/>
      <c r="AA197" s="1001"/>
      <c r="AB197" s="1001"/>
      <c r="AC197" s="1001"/>
      <c r="AD197" s="1001"/>
      <c r="AE197" s="1001"/>
      <c r="AF197" s="1001"/>
      <c r="AG197" s="1001"/>
      <c r="AH197" s="1001"/>
      <c r="AI197" s="1001"/>
      <c r="AJ197" s="1001"/>
      <c r="AK197" s="1001"/>
      <c r="AL197" s="1001"/>
      <c r="AM197" s="1001"/>
      <c r="AN197" s="1001"/>
      <c r="AO197" s="1001"/>
      <c r="AP197" s="1001"/>
      <c r="AQ197" s="1001"/>
      <c r="AR197" s="1001"/>
      <c r="AS197" s="1001"/>
      <c r="AT197" s="1001"/>
      <c r="AU197" s="1001"/>
      <c r="AV197" s="1001"/>
      <c r="AW197" s="1001"/>
      <c r="AX197" s="1001"/>
      <c r="AY197" s="1001"/>
      <c r="AZ197" s="1001"/>
      <c r="BA197" s="1001"/>
      <c r="BB197" s="1001"/>
      <c r="BC197" s="1001"/>
      <c r="BD197" s="1001"/>
      <c r="BE197" s="1001"/>
      <c r="BF197" s="1001"/>
      <c r="BG197" s="1001"/>
    </row>
    <row r="198" spans="1:59" x14ac:dyDescent="0.25">
      <c r="B198" s="1597"/>
      <c r="C198" s="1648" t="s">
        <v>1680</v>
      </c>
      <c r="D198" s="1774">
        <f>D156/SUM(D155:D158)</f>
        <v>0.21975159093136223</v>
      </c>
      <c r="E198" s="1001"/>
      <c r="G198" s="1001"/>
      <c r="H198" s="1001"/>
      <c r="I198" s="1001"/>
      <c r="J198" s="1001"/>
      <c r="K198" s="1001"/>
      <c r="L198" s="1001"/>
      <c r="M198" s="1001"/>
      <c r="N198" s="1001"/>
      <c r="O198" s="1001"/>
      <c r="P198" s="1001"/>
      <c r="Q198" s="1001"/>
      <c r="R198" s="1597" t="s">
        <v>1681</v>
      </c>
      <c r="S198" s="1001"/>
      <c r="T198" s="1001"/>
      <c r="U198" s="1633">
        <f>0.431*255*D198</f>
        <v>24.151798601311366</v>
      </c>
      <c r="V198" s="1001"/>
      <c r="W198" s="1001"/>
      <c r="X198" s="1001"/>
      <c r="Y198" s="1001"/>
      <c r="Z198" s="1001"/>
      <c r="AA198" s="1001"/>
      <c r="AB198" s="1001"/>
      <c r="AC198" s="1001"/>
      <c r="AD198" s="1001"/>
      <c r="AE198" s="1001"/>
      <c r="AF198" s="1001"/>
      <c r="AG198" s="1001"/>
      <c r="AH198" s="1001"/>
      <c r="AI198" s="1001"/>
      <c r="AJ198" s="1001"/>
      <c r="AK198" s="1001"/>
      <c r="AL198" s="1001"/>
      <c r="AM198" s="1001"/>
      <c r="AN198" s="1001"/>
      <c r="AO198" s="1001"/>
      <c r="AP198" s="1001"/>
      <c r="AQ198" s="1001"/>
      <c r="AR198" s="1001"/>
      <c r="AS198" s="1001"/>
      <c r="AT198" s="1001"/>
      <c r="AU198" s="1001"/>
      <c r="AV198" s="1001"/>
      <c r="AW198" s="1001"/>
      <c r="AX198" s="1001"/>
      <c r="AY198" s="1001"/>
      <c r="AZ198" s="1001"/>
      <c r="BA198" s="1001"/>
      <c r="BB198" s="1001"/>
      <c r="BC198" s="1001"/>
      <c r="BD198" s="1001"/>
      <c r="BE198" s="1001"/>
      <c r="BF198" s="1001"/>
      <c r="BG198" s="1001"/>
    </row>
    <row r="199" spans="1:59" x14ac:dyDescent="0.25">
      <c r="B199" s="1597"/>
      <c r="C199" s="1648"/>
      <c r="D199" s="1774"/>
      <c r="E199" s="1001"/>
      <c r="G199" s="1001"/>
      <c r="H199" s="1001"/>
      <c r="I199" s="1001"/>
      <c r="J199" s="1001"/>
      <c r="K199" s="1001"/>
      <c r="L199" s="1001"/>
      <c r="M199" s="1001"/>
      <c r="N199" s="1001"/>
      <c r="O199" s="1001"/>
      <c r="P199" s="1001"/>
      <c r="Q199" s="1001"/>
      <c r="R199" s="1597"/>
      <c r="S199" s="1001"/>
      <c r="T199" s="1001"/>
      <c r="U199" s="1633"/>
      <c r="V199" s="1001"/>
      <c r="W199" s="1001"/>
      <c r="X199" s="1001"/>
      <c r="Y199" s="1001"/>
      <c r="Z199" s="1001"/>
      <c r="AA199" s="1001"/>
      <c r="AB199" s="1001"/>
      <c r="AC199" s="1001"/>
      <c r="AD199" s="1001"/>
      <c r="AE199" s="1001"/>
      <c r="AF199" s="1001"/>
      <c r="AG199" s="1001"/>
      <c r="AH199" s="1001"/>
      <c r="AI199" s="1001"/>
      <c r="AJ199" s="1001"/>
      <c r="AK199" s="1001"/>
      <c r="AL199" s="1001"/>
      <c r="AM199" s="1001"/>
      <c r="AN199" s="1001"/>
      <c r="AO199" s="1001"/>
      <c r="AP199" s="1001"/>
      <c r="AQ199" s="1001"/>
      <c r="AR199" s="1001"/>
      <c r="AS199" s="1001"/>
      <c r="AT199" s="1001"/>
      <c r="AU199" s="1001"/>
      <c r="AV199" s="1001"/>
      <c r="AW199" s="1001"/>
      <c r="AX199" s="1001"/>
      <c r="AY199" s="1001"/>
      <c r="AZ199" s="1001"/>
      <c r="BA199" s="1001"/>
      <c r="BB199" s="1001"/>
      <c r="BC199" s="1001"/>
      <c r="BD199" s="1001"/>
      <c r="BE199" s="1001"/>
      <c r="BF199" s="1001"/>
      <c r="BG199" s="1001"/>
    </row>
    <row r="200" spans="1:59" x14ac:dyDescent="0.25">
      <c r="B200" s="1597"/>
      <c r="C200" s="1648"/>
      <c r="D200" s="1774"/>
      <c r="E200" s="1001"/>
      <c r="G200" s="1001"/>
      <c r="H200" s="1001"/>
      <c r="I200" s="1001"/>
      <c r="J200" s="1001"/>
      <c r="K200" s="1001"/>
      <c r="L200" s="1001"/>
      <c r="M200" s="1001"/>
      <c r="N200" s="1001"/>
      <c r="O200" s="1001"/>
      <c r="P200" s="1001"/>
      <c r="Q200" s="1001"/>
      <c r="R200" s="1597"/>
      <c r="S200" s="1001"/>
      <c r="T200" s="1001"/>
      <c r="U200" s="1633"/>
      <c r="V200" s="1001"/>
      <c r="W200" s="1001"/>
      <c r="X200" s="1001"/>
      <c r="Y200" s="1001"/>
      <c r="Z200" s="1001"/>
      <c r="AA200" s="1001"/>
      <c r="AB200" s="1001"/>
      <c r="AC200" s="1001"/>
      <c r="AD200" s="1001"/>
      <c r="AE200" s="1001"/>
      <c r="AF200" s="1001"/>
      <c r="AG200" s="1001"/>
      <c r="AH200" s="1001"/>
      <c r="AI200" s="1001"/>
      <c r="AJ200" s="1001"/>
      <c r="AK200" s="1001"/>
      <c r="AL200" s="1001"/>
      <c r="AM200" s="1001"/>
      <c r="AN200" s="1001"/>
      <c r="AO200" s="1001"/>
      <c r="AP200" s="1001"/>
      <c r="AQ200" s="1001"/>
      <c r="AR200" s="1001"/>
      <c r="AS200" s="1001"/>
      <c r="AT200" s="1001"/>
      <c r="AU200" s="1001"/>
      <c r="AV200" s="1001"/>
      <c r="AW200" s="1001"/>
      <c r="AX200" s="1001"/>
      <c r="AY200" s="1001"/>
      <c r="AZ200" s="1001"/>
      <c r="BA200" s="1001"/>
      <c r="BB200" s="1001"/>
      <c r="BC200" s="1001"/>
      <c r="BD200" s="1001"/>
      <c r="BE200" s="1001"/>
      <c r="BF200" s="1001"/>
      <c r="BG200" s="1001"/>
    </row>
    <row r="201" spans="1:59" x14ac:dyDescent="0.25">
      <c r="B201" s="1597"/>
      <c r="C201" s="1001"/>
      <c r="D201" s="1613"/>
      <c r="E201" s="1001"/>
      <c r="G201" s="1001"/>
      <c r="H201" s="1001"/>
      <c r="I201" s="1001"/>
      <c r="J201" s="1001"/>
      <c r="K201" s="1001"/>
      <c r="L201" s="1001"/>
      <c r="M201" s="1001"/>
      <c r="N201" s="1001"/>
      <c r="O201" s="1001"/>
      <c r="P201" s="1001"/>
      <c r="Q201" s="1001">
        <f>C203+U198</f>
        <v>56.036655687497372</v>
      </c>
      <c r="S201" s="1001"/>
      <c r="T201" s="1001"/>
      <c r="U201" s="1001"/>
      <c r="V201" s="1001"/>
      <c r="W201" s="1001"/>
      <c r="X201" s="1001"/>
      <c r="Y201" s="1001"/>
      <c r="Z201" s="1001"/>
      <c r="AA201" s="1001"/>
      <c r="AB201" s="1001"/>
      <c r="AC201" s="1001"/>
      <c r="AD201" s="1001"/>
      <c r="AE201" s="1001"/>
      <c r="AF201" s="1001"/>
      <c r="AG201" s="1001"/>
      <c r="AH201" s="1001"/>
      <c r="AI201" s="1001"/>
      <c r="AJ201" s="1001"/>
      <c r="AK201" s="1001"/>
      <c r="AL201" s="1001"/>
      <c r="AM201" s="1001"/>
      <c r="AN201" s="1001"/>
      <c r="AO201" s="1001"/>
      <c r="AP201" s="1001"/>
      <c r="AQ201" s="1001"/>
      <c r="AR201" s="1001"/>
      <c r="AS201" s="1001"/>
      <c r="AT201" s="1001"/>
      <c r="AU201" s="1001"/>
      <c r="AV201" s="1001"/>
      <c r="AW201" s="1001"/>
      <c r="AX201" s="1001"/>
      <c r="AY201" s="1001"/>
      <c r="AZ201" s="1001"/>
      <c r="BA201" s="1001"/>
      <c r="BB201" s="1001"/>
      <c r="BC201" s="1001"/>
      <c r="BD201" s="1001"/>
      <c r="BE201" s="1001"/>
      <c r="BF201" s="1001"/>
      <c r="BG201" s="1001"/>
    </row>
    <row r="202" spans="1:59" x14ac:dyDescent="0.25">
      <c r="A202" s="1592" t="s">
        <v>542</v>
      </c>
      <c r="B202" s="1653" t="s">
        <v>1624</v>
      </c>
      <c r="C202" s="1762"/>
      <c r="D202" s="1775"/>
      <c r="E202" s="1762"/>
      <c r="F202" s="1763"/>
      <c r="G202" s="1762"/>
      <c r="H202" s="1762"/>
      <c r="I202" s="1762"/>
      <c r="J202" s="1762"/>
      <c r="K202" s="1762"/>
      <c r="L202" s="1762"/>
      <c r="M202" s="1762"/>
      <c r="N202" s="1762"/>
      <c r="O202" s="1762"/>
      <c r="P202" s="1762"/>
      <c r="Q202" s="1001"/>
      <c r="R202" s="1001"/>
      <c r="S202" s="1001"/>
      <c r="T202" s="1001"/>
      <c r="U202" s="1001"/>
      <c r="V202" s="1001"/>
      <c r="W202" s="1001"/>
      <c r="X202" s="1001"/>
      <c r="Y202" s="1001"/>
      <c r="Z202" s="1001"/>
      <c r="AA202" s="1001"/>
      <c r="AB202" s="1001"/>
      <c r="AC202" s="1001"/>
      <c r="AD202" s="1001"/>
      <c r="AE202" s="1001"/>
      <c r="AF202" s="1001"/>
      <c r="AG202" s="1001"/>
      <c r="AH202" s="1001"/>
      <c r="AI202" s="1001"/>
      <c r="AJ202" s="1001"/>
      <c r="AK202" s="1001"/>
      <c r="AL202" s="1001"/>
      <c r="AM202" s="1001"/>
      <c r="AN202" s="1001"/>
      <c r="AO202" s="1001"/>
      <c r="AP202" s="1001"/>
      <c r="AQ202" s="1001"/>
      <c r="AR202" s="1001"/>
      <c r="AS202" s="1001"/>
      <c r="AT202" s="1001"/>
      <c r="AU202" s="1001"/>
      <c r="AV202" s="1001"/>
      <c r="AW202" s="1001"/>
      <c r="AX202" s="1001"/>
      <c r="AY202" s="1001"/>
      <c r="AZ202" s="1001"/>
      <c r="BA202" s="1001"/>
      <c r="BB202" s="1001"/>
      <c r="BC202" s="1001"/>
      <c r="BD202" s="1001"/>
      <c r="BE202" s="1001"/>
      <c r="BF202" s="1001"/>
      <c r="BG202" s="1001"/>
    </row>
    <row r="203" spans="1:59" x14ac:dyDescent="0.25">
      <c r="B203" s="1657" t="s">
        <v>1672</v>
      </c>
      <c r="C203" s="1776">
        <f>D198*D160</f>
        <v>31.884857086186003</v>
      </c>
      <c r="D203" s="1765">
        <v>46174</v>
      </c>
      <c r="E203" s="1766">
        <v>60</v>
      </c>
      <c r="F203" s="1677">
        <f>F188</f>
        <v>7.0000000000000007E-2</v>
      </c>
      <c r="G203" s="1660" t="s">
        <v>1626</v>
      </c>
      <c r="H203" s="1660">
        <v>0.5</v>
      </c>
      <c r="I203" s="1662"/>
      <c r="J203" s="1662"/>
      <c r="K203" s="1662"/>
      <c r="L203" s="1662"/>
      <c r="M203" s="1662"/>
      <c r="N203" s="1662"/>
      <c r="O203" s="1662"/>
      <c r="P203" s="1662"/>
      <c r="Q203" s="1001"/>
      <c r="R203" s="1001"/>
      <c r="S203" s="1001"/>
      <c r="T203" s="1001"/>
      <c r="U203" s="1001"/>
      <c r="V203" s="1001"/>
      <c r="W203" s="1001"/>
      <c r="X203" s="1001"/>
      <c r="Y203" s="1001"/>
      <c r="Z203" s="1001"/>
      <c r="AA203" s="1001"/>
      <c r="AB203" s="1001"/>
      <c r="AC203" s="1001"/>
      <c r="AD203" s="1001"/>
      <c r="AE203" s="1001"/>
      <c r="AF203" s="1001"/>
      <c r="AG203" s="1001"/>
      <c r="AH203" s="1001"/>
      <c r="AI203" s="1001"/>
      <c r="AJ203" s="1001"/>
      <c r="AK203" s="1001"/>
      <c r="AL203" s="1001"/>
      <c r="AM203" s="1001"/>
      <c r="AN203" s="1001"/>
      <c r="AO203" s="1001"/>
      <c r="AP203" s="1001"/>
      <c r="AQ203" s="1001"/>
      <c r="AR203" s="1001"/>
      <c r="AS203" s="1001"/>
      <c r="AT203" s="1001"/>
      <c r="AU203" s="1001"/>
      <c r="AV203" s="1001"/>
      <c r="AW203" s="1001"/>
      <c r="AX203" s="1001"/>
      <c r="AY203" s="1001"/>
      <c r="AZ203" s="1001"/>
      <c r="BA203" s="1001"/>
      <c r="BB203" s="1001"/>
      <c r="BC203" s="1001"/>
      <c r="BD203" s="1001"/>
      <c r="BE203" s="1001"/>
      <c r="BF203" s="1001"/>
      <c r="BG203" s="1001"/>
    </row>
    <row r="204" spans="1:59" x14ac:dyDescent="0.25">
      <c r="B204" s="1615" t="s">
        <v>1612</v>
      </c>
      <c r="C204" s="1660"/>
      <c r="D204" s="1659"/>
      <c r="E204" s="1660"/>
      <c r="F204" s="1677"/>
      <c r="G204" s="1660"/>
      <c r="H204" s="1660"/>
      <c r="I204" s="1662"/>
      <c r="J204" s="1662"/>
      <c r="K204" s="1662"/>
      <c r="L204" s="1662"/>
      <c r="M204" s="1662"/>
      <c r="N204" s="1662"/>
      <c r="O204" s="1662"/>
      <c r="P204" s="1662"/>
      <c r="Q204" s="1001"/>
      <c r="R204" s="1001">
        <f>'BS Raw'!L231/Debt!$B$1</f>
        <v>0</v>
      </c>
      <c r="S204" s="1618">
        <v>0</v>
      </c>
      <c r="T204" s="1618">
        <f t="shared" ref="T204:AB204" si="46">S207</f>
        <v>0</v>
      </c>
      <c r="U204" s="1618">
        <f t="shared" si="46"/>
        <v>0</v>
      </c>
      <c r="V204" s="1618">
        <f t="shared" si="46"/>
        <v>0</v>
      </c>
      <c r="W204" s="1634">
        <f t="shared" si="46"/>
        <v>0</v>
      </c>
      <c r="X204" s="1634">
        <f t="shared" si="46"/>
        <v>28.696371377567402</v>
      </c>
      <c r="Y204" s="1634">
        <f t="shared" si="46"/>
        <v>22.319399960330202</v>
      </c>
      <c r="Z204" s="1634">
        <f t="shared" si="46"/>
        <v>15.942428543093001</v>
      </c>
      <c r="AA204" s="1634">
        <f t="shared" si="46"/>
        <v>9.5654571258558008</v>
      </c>
      <c r="AB204" s="1634">
        <f t="shared" si="46"/>
        <v>3.1884857086186003</v>
      </c>
      <c r="AC204" s="1634"/>
      <c r="AD204" s="1618"/>
      <c r="AE204" s="1618"/>
      <c r="AF204" s="1618"/>
      <c r="AG204" s="1618"/>
      <c r="AH204" s="1618"/>
      <c r="AI204" s="1618"/>
      <c r="AJ204" s="1618"/>
      <c r="AK204" s="1618"/>
      <c r="AL204" s="1618"/>
      <c r="AM204" s="1618"/>
      <c r="AN204" s="1618"/>
      <c r="AO204" s="1618"/>
      <c r="AP204" s="1618"/>
      <c r="AQ204" s="1618"/>
      <c r="AR204" s="1618"/>
      <c r="AS204" s="1618"/>
      <c r="AT204" s="1618"/>
      <c r="AU204" s="1618"/>
      <c r="AV204" s="1618"/>
      <c r="AW204" s="1618"/>
      <c r="AX204" s="1618"/>
      <c r="AY204" s="1618"/>
      <c r="AZ204" s="1618"/>
      <c r="BA204" s="1618"/>
      <c r="BB204" s="1618"/>
      <c r="BC204" s="1618"/>
      <c r="BD204" s="1618"/>
      <c r="BE204" s="1618"/>
      <c r="BF204" s="1618"/>
      <c r="BG204" s="1001"/>
    </row>
    <row r="205" spans="1:59" x14ac:dyDescent="0.25">
      <c r="B205" s="1620" t="s">
        <v>1614</v>
      </c>
      <c r="C205" s="1660"/>
      <c r="D205" s="1659"/>
      <c r="E205" s="1660"/>
      <c r="F205" s="1677"/>
      <c r="G205" s="1660"/>
      <c r="H205" s="1660"/>
      <c r="I205" s="1662"/>
      <c r="J205" s="1662"/>
      <c r="K205" s="1662"/>
      <c r="L205" s="1662"/>
      <c r="M205" s="1662"/>
      <c r="N205" s="1662"/>
      <c r="O205" s="1662"/>
      <c r="P205" s="1662"/>
      <c r="Q205" s="1001"/>
      <c r="R205" s="1001"/>
      <c r="S205" s="1618">
        <f>IF(YEAR($D203)=YEAR(S$4),$C203,0)</f>
        <v>0</v>
      </c>
      <c r="T205" s="1618">
        <f>IF(YEAR($D203)=YEAR(T$4),$C203,0)</f>
        <v>0</v>
      </c>
      <c r="U205" s="1618">
        <f t="shared" ref="U205:AB205" si="47">IF(YEAR($D203)=YEAR(U$4),$C203,0)</f>
        <v>0</v>
      </c>
      <c r="V205" s="1618">
        <f t="shared" si="47"/>
        <v>0</v>
      </c>
      <c r="W205" s="1634">
        <f t="shared" si="47"/>
        <v>31.884857086186003</v>
      </c>
      <c r="X205" s="1634">
        <f t="shared" si="47"/>
        <v>0</v>
      </c>
      <c r="Y205" s="1634">
        <f t="shared" si="47"/>
        <v>0</v>
      </c>
      <c r="Z205" s="1634">
        <f t="shared" si="47"/>
        <v>0</v>
      </c>
      <c r="AA205" s="1634">
        <f t="shared" si="47"/>
        <v>0</v>
      </c>
      <c r="AB205" s="1634">
        <f t="shared" si="47"/>
        <v>0</v>
      </c>
      <c r="AC205" s="1634"/>
      <c r="AD205" s="1618"/>
      <c r="AE205" s="1618"/>
      <c r="AF205" s="1618"/>
      <c r="AG205" s="1618"/>
      <c r="AH205" s="1618"/>
      <c r="AI205" s="1618"/>
      <c r="AJ205" s="1618"/>
      <c r="AK205" s="1618"/>
      <c r="AL205" s="1618"/>
      <c r="AM205" s="1618"/>
      <c r="AN205" s="1618"/>
      <c r="AO205" s="1618"/>
      <c r="AP205" s="1618"/>
      <c r="AQ205" s="1618"/>
      <c r="AR205" s="1618"/>
      <c r="AS205" s="1618"/>
      <c r="AT205" s="1618"/>
      <c r="AU205" s="1618"/>
      <c r="AV205" s="1618"/>
      <c r="AW205" s="1618"/>
      <c r="AX205" s="1618"/>
      <c r="AY205" s="1618"/>
      <c r="AZ205" s="1618"/>
      <c r="BA205" s="1618"/>
      <c r="BB205" s="1618"/>
      <c r="BC205" s="1618"/>
      <c r="BD205" s="1618"/>
      <c r="BE205" s="1618"/>
      <c r="BF205" s="1618"/>
      <c r="BG205" s="1001"/>
    </row>
    <row r="206" spans="1:59" x14ac:dyDescent="0.25">
      <c r="B206" s="1620" t="s">
        <v>1613</v>
      </c>
      <c r="C206" s="1660"/>
      <c r="D206" s="1659"/>
      <c r="E206" s="1660"/>
      <c r="F206" s="1677"/>
      <c r="G206" s="1660"/>
      <c r="H206" s="1660"/>
      <c r="I206" s="1662"/>
      <c r="J206" s="1662"/>
      <c r="K206" s="1662"/>
      <c r="L206" s="1662"/>
      <c r="M206" s="1662"/>
      <c r="N206" s="1662"/>
      <c r="O206" s="1662"/>
      <c r="P206" s="1662"/>
      <c r="Q206" s="1001"/>
      <c r="R206" s="1001"/>
      <c r="S206" s="1618">
        <f>IF($C203=S205,$C203/($E203/12),MIN(R207,R206))</f>
        <v>0</v>
      </c>
      <c r="T206" s="1618">
        <f t="shared" ref="T206:AB206" si="48">IF($C203=T205,$C203/($E203/12),MIN(S207,S206))</f>
        <v>0</v>
      </c>
      <c r="U206" s="1618">
        <f t="shared" si="48"/>
        <v>0</v>
      </c>
      <c r="V206" s="1618">
        <f t="shared" si="48"/>
        <v>0</v>
      </c>
      <c r="W206" s="1634">
        <f t="shared" si="48"/>
        <v>6.3769714172372005</v>
      </c>
      <c r="X206" s="1634">
        <f t="shared" si="48"/>
        <v>6.3769714172372005</v>
      </c>
      <c r="Y206" s="1634">
        <f t="shared" si="48"/>
        <v>6.3769714172372005</v>
      </c>
      <c r="Z206" s="1634">
        <f t="shared" si="48"/>
        <v>6.3769714172372005</v>
      </c>
      <c r="AA206" s="1634">
        <f t="shared" si="48"/>
        <v>6.3769714172372005</v>
      </c>
      <c r="AB206" s="1634">
        <f t="shared" si="48"/>
        <v>3.1884857086186003</v>
      </c>
      <c r="AC206" s="1634"/>
      <c r="AD206" s="1618"/>
      <c r="AE206" s="1618"/>
      <c r="AF206" s="1618"/>
      <c r="AG206" s="1618"/>
      <c r="AH206" s="1618"/>
      <c r="AI206" s="1618"/>
      <c r="AJ206" s="1618"/>
      <c r="AK206" s="1618"/>
      <c r="AL206" s="1618"/>
      <c r="AM206" s="1618"/>
      <c r="AN206" s="1618"/>
      <c r="AO206" s="1618"/>
      <c r="AP206" s="1618"/>
      <c r="AQ206" s="1618"/>
      <c r="AR206" s="1618"/>
      <c r="AS206" s="1618"/>
      <c r="AT206" s="1618"/>
      <c r="AU206" s="1618"/>
      <c r="AV206" s="1618"/>
      <c r="AW206" s="1618"/>
      <c r="AX206" s="1618"/>
      <c r="AY206" s="1618"/>
      <c r="AZ206" s="1618"/>
      <c r="BA206" s="1618"/>
      <c r="BB206" s="1618"/>
      <c r="BC206" s="1618"/>
      <c r="BD206" s="1618"/>
      <c r="BE206" s="1618"/>
      <c r="BF206" s="1618"/>
      <c r="BG206" s="1001"/>
    </row>
    <row r="207" spans="1:59" x14ac:dyDescent="0.25">
      <c r="B207" s="1615" t="s">
        <v>1615</v>
      </c>
      <c r="C207" s="1660"/>
      <c r="D207" s="1659"/>
      <c r="E207" s="1660"/>
      <c r="F207" s="1677"/>
      <c r="G207" s="1660"/>
      <c r="H207" s="1660"/>
      <c r="I207" s="1662"/>
      <c r="J207" s="1662"/>
      <c r="K207" s="1662"/>
      <c r="L207" s="1662"/>
      <c r="M207" s="1662"/>
      <c r="N207" s="1662"/>
      <c r="O207" s="1662"/>
      <c r="P207" s="1662"/>
      <c r="Q207" s="1001"/>
      <c r="R207" s="1001">
        <f>'BS Raw'!M231/Debt!$B$1</f>
        <v>0</v>
      </c>
      <c r="S207" s="1618">
        <v>0</v>
      </c>
      <c r="T207" s="1618">
        <f t="shared" ref="T207:AB207" si="49">T204+T205-T206</f>
        <v>0</v>
      </c>
      <c r="U207" s="1618">
        <f t="shared" si="49"/>
        <v>0</v>
      </c>
      <c r="V207" s="1618">
        <f t="shared" si="49"/>
        <v>0</v>
      </c>
      <c r="W207" s="1634">
        <f>W204+W205-W206*0.5</f>
        <v>28.696371377567402</v>
      </c>
      <c r="X207" s="1634">
        <f t="shared" si="49"/>
        <v>22.319399960330202</v>
      </c>
      <c r="Y207" s="1634">
        <f t="shared" si="49"/>
        <v>15.942428543093001</v>
      </c>
      <c r="Z207" s="1634">
        <f t="shared" si="49"/>
        <v>9.5654571258558008</v>
      </c>
      <c r="AA207" s="1634">
        <f t="shared" si="49"/>
        <v>3.1884857086186003</v>
      </c>
      <c r="AB207" s="1634">
        <f t="shared" si="49"/>
        <v>0</v>
      </c>
      <c r="AC207" s="1634"/>
      <c r="AD207" s="1618"/>
      <c r="AE207" s="1618"/>
      <c r="AF207" s="1618"/>
      <c r="AG207" s="1618"/>
      <c r="AH207" s="1618"/>
      <c r="AI207" s="1618"/>
      <c r="AJ207" s="1618"/>
      <c r="AK207" s="1618"/>
      <c r="AL207" s="1618"/>
      <c r="AM207" s="1618"/>
      <c r="AN207" s="1618"/>
      <c r="AO207" s="1618"/>
      <c r="AP207" s="1618"/>
      <c r="AQ207" s="1618"/>
      <c r="AR207" s="1618"/>
      <c r="AS207" s="1618"/>
      <c r="AT207" s="1618"/>
      <c r="AU207" s="1618"/>
      <c r="AV207" s="1618"/>
      <c r="AW207" s="1618"/>
      <c r="AX207" s="1618"/>
      <c r="AY207" s="1618"/>
      <c r="AZ207" s="1618"/>
      <c r="BA207" s="1618"/>
      <c r="BB207" s="1618"/>
      <c r="BC207" s="1618"/>
      <c r="BD207" s="1618"/>
      <c r="BE207" s="1618"/>
      <c r="BF207" s="1618"/>
      <c r="BG207" s="1001"/>
    </row>
    <row r="208" spans="1:59" s="1642" customFormat="1" x14ac:dyDescent="0.25">
      <c r="A208" s="1635"/>
      <c r="B208" s="1620" t="s">
        <v>1627</v>
      </c>
      <c r="C208" s="1703"/>
      <c r="D208" s="1674"/>
      <c r="E208" s="1673"/>
      <c r="F208" s="1675"/>
      <c r="G208" s="1673"/>
      <c r="H208" s="1673"/>
      <c r="I208" s="1676"/>
      <c r="J208" s="1676"/>
      <c r="K208" s="1676"/>
      <c r="L208" s="1676"/>
      <c r="M208" s="1676"/>
      <c r="N208" s="1676"/>
      <c r="O208" s="1676"/>
      <c r="P208" s="1676"/>
      <c r="Q208" s="1636"/>
      <c r="R208" s="1704">
        <f>F203</f>
        <v>7.0000000000000007E-2</v>
      </c>
      <c r="S208" s="1683">
        <f>R208</f>
        <v>7.0000000000000007E-2</v>
      </c>
      <c r="T208" s="1683">
        <f t="shared" ref="T208:AB208" si="50">S208</f>
        <v>7.0000000000000007E-2</v>
      </c>
      <c r="U208" s="1683">
        <f t="shared" si="50"/>
        <v>7.0000000000000007E-2</v>
      </c>
      <c r="V208" s="1683">
        <f t="shared" si="50"/>
        <v>7.0000000000000007E-2</v>
      </c>
      <c r="W208" s="1683">
        <f t="shared" si="50"/>
        <v>7.0000000000000007E-2</v>
      </c>
      <c r="X208" s="1683">
        <f t="shared" si="50"/>
        <v>7.0000000000000007E-2</v>
      </c>
      <c r="Y208" s="1683">
        <f t="shared" si="50"/>
        <v>7.0000000000000007E-2</v>
      </c>
      <c r="Z208" s="1683">
        <f t="shared" si="50"/>
        <v>7.0000000000000007E-2</v>
      </c>
      <c r="AA208" s="1683">
        <f t="shared" si="50"/>
        <v>7.0000000000000007E-2</v>
      </c>
      <c r="AB208" s="1683">
        <f t="shared" si="50"/>
        <v>7.0000000000000007E-2</v>
      </c>
      <c r="AC208" s="1683"/>
      <c r="AD208" s="1684"/>
      <c r="AE208" s="1684"/>
      <c r="AF208" s="1684"/>
      <c r="AG208" s="1684"/>
      <c r="AH208" s="1684"/>
      <c r="AI208" s="1684"/>
      <c r="AJ208" s="1684"/>
      <c r="AK208" s="1684"/>
      <c r="AL208" s="1684"/>
      <c r="AM208" s="1684"/>
      <c r="AN208" s="1684"/>
      <c r="AO208" s="1684"/>
      <c r="AP208" s="1684"/>
      <c r="AQ208" s="1684"/>
      <c r="AR208" s="1684"/>
      <c r="AS208" s="1684"/>
      <c r="AT208" s="1684"/>
      <c r="AU208" s="1684"/>
      <c r="AV208" s="1684"/>
      <c r="AW208" s="1684"/>
      <c r="AX208" s="1684"/>
      <c r="AY208" s="1684"/>
      <c r="AZ208" s="1684"/>
      <c r="BA208" s="1684"/>
      <c r="BB208" s="1684"/>
      <c r="BC208" s="1684"/>
      <c r="BD208" s="1684"/>
      <c r="BE208" s="1684"/>
      <c r="BF208" s="1684"/>
      <c r="BG208" s="1636"/>
    </row>
    <row r="209" spans="1:59" x14ac:dyDescent="0.25">
      <c r="B209" s="1620" t="s">
        <v>1616</v>
      </c>
      <c r="C209" s="1705"/>
      <c r="D209" s="1659"/>
      <c r="E209" s="1660"/>
      <c r="F209" s="1677"/>
      <c r="G209" s="1660"/>
      <c r="H209" s="1660"/>
      <c r="I209" s="1662"/>
      <c r="J209" s="1662"/>
      <c r="K209" s="1662"/>
      <c r="L209" s="1662"/>
      <c r="M209" s="1662"/>
      <c r="N209" s="1662"/>
      <c r="O209" s="1662"/>
      <c r="P209" s="1662"/>
      <c r="Q209" s="1001"/>
      <c r="R209" s="1636">
        <f>R208*AVERAGE(R204,R207)</f>
        <v>0</v>
      </c>
      <c r="S209" s="1641">
        <f t="shared" ref="S209:AB209" si="51">S208*AVERAGE(S204,S207)</f>
        <v>0</v>
      </c>
      <c r="T209" s="1641">
        <f t="shared" si="51"/>
        <v>0</v>
      </c>
      <c r="U209" s="1641">
        <f t="shared" si="51"/>
        <v>0</v>
      </c>
      <c r="V209" s="1641">
        <f t="shared" si="51"/>
        <v>0</v>
      </c>
      <c r="W209" s="1640">
        <f>W208*AVERAGE(W204,W207)</f>
        <v>1.0043729982148593</v>
      </c>
      <c r="X209" s="1640">
        <f t="shared" si="51"/>
        <v>1.7855519968264164</v>
      </c>
      <c r="Y209" s="1640">
        <f t="shared" si="51"/>
        <v>1.3391639976198122</v>
      </c>
      <c r="Z209" s="1640">
        <f t="shared" si="51"/>
        <v>0.8927759984132082</v>
      </c>
      <c r="AA209" s="1640">
        <f t="shared" si="51"/>
        <v>0.4463879992066041</v>
      </c>
      <c r="AB209" s="1641">
        <f t="shared" si="51"/>
        <v>0.11159699980165103</v>
      </c>
      <c r="AC209" s="1641"/>
      <c r="AD209" s="1641"/>
      <c r="AE209" s="1641"/>
      <c r="AF209" s="1641"/>
      <c r="AG209" s="1641"/>
      <c r="AH209" s="1641"/>
      <c r="AI209" s="1641"/>
      <c r="AJ209" s="1641"/>
      <c r="AK209" s="1641"/>
      <c r="AL209" s="1641"/>
      <c r="AM209" s="1641"/>
      <c r="AN209" s="1641"/>
      <c r="AO209" s="1641"/>
      <c r="AP209" s="1641"/>
      <c r="AQ209" s="1641"/>
      <c r="AR209" s="1641"/>
      <c r="AS209" s="1641"/>
      <c r="AT209" s="1641"/>
      <c r="AU209" s="1641"/>
      <c r="AV209" s="1641"/>
      <c r="AW209" s="1641"/>
      <c r="AX209" s="1641"/>
      <c r="AY209" s="1641"/>
      <c r="AZ209" s="1641"/>
      <c r="BA209" s="1641"/>
      <c r="BB209" s="1641"/>
      <c r="BC209" s="1641"/>
      <c r="BD209" s="1641"/>
      <c r="BE209" s="1641"/>
      <c r="BF209" s="1641"/>
      <c r="BG209" s="1001"/>
    </row>
    <row r="211" spans="1:59" ht="14.4" thickBot="1" x14ac:dyDescent="0.3">
      <c r="A211" s="1592">
        <v>6</v>
      </c>
      <c r="B211" s="1644" t="s">
        <v>1682</v>
      </c>
      <c r="C211" s="1686"/>
      <c r="D211" s="1687"/>
      <c r="E211" s="1686"/>
      <c r="F211" s="1688"/>
      <c r="G211" s="1686"/>
      <c r="H211" s="1686"/>
      <c r="I211" s="1686"/>
      <c r="J211" s="1686"/>
      <c r="K211" s="1686"/>
      <c r="L211" s="1686"/>
      <c r="M211" s="1686"/>
      <c r="N211" s="1686"/>
      <c r="O211" s="1686"/>
      <c r="P211" s="1686"/>
      <c r="Q211" s="1001"/>
      <c r="R211" s="1689"/>
      <c r="S211" s="1686"/>
      <c r="T211" s="1686"/>
      <c r="U211" s="1686"/>
      <c r="V211" s="1686"/>
      <c r="W211" s="1686"/>
      <c r="X211" s="1686"/>
      <c r="Y211" s="1686"/>
      <c r="Z211" s="1686"/>
      <c r="AA211" s="1686"/>
      <c r="AB211" s="1686"/>
      <c r="AC211" s="1686"/>
      <c r="AD211" s="1686"/>
      <c r="AE211" s="1686"/>
      <c r="AF211" s="1686"/>
      <c r="AG211" s="1686"/>
      <c r="AH211" s="1686"/>
      <c r="AI211" s="1686"/>
      <c r="AJ211" s="1686"/>
      <c r="AK211" s="1686"/>
      <c r="AL211" s="1686"/>
      <c r="AM211" s="1686"/>
      <c r="AN211" s="1686"/>
      <c r="AO211" s="1686"/>
      <c r="AP211" s="1686"/>
      <c r="AQ211" s="1686"/>
      <c r="AR211" s="1686"/>
      <c r="AS211" s="1686"/>
      <c r="AT211" s="1686"/>
      <c r="AU211" s="1686"/>
      <c r="AV211" s="1686"/>
      <c r="AW211" s="1686"/>
      <c r="AX211" s="1686"/>
      <c r="AY211" s="1686"/>
      <c r="AZ211" s="1686"/>
      <c r="BA211" s="1686"/>
      <c r="BB211" s="1686"/>
      <c r="BC211" s="1686"/>
      <c r="BD211" s="1686"/>
      <c r="BE211" s="1686"/>
      <c r="BF211" s="1686"/>
      <c r="BG211" s="1001"/>
    </row>
    <row r="212" spans="1:59" x14ac:dyDescent="0.25">
      <c r="B212" s="1597"/>
      <c r="C212" s="1001"/>
      <c r="D212" s="1613"/>
      <c r="E212" s="1001"/>
      <c r="G212" s="1001"/>
      <c r="H212" s="1001"/>
      <c r="I212" s="1001"/>
      <c r="J212" s="1001"/>
      <c r="K212" s="1001"/>
      <c r="L212" s="1001"/>
      <c r="M212" s="1001"/>
      <c r="N212" s="1001"/>
      <c r="O212" s="1001"/>
      <c r="P212" s="1001"/>
      <c r="Q212" s="1001"/>
      <c r="S212" s="1001"/>
      <c r="T212" s="1001"/>
      <c r="U212" s="1001"/>
      <c r="V212" s="1001"/>
      <c r="W212" s="1001"/>
      <c r="X212" s="1001"/>
      <c r="Y212" s="1001"/>
      <c r="Z212" s="1001"/>
      <c r="AA212" s="1001"/>
      <c r="AB212" s="1001"/>
      <c r="AC212" s="1001"/>
      <c r="AD212" s="1001"/>
      <c r="AE212" s="1001"/>
      <c r="AF212" s="1001"/>
      <c r="AG212" s="1001"/>
      <c r="AH212" s="1001"/>
      <c r="AI212" s="1001"/>
      <c r="AJ212" s="1001"/>
      <c r="AK212" s="1001"/>
      <c r="AL212" s="1001"/>
      <c r="AM212" s="1001"/>
      <c r="AN212" s="1001"/>
      <c r="AO212" s="1001"/>
      <c r="AP212" s="1001"/>
      <c r="AQ212" s="1001"/>
      <c r="AR212" s="1001"/>
      <c r="AS212" s="1001"/>
      <c r="AT212" s="1001"/>
      <c r="AU212" s="1001"/>
      <c r="AV212" s="1001"/>
      <c r="AW212" s="1001"/>
      <c r="AX212" s="1001"/>
      <c r="AY212" s="1001"/>
      <c r="AZ212" s="1001"/>
      <c r="BA212" s="1001"/>
      <c r="BB212" s="1001"/>
      <c r="BC212" s="1001"/>
      <c r="BD212" s="1001"/>
      <c r="BE212" s="1001"/>
      <c r="BF212" s="1001"/>
      <c r="BG212" s="1001"/>
    </row>
    <row r="213" spans="1:59" x14ac:dyDescent="0.25">
      <c r="A213" s="1592" t="s">
        <v>1683</v>
      </c>
      <c r="B213" s="1653" t="s">
        <v>1624</v>
      </c>
      <c r="C213" s="1762"/>
      <c r="D213" s="1775"/>
      <c r="E213" s="1762"/>
      <c r="F213" s="1763"/>
      <c r="G213" s="1762"/>
      <c r="H213" s="1762"/>
      <c r="I213" s="1762"/>
      <c r="J213" s="1762"/>
      <c r="K213" s="1762"/>
      <c r="L213" s="1762"/>
      <c r="M213" s="1762"/>
      <c r="N213" s="1762"/>
      <c r="O213" s="1762"/>
      <c r="P213" s="1762"/>
      <c r="Q213" s="1001"/>
      <c r="R213" s="1001"/>
      <c r="S213" s="1001"/>
      <c r="T213" s="1001"/>
      <c r="U213" s="1001"/>
      <c r="V213" s="1001"/>
      <c r="W213" s="1001"/>
      <c r="X213" s="1001"/>
      <c r="Y213" s="1001"/>
      <c r="Z213" s="1001"/>
      <c r="AA213" s="1001"/>
      <c r="AB213" s="1001"/>
      <c r="AC213" s="1001"/>
      <c r="AD213" s="1001"/>
      <c r="AE213" s="1001"/>
      <c r="AF213" s="1001"/>
      <c r="AG213" s="1001"/>
      <c r="AH213" s="1001"/>
      <c r="AI213" s="1001"/>
      <c r="AJ213" s="1001"/>
      <c r="AK213" s="1001"/>
      <c r="AL213" s="1001"/>
      <c r="AM213" s="1001"/>
      <c r="AN213" s="1001"/>
      <c r="AO213" s="1001"/>
      <c r="AP213" s="1001"/>
      <c r="AQ213" s="1001"/>
      <c r="AR213" s="1001"/>
      <c r="AS213" s="1001"/>
      <c r="AT213" s="1001"/>
      <c r="AU213" s="1001"/>
      <c r="AV213" s="1001"/>
      <c r="AW213" s="1001"/>
      <c r="AX213" s="1001"/>
      <c r="AY213" s="1001"/>
      <c r="AZ213" s="1001"/>
      <c r="BA213" s="1001"/>
      <c r="BB213" s="1001"/>
      <c r="BC213" s="1001"/>
      <c r="BD213" s="1001"/>
      <c r="BE213" s="1001"/>
      <c r="BF213" s="1001"/>
      <c r="BG213" s="1001"/>
    </row>
    <row r="214" spans="1:59" x14ac:dyDescent="0.25">
      <c r="B214" s="1657" t="s">
        <v>1672</v>
      </c>
      <c r="C214" s="1766">
        <v>0</v>
      </c>
      <c r="D214" s="1765">
        <v>46539</v>
      </c>
      <c r="E214" s="1766">
        <v>60</v>
      </c>
      <c r="F214" s="1677">
        <f>F203</f>
        <v>7.0000000000000007E-2</v>
      </c>
      <c r="G214" s="1660" t="s">
        <v>1626</v>
      </c>
      <c r="H214" s="1660">
        <v>0.5</v>
      </c>
      <c r="I214" s="1662"/>
      <c r="J214" s="1662"/>
      <c r="K214" s="1662"/>
      <c r="L214" s="1662"/>
      <c r="M214" s="1662"/>
      <c r="N214" s="1662"/>
      <c r="O214" s="1662"/>
      <c r="P214" s="1662"/>
      <c r="Q214" s="1001"/>
      <c r="R214" s="1001"/>
      <c r="S214" s="1001"/>
      <c r="T214" s="1001"/>
      <c r="U214" s="1001"/>
      <c r="V214" s="1001"/>
      <c r="W214" s="1001"/>
      <c r="X214" s="1001"/>
      <c r="Y214" s="1001"/>
      <c r="Z214" s="1001"/>
      <c r="AA214" s="1001"/>
      <c r="AB214" s="1001"/>
      <c r="AC214" s="1001"/>
      <c r="AD214" s="1001"/>
      <c r="AE214" s="1001"/>
      <c r="AF214" s="1001"/>
      <c r="AG214" s="1001"/>
      <c r="AH214" s="1001"/>
      <c r="AI214" s="1001"/>
      <c r="AJ214" s="1001"/>
      <c r="AK214" s="1001"/>
      <c r="AL214" s="1001"/>
      <c r="AM214" s="1001"/>
      <c r="AN214" s="1001"/>
      <c r="AO214" s="1001"/>
      <c r="AP214" s="1001"/>
      <c r="AQ214" s="1001"/>
      <c r="AR214" s="1001"/>
      <c r="AS214" s="1001"/>
      <c r="AT214" s="1001"/>
      <c r="AU214" s="1001"/>
      <c r="AV214" s="1001"/>
      <c r="AW214" s="1001"/>
      <c r="AX214" s="1001"/>
      <c r="AY214" s="1001"/>
      <c r="AZ214" s="1001"/>
      <c r="BA214" s="1001"/>
      <c r="BB214" s="1001"/>
      <c r="BC214" s="1001"/>
      <c r="BD214" s="1001"/>
      <c r="BE214" s="1001"/>
      <c r="BF214" s="1001"/>
      <c r="BG214" s="1001"/>
    </row>
    <row r="215" spans="1:59" x14ac:dyDescent="0.25">
      <c r="B215" s="1615" t="s">
        <v>1612</v>
      </c>
      <c r="C215" s="1660"/>
      <c r="D215" s="1659"/>
      <c r="E215" s="1660"/>
      <c r="F215" s="1677"/>
      <c r="G215" s="1660"/>
      <c r="H215" s="1660"/>
      <c r="I215" s="1662"/>
      <c r="J215" s="1662"/>
      <c r="K215" s="1662"/>
      <c r="L215" s="1662"/>
      <c r="M215" s="1662"/>
      <c r="N215" s="1662"/>
      <c r="O215" s="1662"/>
      <c r="P215" s="1662"/>
      <c r="Q215" s="1001"/>
      <c r="R215" s="1001">
        <f>'BS Raw'!L242/Debt!$B$1</f>
        <v>0</v>
      </c>
      <c r="S215" s="1618">
        <v>0</v>
      </c>
      <c r="T215" s="1618">
        <f t="shared" ref="T215:AB215" si="52">S218</f>
        <v>0</v>
      </c>
      <c r="U215" s="1618">
        <f t="shared" si="52"/>
        <v>0</v>
      </c>
      <c r="V215" s="1618">
        <f t="shared" si="52"/>
        <v>0</v>
      </c>
      <c r="W215" s="1618">
        <f t="shared" si="52"/>
        <v>0</v>
      </c>
      <c r="X215" s="1618">
        <f t="shared" si="52"/>
        <v>0</v>
      </c>
      <c r="Y215" s="1618">
        <f t="shared" si="52"/>
        <v>0</v>
      </c>
      <c r="Z215" s="1618">
        <f t="shared" si="52"/>
        <v>0</v>
      </c>
      <c r="AA215" s="1618">
        <f t="shared" si="52"/>
        <v>0</v>
      </c>
      <c r="AB215" s="1618">
        <f t="shared" si="52"/>
        <v>0</v>
      </c>
      <c r="AC215" s="1618"/>
      <c r="AD215" s="1618"/>
      <c r="AE215" s="1618"/>
      <c r="AF215" s="1618"/>
      <c r="AG215" s="1618"/>
      <c r="AH215" s="1618"/>
      <c r="AI215" s="1618"/>
      <c r="AJ215" s="1618"/>
      <c r="AK215" s="1618"/>
      <c r="AL215" s="1618"/>
      <c r="AM215" s="1618"/>
      <c r="AN215" s="1618"/>
      <c r="AO215" s="1618"/>
      <c r="AP215" s="1618"/>
      <c r="AQ215" s="1618"/>
      <c r="AR215" s="1618"/>
      <c r="AS215" s="1618"/>
      <c r="AT215" s="1618"/>
      <c r="AU215" s="1618"/>
      <c r="AV215" s="1618"/>
      <c r="AW215" s="1618"/>
      <c r="AX215" s="1618"/>
      <c r="AY215" s="1618"/>
      <c r="AZ215" s="1618"/>
      <c r="BA215" s="1618"/>
      <c r="BB215" s="1618"/>
      <c r="BC215" s="1618"/>
      <c r="BD215" s="1618"/>
      <c r="BE215" s="1618"/>
      <c r="BF215" s="1618"/>
      <c r="BG215" s="1001"/>
    </row>
    <row r="216" spans="1:59" x14ac:dyDescent="0.25">
      <c r="B216" s="1620" t="s">
        <v>1614</v>
      </c>
      <c r="C216" s="1660"/>
      <c r="D216" s="1659"/>
      <c r="E216" s="1660"/>
      <c r="F216" s="1677"/>
      <c r="G216" s="1660"/>
      <c r="H216" s="1660"/>
      <c r="I216" s="1662"/>
      <c r="J216" s="1662"/>
      <c r="K216" s="1662"/>
      <c r="L216" s="1662"/>
      <c r="M216" s="1662"/>
      <c r="N216" s="1662"/>
      <c r="O216" s="1662"/>
      <c r="P216" s="1662"/>
      <c r="Q216" s="1001"/>
      <c r="R216" s="1001"/>
      <c r="S216" s="1618">
        <f>IF(YEAR($D214)=YEAR(S$4),$C214,0)</f>
        <v>0</v>
      </c>
      <c r="T216" s="1618">
        <f>IF(YEAR($D214)=YEAR(T$4),$C214,0)</f>
        <v>0</v>
      </c>
      <c r="U216" s="1618">
        <f t="shared" ref="U216:AB216" si="53">IF(YEAR($D214)=YEAR(U$4),$C214,0)</f>
        <v>0</v>
      </c>
      <c r="V216" s="1618">
        <f t="shared" si="53"/>
        <v>0</v>
      </c>
      <c r="W216" s="1618">
        <f t="shared" si="53"/>
        <v>0</v>
      </c>
      <c r="X216" s="1618">
        <f t="shared" si="53"/>
        <v>0</v>
      </c>
      <c r="Y216" s="1618">
        <f t="shared" si="53"/>
        <v>0</v>
      </c>
      <c r="Z216" s="1618">
        <f t="shared" si="53"/>
        <v>0</v>
      </c>
      <c r="AA216" s="1618">
        <f t="shared" si="53"/>
        <v>0</v>
      </c>
      <c r="AB216" s="1618">
        <f t="shared" si="53"/>
        <v>0</v>
      </c>
      <c r="AC216" s="1618"/>
      <c r="AD216" s="1618"/>
      <c r="AE216" s="1618"/>
      <c r="AF216" s="1618"/>
      <c r="AG216" s="1618"/>
      <c r="AH216" s="1618"/>
      <c r="AI216" s="1618"/>
      <c r="AJ216" s="1618"/>
      <c r="AK216" s="1618"/>
      <c r="AL216" s="1618"/>
      <c r="AM216" s="1618"/>
      <c r="AN216" s="1618"/>
      <c r="AO216" s="1618"/>
      <c r="AP216" s="1618"/>
      <c r="AQ216" s="1618"/>
      <c r="AR216" s="1618"/>
      <c r="AS216" s="1618"/>
      <c r="AT216" s="1618"/>
      <c r="AU216" s="1618"/>
      <c r="AV216" s="1618"/>
      <c r="AW216" s="1618"/>
      <c r="AX216" s="1618"/>
      <c r="AY216" s="1618"/>
      <c r="AZ216" s="1618"/>
      <c r="BA216" s="1618"/>
      <c r="BB216" s="1618"/>
      <c r="BC216" s="1618"/>
      <c r="BD216" s="1618"/>
      <c r="BE216" s="1618"/>
      <c r="BF216" s="1618"/>
      <c r="BG216" s="1001"/>
    </row>
    <row r="217" spans="1:59" x14ac:dyDescent="0.25">
      <c r="B217" s="1620" t="s">
        <v>1613</v>
      </c>
      <c r="C217" s="1660"/>
      <c r="D217" s="1659"/>
      <c r="E217" s="1660"/>
      <c r="F217" s="1677"/>
      <c r="G217" s="1660"/>
      <c r="H217" s="1660"/>
      <c r="I217" s="1662"/>
      <c r="J217" s="1662"/>
      <c r="K217" s="1662"/>
      <c r="L217" s="1662"/>
      <c r="M217" s="1662"/>
      <c r="N217" s="1662"/>
      <c r="O217" s="1662"/>
      <c r="P217" s="1662"/>
      <c r="Q217" s="1001"/>
      <c r="R217" s="1001"/>
      <c r="S217" s="1618">
        <f>IF($C214=S216,$C214/($E214/12),MIN(R218,R217))</f>
        <v>0</v>
      </c>
      <c r="T217" s="1618">
        <f t="shared" ref="T217:AB217" si="54">IF($C214=T216,$C214/($E214/12),MIN(S218,S217))</f>
        <v>0</v>
      </c>
      <c r="U217" s="1618">
        <f t="shared" si="54"/>
        <v>0</v>
      </c>
      <c r="V217" s="1618">
        <f t="shared" si="54"/>
        <v>0</v>
      </c>
      <c r="W217" s="1618">
        <f t="shared" si="54"/>
        <v>0</v>
      </c>
      <c r="X217" s="1618">
        <f t="shared" si="54"/>
        <v>0</v>
      </c>
      <c r="Y217" s="1618">
        <f t="shared" si="54"/>
        <v>0</v>
      </c>
      <c r="Z217" s="1618">
        <f t="shared" si="54"/>
        <v>0</v>
      </c>
      <c r="AA217" s="1618">
        <f t="shared" si="54"/>
        <v>0</v>
      </c>
      <c r="AB217" s="1618">
        <f t="shared" si="54"/>
        <v>0</v>
      </c>
      <c r="AC217" s="1618"/>
      <c r="AD217" s="1618"/>
      <c r="AE217" s="1618"/>
      <c r="AF217" s="1618"/>
      <c r="AG217" s="1618"/>
      <c r="AH217" s="1618"/>
      <c r="AI217" s="1618"/>
      <c r="AJ217" s="1618"/>
      <c r="AK217" s="1618"/>
      <c r="AL217" s="1618"/>
      <c r="AM217" s="1618"/>
      <c r="AN217" s="1618"/>
      <c r="AO217" s="1618"/>
      <c r="AP217" s="1618"/>
      <c r="AQ217" s="1618"/>
      <c r="AR217" s="1618"/>
      <c r="AS217" s="1618"/>
      <c r="AT217" s="1618"/>
      <c r="AU217" s="1618"/>
      <c r="AV217" s="1618"/>
      <c r="AW217" s="1618"/>
      <c r="AX217" s="1618"/>
      <c r="AY217" s="1618"/>
      <c r="AZ217" s="1618"/>
      <c r="BA217" s="1618"/>
      <c r="BB217" s="1618"/>
      <c r="BC217" s="1618"/>
      <c r="BD217" s="1618"/>
      <c r="BE217" s="1618"/>
      <c r="BF217" s="1618"/>
      <c r="BG217" s="1001"/>
    </row>
    <row r="218" spans="1:59" x14ac:dyDescent="0.25">
      <c r="B218" s="1615" t="s">
        <v>1615</v>
      </c>
      <c r="C218" s="1660"/>
      <c r="D218" s="1659"/>
      <c r="E218" s="1660"/>
      <c r="F218" s="1677"/>
      <c r="G218" s="1660"/>
      <c r="H218" s="1660"/>
      <c r="I218" s="1662"/>
      <c r="J218" s="1662"/>
      <c r="K218" s="1662"/>
      <c r="L218" s="1662"/>
      <c r="M218" s="1662"/>
      <c r="N218" s="1662"/>
      <c r="O218" s="1662"/>
      <c r="P218" s="1662"/>
      <c r="Q218" s="1001"/>
      <c r="R218" s="1001">
        <f>'BS Raw'!M242/Debt!$B$1</f>
        <v>0</v>
      </c>
      <c r="S218" s="1618">
        <v>0</v>
      </c>
      <c r="T218" s="1618">
        <f t="shared" ref="T218:AB218" si="55">T215+T216-T217</f>
        <v>0</v>
      </c>
      <c r="U218" s="1618">
        <f t="shared" si="55"/>
        <v>0</v>
      </c>
      <c r="V218" s="1618">
        <f t="shared" si="55"/>
        <v>0</v>
      </c>
      <c r="W218" s="1618">
        <f t="shared" si="55"/>
        <v>0</v>
      </c>
      <c r="X218" s="1618">
        <f t="shared" si="55"/>
        <v>0</v>
      </c>
      <c r="Y218" s="1618">
        <f t="shared" si="55"/>
        <v>0</v>
      </c>
      <c r="Z218" s="1618">
        <f t="shared" si="55"/>
        <v>0</v>
      </c>
      <c r="AA218" s="1618">
        <f t="shared" si="55"/>
        <v>0</v>
      </c>
      <c r="AB218" s="1618">
        <f t="shared" si="55"/>
        <v>0</v>
      </c>
      <c r="AC218" s="1618"/>
      <c r="AD218" s="1618"/>
      <c r="AE218" s="1618"/>
      <c r="AF218" s="1618"/>
      <c r="AG218" s="1618"/>
      <c r="AH218" s="1618"/>
      <c r="AI218" s="1618"/>
      <c r="AJ218" s="1618"/>
      <c r="AK218" s="1618"/>
      <c r="AL218" s="1618"/>
      <c r="AM218" s="1618"/>
      <c r="AN218" s="1618"/>
      <c r="AO218" s="1618"/>
      <c r="AP218" s="1618"/>
      <c r="AQ218" s="1618"/>
      <c r="AR218" s="1618"/>
      <c r="AS218" s="1618"/>
      <c r="AT218" s="1618"/>
      <c r="AU218" s="1618"/>
      <c r="AV218" s="1618"/>
      <c r="AW218" s="1618"/>
      <c r="AX218" s="1618"/>
      <c r="AY218" s="1618"/>
      <c r="AZ218" s="1618"/>
      <c r="BA218" s="1618"/>
      <c r="BB218" s="1618"/>
      <c r="BC218" s="1618"/>
      <c r="BD218" s="1618"/>
      <c r="BE218" s="1618"/>
      <c r="BF218" s="1618"/>
      <c r="BG218" s="1001"/>
    </row>
    <row r="219" spans="1:59" s="1642" customFormat="1" x14ac:dyDescent="0.25">
      <c r="A219" s="1635"/>
      <c r="B219" s="1620" t="s">
        <v>1627</v>
      </c>
      <c r="C219" s="1703"/>
      <c r="D219" s="1674"/>
      <c r="E219" s="1673"/>
      <c r="F219" s="1675"/>
      <c r="G219" s="1673"/>
      <c r="H219" s="1673"/>
      <c r="I219" s="1676"/>
      <c r="J219" s="1676"/>
      <c r="K219" s="1676"/>
      <c r="L219" s="1676"/>
      <c r="M219" s="1676"/>
      <c r="N219" s="1676"/>
      <c r="O219" s="1676"/>
      <c r="P219" s="1676"/>
      <c r="Q219" s="1636"/>
      <c r="R219" s="1638">
        <f>F214</f>
        <v>7.0000000000000007E-2</v>
      </c>
      <c r="S219" s="1684">
        <f>R219</f>
        <v>7.0000000000000007E-2</v>
      </c>
      <c r="T219" s="1684">
        <f t="shared" ref="T219:AB219" si="56">S219</f>
        <v>7.0000000000000007E-2</v>
      </c>
      <c r="U219" s="1684">
        <f t="shared" si="56"/>
        <v>7.0000000000000007E-2</v>
      </c>
      <c r="V219" s="1684">
        <f t="shared" si="56"/>
        <v>7.0000000000000007E-2</v>
      </c>
      <c r="W219" s="1684">
        <f t="shared" si="56"/>
        <v>7.0000000000000007E-2</v>
      </c>
      <c r="X219" s="1684">
        <f t="shared" si="56"/>
        <v>7.0000000000000007E-2</v>
      </c>
      <c r="Y219" s="1684">
        <f t="shared" si="56"/>
        <v>7.0000000000000007E-2</v>
      </c>
      <c r="Z219" s="1684">
        <f t="shared" si="56"/>
        <v>7.0000000000000007E-2</v>
      </c>
      <c r="AA219" s="1684">
        <f t="shared" si="56"/>
        <v>7.0000000000000007E-2</v>
      </c>
      <c r="AB219" s="1684">
        <f t="shared" si="56"/>
        <v>7.0000000000000007E-2</v>
      </c>
      <c r="AC219" s="1684"/>
      <c r="AD219" s="1684"/>
      <c r="AE219" s="1684"/>
      <c r="AF219" s="1684"/>
      <c r="AG219" s="1684"/>
      <c r="AH219" s="1684"/>
      <c r="AI219" s="1684"/>
      <c r="AJ219" s="1684"/>
      <c r="AK219" s="1684"/>
      <c r="AL219" s="1684"/>
      <c r="AM219" s="1684"/>
      <c r="AN219" s="1684"/>
      <c r="AO219" s="1684"/>
      <c r="AP219" s="1684"/>
      <c r="AQ219" s="1684"/>
      <c r="AR219" s="1684"/>
      <c r="AS219" s="1684"/>
      <c r="AT219" s="1684"/>
      <c r="AU219" s="1684"/>
      <c r="AV219" s="1684"/>
      <c r="AW219" s="1684"/>
      <c r="AX219" s="1684"/>
      <c r="AY219" s="1684"/>
      <c r="AZ219" s="1684"/>
      <c r="BA219" s="1684"/>
      <c r="BB219" s="1684"/>
      <c r="BC219" s="1684"/>
      <c r="BD219" s="1684"/>
      <c r="BE219" s="1684"/>
      <c r="BF219" s="1684"/>
      <c r="BG219" s="1636"/>
    </row>
    <row r="220" spans="1:59" x14ac:dyDescent="0.25">
      <c r="B220" s="1620" t="s">
        <v>1616</v>
      </c>
      <c r="C220" s="1705"/>
      <c r="D220" s="1659"/>
      <c r="E220" s="1660"/>
      <c r="F220" s="1677"/>
      <c r="G220" s="1660"/>
      <c r="H220" s="1660"/>
      <c r="I220" s="1662"/>
      <c r="J220" s="1662"/>
      <c r="K220" s="1662"/>
      <c r="L220" s="1662"/>
      <c r="M220" s="1662"/>
      <c r="N220" s="1662"/>
      <c r="O220" s="1662"/>
      <c r="P220" s="1662"/>
      <c r="Q220" s="1001"/>
      <c r="R220" s="1636">
        <f>R219*AVERAGE(R215,R218)</f>
        <v>0</v>
      </c>
      <c r="S220" s="1641">
        <f t="shared" ref="S220:AB220" si="57">S219*AVERAGE(S215,S218)</f>
        <v>0</v>
      </c>
      <c r="T220" s="1641">
        <f t="shared" si="57"/>
        <v>0</v>
      </c>
      <c r="U220" s="1641">
        <f t="shared" si="57"/>
        <v>0</v>
      </c>
      <c r="V220" s="1641">
        <f t="shared" si="57"/>
        <v>0</v>
      </c>
      <c r="W220" s="1641">
        <f t="shared" si="57"/>
        <v>0</v>
      </c>
      <c r="X220" s="1641">
        <f t="shared" si="57"/>
        <v>0</v>
      </c>
      <c r="Y220" s="1641">
        <f t="shared" si="57"/>
        <v>0</v>
      </c>
      <c r="Z220" s="1641">
        <f t="shared" si="57"/>
        <v>0</v>
      </c>
      <c r="AA220" s="1641">
        <f t="shared" si="57"/>
        <v>0</v>
      </c>
      <c r="AB220" s="1641">
        <f t="shared" si="57"/>
        <v>0</v>
      </c>
      <c r="AC220" s="1641"/>
      <c r="AD220" s="1641"/>
      <c r="AE220" s="1641"/>
      <c r="AF220" s="1641"/>
      <c r="AG220" s="1641"/>
      <c r="AH220" s="1641"/>
      <c r="AI220" s="1641"/>
      <c r="AJ220" s="1641"/>
      <c r="AK220" s="1641"/>
      <c r="AL220" s="1641"/>
      <c r="AM220" s="1641"/>
      <c r="AN220" s="1641"/>
      <c r="AO220" s="1641"/>
      <c r="AP220" s="1641"/>
      <c r="AQ220" s="1641"/>
      <c r="AR220" s="1641"/>
      <c r="AS220" s="1641"/>
      <c r="AT220" s="1641"/>
      <c r="AU220" s="1641"/>
      <c r="AV220" s="1641"/>
      <c r="AW220" s="1641"/>
      <c r="AX220" s="1641"/>
      <c r="AY220" s="1641"/>
      <c r="AZ220" s="1641"/>
      <c r="BA220" s="1641"/>
      <c r="BB220" s="1641"/>
      <c r="BC220" s="1641"/>
      <c r="BD220" s="1641"/>
      <c r="BE220" s="1641"/>
      <c r="BF220" s="1641"/>
      <c r="BG220" s="1001"/>
    </row>
    <row r="222" spans="1:59" ht="14.4" thickBot="1" x14ac:dyDescent="0.3">
      <c r="A222" s="1592">
        <v>7</v>
      </c>
      <c r="B222" s="1644" t="s">
        <v>1684</v>
      </c>
      <c r="C222" s="1686"/>
      <c r="D222" s="1687"/>
      <c r="E222" s="1686"/>
      <c r="F222" s="1688"/>
      <c r="G222" s="1686"/>
      <c r="H222" s="1686"/>
      <c r="I222" s="1686"/>
      <c r="J222" s="1686"/>
      <c r="K222" s="1686"/>
      <c r="L222" s="1686"/>
      <c r="M222" s="1686"/>
      <c r="N222" s="1686"/>
      <c r="O222" s="1686"/>
      <c r="P222" s="1686"/>
      <c r="Q222" s="1001"/>
      <c r="R222" s="1689"/>
      <c r="S222" s="1686"/>
      <c r="T222" s="1686"/>
      <c r="U222" s="1686"/>
      <c r="V222" s="1686"/>
      <c r="W222" s="1686"/>
      <c r="X222" s="1686"/>
      <c r="Y222" s="1686"/>
      <c r="Z222" s="1686"/>
      <c r="AA222" s="1686"/>
      <c r="AB222" s="1686"/>
      <c r="AC222" s="1686"/>
      <c r="AD222" s="1686"/>
      <c r="AE222" s="1686"/>
      <c r="AF222" s="1686"/>
      <c r="AG222" s="1686"/>
      <c r="AH222" s="1686"/>
      <c r="AI222" s="1686"/>
      <c r="AJ222" s="1686"/>
      <c r="AK222" s="1686"/>
      <c r="AL222" s="1686"/>
      <c r="AM222" s="1686"/>
      <c r="AN222" s="1686"/>
      <c r="AO222" s="1686"/>
      <c r="AP222" s="1686"/>
      <c r="AQ222" s="1686"/>
      <c r="AR222" s="1686"/>
      <c r="AS222" s="1686"/>
      <c r="AT222" s="1686"/>
      <c r="AU222" s="1686"/>
      <c r="AV222" s="1686"/>
      <c r="AW222" s="1686"/>
      <c r="AX222" s="1686"/>
      <c r="AY222" s="1686"/>
      <c r="AZ222" s="1686"/>
      <c r="BA222" s="1686"/>
      <c r="BB222" s="1686"/>
      <c r="BC222" s="1686"/>
      <c r="BD222" s="1686"/>
      <c r="BE222" s="1686"/>
      <c r="BF222" s="1686"/>
      <c r="BG222" s="1001"/>
    </row>
    <row r="223" spans="1:59" x14ac:dyDescent="0.25">
      <c r="B223" s="1597"/>
      <c r="C223" s="1001"/>
      <c r="D223" s="1613"/>
      <c r="E223" s="1001"/>
      <c r="G223" s="1001"/>
      <c r="H223" s="1001"/>
      <c r="I223" s="1001"/>
      <c r="J223" s="1001"/>
      <c r="K223" s="1001"/>
      <c r="L223" s="1001"/>
      <c r="M223" s="1001"/>
      <c r="N223" s="1001"/>
      <c r="O223" s="1001"/>
      <c r="P223" s="1001"/>
      <c r="Q223" s="1001"/>
      <c r="S223" s="1001"/>
      <c r="T223" s="1001"/>
      <c r="U223" s="1001"/>
      <c r="V223" s="1001"/>
      <c r="W223" s="1001"/>
      <c r="X223" s="1001"/>
      <c r="Y223" s="1001"/>
      <c r="Z223" s="1001"/>
      <c r="AA223" s="1001"/>
      <c r="AB223" s="1001"/>
      <c r="AC223" s="1001"/>
      <c r="AD223" s="1001"/>
      <c r="AE223" s="1001"/>
      <c r="AF223" s="1001"/>
      <c r="AG223" s="1001"/>
      <c r="AH223" s="1001"/>
      <c r="AI223" s="1001"/>
      <c r="AJ223" s="1001"/>
      <c r="AK223" s="1001"/>
      <c r="AL223" s="1001"/>
      <c r="AM223" s="1001"/>
      <c r="AN223" s="1001"/>
      <c r="AO223" s="1001"/>
      <c r="AP223" s="1001"/>
      <c r="AQ223" s="1001"/>
      <c r="AR223" s="1001"/>
      <c r="AS223" s="1001"/>
      <c r="AT223" s="1001"/>
      <c r="AU223" s="1001"/>
      <c r="AV223" s="1001"/>
      <c r="AW223" s="1001"/>
      <c r="AX223" s="1001"/>
      <c r="AY223" s="1001"/>
      <c r="AZ223" s="1001"/>
      <c r="BA223" s="1001"/>
      <c r="BB223" s="1001"/>
      <c r="BC223" s="1001"/>
      <c r="BD223" s="1001"/>
      <c r="BE223" s="1001"/>
      <c r="BF223" s="1001"/>
      <c r="BG223" s="1001"/>
    </row>
    <row r="224" spans="1:59" x14ac:dyDescent="0.25">
      <c r="A224" s="1592" t="s">
        <v>1685</v>
      </c>
      <c r="B224" s="1653" t="s">
        <v>1624</v>
      </c>
      <c r="C224" s="1762"/>
      <c r="D224" s="1775"/>
      <c r="E224" s="1762"/>
      <c r="F224" s="1763"/>
      <c r="G224" s="1762"/>
      <c r="H224" s="1762"/>
      <c r="I224" s="1762"/>
      <c r="J224" s="1762"/>
      <c r="K224" s="1762"/>
      <c r="L224" s="1762"/>
      <c r="M224" s="1762"/>
      <c r="N224" s="1762"/>
      <c r="O224" s="1762"/>
      <c r="P224" s="1762"/>
      <c r="Q224" s="1001"/>
      <c r="R224" s="1001"/>
      <c r="S224" s="1001"/>
      <c r="T224" s="1001"/>
      <c r="U224" s="1001"/>
      <c r="V224" s="1001"/>
      <c r="W224" s="1001"/>
      <c r="X224" s="1001"/>
      <c r="Y224" s="1001"/>
      <c r="Z224" s="1001"/>
      <c r="AA224" s="1001"/>
      <c r="AB224" s="1001"/>
      <c r="AC224" s="1001"/>
      <c r="AD224" s="1001"/>
      <c r="AE224" s="1001"/>
      <c r="AF224" s="1001"/>
      <c r="AG224" s="1001"/>
      <c r="AH224" s="1001"/>
      <c r="AI224" s="1001"/>
      <c r="AJ224" s="1001"/>
      <c r="AK224" s="1001"/>
      <c r="AL224" s="1001"/>
      <c r="AM224" s="1001"/>
      <c r="AN224" s="1001"/>
      <c r="AO224" s="1001"/>
      <c r="AP224" s="1001"/>
      <c r="AQ224" s="1001"/>
      <c r="AR224" s="1001"/>
      <c r="AS224" s="1001"/>
      <c r="AT224" s="1001"/>
      <c r="AU224" s="1001"/>
      <c r="AV224" s="1001"/>
      <c r="AW224" s="1001"/>
      <c r="AX224" s="1001"/>
      <c r="AY224" s="1001"/>
      <c r="AZ224" s="1001"/>
      <c r="BA224" s="1001"/>
      <c r="BB224" s="1001"/>
      <c r="BC224" s="1001"/>
      <c r="BD224" s="1001"/>
      <c r="BE224" s="1001"/>
      <c r="BF224" s="1001"/>
      <c r="BG224" s="1001"/>
    </row>
    <row r="225" spans="1:59" x14ac:dyDescent="0.25">
      <c r="B225" s="1657" t="s">
        <v>1672</v>
      </c>
      <c r="C225" s="1766">
        <v>0</v>
      </c>
      <c r="D225" s="1765">
        <v>46905</v>
      </c>
      <c r="E225" s="1766">
        <v>60</v>
      </c>
      <c r="F225" s="1677">
        <f>F214</f>
        <v>7.0000000000000007E-2</v>
      </c>
      <c r="G225" s="1660" t="s">
        <v>1626</v>
      </c>
      <c r="H225" s="1660">
        <v>0.5</v>
      </c>
      <c r="I225" s="1662"/>
      <c r="J225" s="1662"/>
      <c r="K225" s="1662"/>
      <c r="L225" s="1662"/>
      <c r="M225" s="1662"/>
      <c r="N225" s="1662"/>
      <c r="O225" s="1662"/>
      <c r="P225" s="1662"/>
      <c r="Q225" s="1001"/>
      <c r="R225" s="1001"/>
      <c r="S225" s="1001"/>
      <c r="T225" s="1001"/>
      <c r="U225" s="1001"/>
      <c r="V225" s="1001"/>
      <c r="W225" s="1001"/>
      <c r="X225" s="1001"/>
      <c r="Y225" s="1001"/>
      <c r="Z225" s="1001"/>
      <c r="AA225" s="1001"/>
      <c r="AB225" s="1001"/>
      <c r="AC225" s="1001"/>
      <c r="AD225" s="1001"/>
      <c r="AE225" s="1001"/>
      <c r="AF225" s="1001"/>
      <c r="AG225" s="1001"/>
      <c r="AH225" s="1001"/>
      <c r="AI225" s="1001"/>
      <c r="AJ225" s="1001"/>
      <c r="AK225" s="1001"/>
      <c r="AL225" s="1001"/>
      <c r="AM225" s="1001"/>
      <c r="AN225" s="1001"/>
      <c r="AO225" s="1001"/>
      <c r="AP225" s="1001"/>
      <c r="AQ225" s="1001"/>
      <c r="AR225" s="1001"/>
      <c r="AS225" s="1001"/>
      <c r="AT225" s="1001"/>
      <c r="AU225" s="1001"/>
      <c r="AV225" s="1001"/>
      <c r="AW225" s="1001"/>
      <c r="AX225" s="1001"/>
      <c r="AY225" s="1001"/>
      <c r="AZ225" s="1001"/>
      <c r="BA225" s="1001"/>
      <c r="BB225" s="1001"/>
      <c r="BC225" s="1001"/>
      <c r="BD225" s="1001"/>
      <c r="BE225" s="1001"/>
      <c r="BF225" s="1001"/>
      <c r="BG225" s="1001"/>
    </row>
    <row r="226" spans="1:59" x14ac:dyDescent="0.25">
      <c r="B226" s="1615" t="s">
        <v>1612</v>
      </c>
      <c r="C226" s="1660"/>
      <c r="D226" s="1659"/>
      <c r="E226" s="1660"/>
      <c r="F226" s="1677"/>
      <c r="G226" s="1660"/>
      <c r="H226" s="1660"/>
      <c r="I226" s="1662"/>
      <c r="J226" s="1662"/>
      <c r="K226" s="1662"/>
      <c r="L226" s="1662"/>
      <c r="M226" s="1662"/>
      <c r="N226" s="1662"/>
      <c r="O226" s="1662"/>
      <c r="P226" s="1662"/>
      <c r="Q226" s="1001"/>
      <c r="R226" s="1001">
        <f>'BS Raw'!L253/Debt!$B$1</f>
        <v>0</v>
      </c>
      <c r="S226" s="1618">
        <v>0</v>
      </c>
      <c r="T226" s="1618">
        <f t="shared" ref="T226:AB226" si="58">S229</f>
        <v>0</v>
      </c>
      <c r="U226" s="1618">
        <f t="shared" si="58"/>
        <v>0</v>
      </c>
      <c r="V226" s="1618">
        <f t="shared" si="58"/>
        <v>0</v>
      </c>
      <c r="W226" s="1618">
        <f t="shared" si="58"/>
        <v>0</v>
      </c>
      <c r="X226" s="1618">
        <f t="shared" si="58"/>
        <v>0</v>
      </c>
      <c r="Y226" s="1618">
        <f t="shared" si="58"/>
        <v>0</v>
      </c>
      <c r="Z226" s="1618">
        <f t="shared" si="58"/>
        <v>0</v>
      </c>
      <c r="AA226" s="1618">
        <f t="shared" si="58"/>
        <v>0</v>
      </c>
      <c r="AB226" s="1618">
        <f t="shared" si="58"/>
        <v>0</v>
      </c>
      <c r="AC226" s="1618"/>
      <c r="AD226" s="1618"/>
      <c r="AE226" s="1618"/>
      <c r="AF226" s="1618"/>
      <c r="AG226" s="1618"/>
      <c r="AH226" s="1618"/>
      <c r="AI226" s="1618"/>
      <c r="AJ226" s="1618"/>
      <c r="AK226" s="1618"/>
      <c r="AL226" s="1618"/>
      <c r="AM226" s="1618"/>
      <c r="AN226" s="1618"/>
      <c r="AO226" s="1618"/>
      <c r="AP226" s="1618"/>
      <c r="AQ226" s="1618"/>
      <c r="AR226" s="1618"/>
      <c r="AS226" s="1618"/>
      <c r="AT226" s="1618"/>
      <c r="AU226" s="1618"/>
      <c r="AV226" s="1618"/>
      <c r="AW226" s="1618"/>
      <c r="AX226" s="1618"/>
      <c r="AY226" s="1618"/>
      <c r="AZ226" s="1618"/>
      <c r="BA226" s="1618"/>
      <c r="BB226" s="1618"/>
      <c r="BC226" s="1618"/>
      <c r="BD226" s="1618"/>
      <c r="BE226" s="1618"/>
      <c r="BF226" s="1618"/>
      <c r="BG226" s="1001"/>
    </row>
    <row r="227" spans="1:59" x14ac:dyDescent="0.25">
      <c r="B227" s="1620" t="s">
        <v>1614</v>
      </c>
      <c r="C227" s="1660"/>
      <c r="D227" s="1659"/>
      <c r="E227" s="1660"/>
      <c r="F227" s="1677"/>
      <c r="G227" s="1660"/>
      <c r="H227" s="1660"/>
      <c r="I227" s="1662"/>
      <c r="J227" s="1662"/>
      <c r="K227" s="1662"/>
      <c r="L227" s="1662"/>
      <c r="M227" s="1662"/>
      <c r="N227" s="1662"/>
      <c r="O227" s="1662"/>
      <c r="P227" s="1662"/>
      <c r="Q227" s="1001"/>
      <c r="R227" s="1001"/>
      <c r="S227" s="1618">
        <f>IF(YEAR($D225)=YEAR(S$4),$C225,0)</f>
        <v>0</v>
      </c>
      <c r="T227" s="1618">
        <f>IF(YEAR($D225)=YEAR(T$4),$C225,0)</f>
        <v>0</v>
      </c>
      <c r="U227" s="1618">
        <f t="shared" ref="U227:AB227" si="59">IF(YEAR($D225)=YEAR(U$4),$C225,0)</f>
        <v>0</v>
      </c>
      <c r="V227" s="1618">
        <f t="shared" si="59"/>
        <v>0</v>
      </c>
      <c r="W227" s="1618">
        <f t="shared" si="59"/>
        <v>0</v>
      </c>
      <c r="X227" s="1618">
        <f t="shared" si="59"/>
        <v>0</v>
      </c>
      <c r="Y227" s="1618">
        <f t="shared" si="59"/>
        <v>0</v>
      </c>
      <c r="Z227" s="1618">
        <f t="shared" si="59"/>
        <v>0</v>
      </c>
      <c r="AA227" s="1618">
        <f t="shared" si="59"/>
        <v>0</v>
      </c>
      <c r="AB227" s="1618">
        <f t="shared" si="59"/>
        <v>0</v>
      </c>
      <c r="AC227" s="1618"/>
      <c r="AD227" s="1618"/>
      <c r="AE227" s="1618"/>
      <c r="AF227" s="1618"/>
      <c r="AG227" s="1618"/>
      <c r="AH227" s="1618"/>
      <c r="AI227" s="1618"/>
      <c r="AJ227" s="1618"/>
      <c r="AK227" s="1618"/>
      <c r="AL227" s="1618"/>
      <c r="AM227" s="1618"/>
      <c r="AN227" s="1618"/>
      <c r="AO227" s="1618"/>
      <c r="AP227" s="1618"/>
      <c r="AQ227" s="1618"/>
      <c r="AR227" s="1618"/>
      <c r="AS227" s="1618"/>
      <c r="AT227" s="1618"/>
      <c r="AU227" s="1618"/>
      <c r="AV227" s="1618"/>
      <c r="AW227" s="1618"/>
      <c r="AX227" s="1618"/>
      <c r="AY227" s="1618"/>
      <c r="AZ227" s="1618"/>
      <c r="BA227" s="1618"/>
      <c r="BB227" s="1618"/>
      <c r="BC227" s="1618"/>
      <c r="BD227" s="1618"/>
      <c r="BE227" s="1618"/>
      <c r="BF227" s="1618"/>
      <c r="BG227" s="1001"/>
    </row>
    <row r="228" spans="1:59" x14ac:dyDescent="0.25">
      <c r="B228" s="1620" t="s">
        <v>1613</v>
      </c>
      <c r="C228" s="1660"/>
      <c r="D228" s="1659"/>
      <c r="E228" s="1660"/>
      <c r="F228" s="1677"/>
      <c r="G228" s="1660"/>
      <c r="H228" s="1660"/>
      <c r="I228" s="1662"/>
      <c r="J228" s="1662"/>
      <c r="K228" s="1662"/>
      <c r="L228" s="1662"/>
      <c r="M228" s="1662"/>
      <c r="N228" s="1662"/>
      <c r="O228" s="1662"/>
      <c r="P228" s="1662"/>
      <c r="Q228" s="1001"/>
      <c r="R228" s="1001"/>
      <c r="S228" s="1618">
        <f>IF($C225=S227,$C225/($E225/12),MIN(R229,R228))</f>
        <v>0</v>
      </c>
      <c r="T228" s="1618"/>
      <c r="U228" s="1618"/>
      <c r="V228" s="1618"/>
      <c r="W228" s="1618"/>
      <c r="X228" s="1618"/>
      <c r="Y228" s="1618">
        <f>$C225/($E225/12)</f>
        <v>0</v>
      </c>
      <c r="Z228" s="1618">
        <f t="shared" ref="Z228:AB228" si="60">$C225/($E225/12)</f>
        <v>0</v>
      </c>
      <c r="AA228" s="1618">
        <f t="shared" si="60"/>
        <v>0</v>
      </c>
      <c r="AB228" s="1618">
        <f t="shared" si="60"/>
        <v>0</v>
      </c>
      <c r="AC228" s="1618"/>
      <c r="AD228" s="1618"/>
      <c r="AE228" s="1618"/>
      <c r="AF228" s="1618"/>
      <c r="AG228" s="1618"/>
      <c r="AH228" s="1618"/>
      <c r="AI228" s="1618"/>
      <c r="AJ228" s="1618"/>
      <c r="AK228" s="1618"/>
      <c r="AL228" s="1618"/>
      <c r="AM228" s="1618"/>
      <c r="AN228" s="1618"/>
      <c r="AO228" s="1618"/>
      <c r="AP228" s="1618"/>
      <c r="AQ228" s="1618"/>
      <c r="AR228" s="1618"/>
      <c r="AS228" s="1618"/>
      <c r="AT228" s="1618"/>
      <c r="AU228" s="1618"/>
      <c r="AV228" s="1618"/>
      <c r="AW228" s="1618"/>
      <c r="AX228" s="1618"/>
      <c r="AY228" s="1618"/>
      <c r="AZ228" s="1618"/>
      <c r="BA228" s="1618"/>
      <c r="BB228" s="1618"/>
      <c r="BC228" s="1618"/>
      <c r="BD228" s="1618"/>
      <c r="BE228" s="1618"/>
      <c r="BF228" s="1618"/>
      <c r="BG228" s="1001"/>
    </row>
    <row r="229" spans="1:59" x14ac:dyDescent="0.25">
      <c r="B229" s="1615" t="s">
        <v>1615</v>
      </c>
      <c r="C229" s="1660"/>
      <c r="D229" s="1659"/>
      <c r="E229" s="1660"/>
      <c r="F229" s="1677"/>
      <c r="G229" s="1660"/>
      <c r="H229" s="1660"/>
      <c r="I229" s="1662"/>
      <c r="J229" s="1662"/>
      <c r="K229" s="1662"/>
      <c r="L229" s="1662"/>
      <c r="M229" s="1662"/>
      <c r="N229" s="1662"/>
      <c r="O229" s="1662"/>
      <c r="P229" s="1662"/>
      <c r="Q229" s="1001"/>
      <c r="R229" s="1001">
        <f>'BS Raw'!M253/Debt!$B$1</f>
        <v>0</v>
      </c>
      <c r="S229" s="1618">
        <v>0</v>
      </c>
      <c r="T229" s="1618">
        <f t="shared" ref="T229:AB229" si="61">T226+T227-T228</f>
        <v>0</v>
      </c>
      <c r="U229" s="1618">
        <f t="shared" si="61"/>
        <v>0</v>
      </c>
      <c r="V229" s="1618">
        <f t="shared" si="61"/>
        <v>0</v>
      </c>
      <c r="W229" s="1618">
        <f t="shared" si="61"/>
        <v>0</v>
      </c>
      <c r="X229" s="1618">
        <f t="shared" si="61"/>
        <v>0</v>
      </c>
      <c r="Y229" s="1618">
        <f t="shared" si="61"/>
        <v>0</v>
      </c>
      <c r="Z229" s="1618">
        <f t="shared" si="61"/>
        <v>0</v>
      </c>
      <c r="AA229" s="1618">
        <f t="shared" si="61"/>
        <v>0</v>
      </c>
      <c r="AB229" s="1618">
        <f t="shared" si="61"/>
        <v>0</v>
      </c>
      <c r="AC229" s="1618"/>
      <c r="AD229" s="1618"/>
      <c r="AE229" s="1618"/>
      <c r="AF229" s="1618"/>
      <c r="AG229" s="1618"/>
      <c r="AH229" s="1618"/>
      <c r="AI229" s="1618"/>
      <c r="AJ229" s="1618"/>
      <c r="AK229" s="1618"/>
      <c r="AL229" s="1618"/>
      <c r="AM229" s="1618"/>
      <c r="AN229" s="1618"/>
      <c r="AO229" s="1618"/>
      <c r="AP229" s="1618"/>
      <c r="AQ229" s="1618"/>
      <c r="AR229" s="1618"/>
      <c r="AS229" s="1618"/>
      <c r="AT229" s="1618"/>
      <c r="AU229" s="1618"/>
      <c r="AV229" s="1618"/>
      <c r="AW229" s="1618"/>
      <c r="AX229" s="1618"/>
      <c r="AY229" s="1618"/>
      <c r="AZ229" s="1618"/>
      <c r="BA229" s="1618"/>
      <c r="BB229" s="1618"/>
      <c r="BC229" s="1618"/>
      <c r="BD229" s="1618"/>
      <c r="BE229" s="1618"/>
      <c r="BF229" s="1618"/>
      <c r="BG229" s="1001"/>
    </row>
    <row r="230" spans="1:59" s="1642" customFormat="1" x14ac:dyDescent="0.25">
      <c r="A230" s="1635"/>
      <c r="B230" s="1620" t="s">
        <v>1627</v>
      </c>
      <c r="C230" s="1703"/>
      <c r="D230" s="1674"/>
      <c r="E230" s="1673"/>
      <c r="F230" s="1675"/>
      <c r="G230" s="1673"/>
      <c r="H230" s="1673"/>
      <c r="I230" s="1676"/>
      <c r="J230" s="1676"/>
      <c r="K230" s="1676"/>
      <c r="L230" s="1676"/>
      <c r="M230" s="1676"/>
      <c r="N230" s="1676"/>
      <c r="O230" s="1676"/>
      <c r="P230" s="1676"/>
      <c r="Q230" s="1636"/>
      <c r="R230" s="1638">
        <f>F225</f>
        <v>7.0000000000000007E-2</v>
      </c>
      <c r="S230" s="1684">
        <f>R230</f>
        <v>7.0000000000000007E-2</v>
      </c>
      <c r="T230" s="1684">
        <f t="shared" ref="T230:AB230" si="62">S230</f>
        <v>7.0000000000000007E-2</v>
      </c>
      <c r="U230" s="1684">
        <f t="shared" si="62"/>
        <v>7.0000000000000007E-2</v>
      </c>
      <c r="V230" s="1684">
        <f t="shared" si="62"/>
        <v>7.0000000000000007E-2</v>
      </c>
      <c r="W230" s="1684">
        <f t="shared" si="62"/>
        <v>7.0000000000000007E-2</v>
      </c>
      <c r="X230" s="1684">
        <f t="shared" si="62"/>
        <v>7.0000000000000007E-2</v>
      </c>
      <c r="Y230" s="1684">
        <f t="shared" si="62"/>
        <v>7.0000000000000007E-2</v>
      </c>
      <c r="Z230" s="1684">
        <f t="shared" si="62"/>
        <v>7.0000000000000007E-2</v>
      </c>
      <c r="AA230" s="1684">
        <f t="shared" si="62"/>
        <v>7.0000000000000007E-2</v>
      </c>
      <c r="AB230" s="1684">
        <f t="shared" si="62"/>
        <v>7.0000000000000007E-2</v>
      </c>
      <c r="AC230" s="1684"/>
      <c r="AD230" s="1684"/>
      <c r="AE230" s="1684"/>
      <c r="AF230" s="1684"/>
      <c r="AG230" s="1684"/>
      <c r="AH230" s="1684"/>
      <c r="AI230" s="1684"/>
      <c r="AJ230" s="1684"/>
      <c r="AK230" s="1684"/>
      <c r="AL230" s="1684"/>
      <c r="AM230" s="1684"/>
      <c r="AN230" s="1684"/>
      <c r="AO230" s="1684"/>
      <c r="AP230" s="1684"/>
      <c r="AQ230" s="1684"/>
      <c r="AR230" s="1684"/>
      <c r="AS230" s="1684"/>
      <c r="AT230" s="1684"/>
      <c r="AU230" s="1684"/>
      <c r="AV230" s="1684"/>
      <c r="AW230" s="1684"/>
      <c r="AX230" s="1684"/>
      <c r="AY230" s="1684"/>
      <c r="AZ230" s="1684"/>
      <c r="BA230" s="1684"/>
      <c r="BB230" s="1684"/>
      <c r="BC230" s="1684"/>
      <c r="BD230" s="1684"/>
      <c r="BE230" s="1684"/>
      <c r="BF230" s="1684"/>
      <c r="BG230" s="1636"/>
    </row>
    <row r="231" spans="1:59" x14ac:dyDescent="0.25">
      <c r="B231" s="1620" t="s">
        <v>1616</v>
      </c>
      <c r="C231" s="1705"/>
      <c r="D231" s="1659"/>
      <c r="E231" s="1660"/>
      <c r="F231" s="1677"/>
      <c r="G231" s="1660"/>
      <c r="H231" s="1660"/>
      <c r="I231" s="1662"/>
      <c r="J231" s="1662"/>
      <c r="K231" s="1662"/>
      <c r="L231" s="1662"/>
      <c r="M231" s="1662"/>
      <c r="N231" s="1662"/>
      <c r="O231" s="1662"/>
      <c r="P231" s="1662"/>
      <c r="Q231" s="1001"/>
      <c r="R231" s="1636">
        <f>R230*AVERAGE(R226,R229)</f>
        <v>0</v>
      </c>
      <c r="S231" s="1641">
        <f t="shared" ref="S231:AB231" si="63">S230*AVERAGE(S226,S229)</f>
        <v>0</v>
      </c>
      <c r="T231" s="1641">
        <f t="shared" si="63"/>
        <v>0</v>
      </c>
      <c r="U231" s="1641">
        <f t="shared" si="63"/>
        <v>0</v>
      </c>
      <c r="V231" s="1641">
        <f t="shared" si="63"/>
        <v>0</v>
      </c>
      <c r="W231" s="1641">
        <f t="shared" si="63"/>
        <v>0</v>
      </c>
      <c r="X231" s="1641">
        <f t="shared" si="63"/>
        <v>0</v>
      </c>
      <c r="Y231" s="1641">
        <f t="shared" si="63"/>
        <v>0</v>
      </c>
      <c r="Z231" s="1641">
        <f t="shared" si="63"/>
        <v>0</v>
      </c>
      <c r="AA231" s="1641">
        <f t="shared" si="63"/>
        <v>0</v>
      </c>
      <c r="AB231" s="1641">
        <f t="shared" si="63"/>
        <v>0</v>
      </c>
      <c r="AC231" s="1641"/>
      <c r="AD231" s="1641"/>
      <c r="AE231" s="1641"/>
      <c r="AF231" s="1641"/>
      <c r="AG231" s="1641"/>
      <c r="AH231" s="1641"/>
      <c r="AI231" s="1641"/>
      <c r="AJ231" s="1641"/>
      <c r="AK231" s="1641"/>
      <c r="AL231" s="1641"/>
      <c r="AM231" s="1641"/>
      <c r="AN231" s="1641"/>
      <c r="AO231" s="1641"/>
      <c r="AP231" s="1641"/>
      <c r="AQ231" s="1641"/>
      <c r="AR231" s="1641"/>
      <c r="AS231" s="1641"/>
      <c r="AT231" s="1641"/>
      <c r="AU231" s="1641"/>
      <c r="AV231" s="1641"/>
      <c r="AW231" s="1641"/>
      <c r="AX231" s="1641"/>
      <c r="AY231" s="1641"/>
      <c r="AZ231" s="1641"/>
      <c r="BA231" s="1641"/>
      <c r="BB231" s="1641"/>
      <c r="BC231" s="1641"/>
      <c r="BD231" s="1641"/>
      <c r="BE231" s="1641"/>
      <c r="BF231" s="1641"/>
      <c r="BG231" s="1001"/>
    </row>
    <row r="233" spans="1:59" ht="14.4" thickBot="1" x14ac:dyDescent="0.3">
      <c r="A233" s="1592">
        <v>8</v>
      </c>
      <c r="B233" s="1644" t="s">
        <v>1686</v>
      </c>
      <c r="C233" s="1686"/>
      <c r="D233" s="1687"/>
      <c r="E233" s="1686"/>
      <c r="F233" s="1688"/>
      <c r="G233" s="1686"/>
      <c r="H233" s="1686"/>
      <c r="I233" s="1686"/>
      <c r="J233" s="1686"/>
      <c r="K233" s="1686"/>
      <c r="L233" s="1686"/>
      <c r="M233" s="1686"/>
      <c r="N233" s="1686"/>
      <c r="O233" s="1686"/>
      <c r="P233" s="1686"/>
      <c r="Q233" s="1001"/>
      <c r="R233" s="1689"/>
      <c r="S233" s="1686"/>
      <c r="T233" s="1686"/>
      <c r="U233" s="1686"/>
      <c r="V233" s="1686"/>
      <c r="W233" s="1686"/>
      <c r="X233" s="1686"/>
      <c r="Y233" s="1686"/>
      <c r="Z233" s="1686"/>
      <c r="AA233" s="1686"/>
      <c r="AB233" s="1686"/>
      <c r="AC233" s="1686"/>
      <c r="AD233" s="1686"/>
      <c r="AE233" s="1686"/>
      <c r="AF233" s="1686"/>
      <c r="AG233" s="1686"/>
      <c r="AH233" s="1686"/>
      <c r="AI233" s="1686"/>
      <c r="AJ233" s="1686"/>
      <c r="AK233" s="1686"/>
      <c r="AL233" s="1686"/>
      <c r="AM233" s="1686"/>
      <c r="AN233" s="1686"/>
      <c r="AO233" s="1686"/>
      <c r="AP233" s="1686"/>
      <c r="AQ233" s="1686"/>
      <c r="AR233" s="1686"/>
      <c r="AS233" s="1686"/>
      <c r="AT233" s="1686"/>
      <c r="AU233" s="1686"/>
      <c r="AV233" s="1686"/>
      <c r="AW233" s="1686"/>
      <c r="AX233" s="1686"/>
      <c r="AY233" s="1686"/>
      <c r="AZ233" s="1686"/>
      <c r="BA233" s="1686"/>
      <c r="BB233" s="1686"/>
      <c r="BC233" s="1686"/>
      <c r="BD233" s="1686"/>
      <c r="BE233" s="1686"/>
      <c r="BF233" s="1686"/>
      <c r="BG233" s="1001"/>
    </row>
    <row r="234" spans="1:59" x14ac:dyDescent="0.25">
      <c r="B234" s="1597"/>
      <c r="C234" s="1001"/>
      <c r="D234" s="1613"/>
      <c r="E234" s="1001"/>
      <c r="G234" s="1001"/>
      <c r="H234" s="1001"/>
      <c r="I234" s="1001"/>
      <c r="J234" s="1001"/>
      <c r="K234" s="1001"/>
      <c r="L234" s="1001"/>
      <c r="M234" s="1001"/>
      <c r="N234" s="1001"/>
      <c r="O234" s="1001"/>
      <c r="P234" s="1001"/>
      <c r="Q234" s="1001"/>
      <c r="S234" s="1001"/>
      <c r="T234" s="1001"/>
      <c r="U234" s="1001"/>
      <c r="V234" s="1001"/>
      <c r="W234" s="1001"/>
      <c r="X234" s="1001"/>
      <c r="Y234" s="1001"/>
      <c r="Z234" s="1001"/>
      <c r="AA234" s="1001"/>
      <c r="AB234" s="1001"/>
      <c r="AC234" s="1001"/>
      <c r="AD234" s="1001"/>
      <c r="AE234" s="1001"/>
      <c r="AF234" s="1001"/>
      <c r="AG234" s="1001"/>
      <c r="AH234" s="1001"/>
      <c r="AI234" s="1001"/>
      <c r="AJ234" s="1001"/>
      <c r="AK234" s="1001"/>
      <c r="AL234" s="1001"/>
      <c r="AM234" s="1001"/>
      <c r="AN234" s="1001"/>
      <c r="AO234" s="1001"/>
      <c r="AP234" s="1001"/>
      <c r="AQ234" s="1001"/>
      <c r="AR234" s="1001"/>
      <c r="AS234" s="1001"/>
      <c r="AT234" s="1001"/>
      <c r="AU234" s="1001"/>
      <c r="AV234" s="1001"/>
      <c r="AW234" s="1001"/>
      <c r="AX234" s="1001"/>
      <c r="AY234" s="1001"/>
      <c r="AZ234" s="1001"/>
      <c r="BA234" s="1001"/>
      <c r="BB234" s="1001"/>
      <c r="BC234" s="1001"/>
      <c r="BD234" s="1001"/>
      <c r="BE234" s="1001"/>
      <c r="BF234" s="1001"/>
      <c r="BG234" s="1001"/>
    </row>
    <row r="235" spans="1:59" x14ac:dyDescent="0.25">
      <c r="A235" s="1592" t="s">
        <v>1687</v>
      </c>
      <c r="B235" s="1653" t="s">
        <v>1624</v>
      </c>
      <c r="C235" s="1762"/>
      <c r="D235" s="1775"/>
      <c r="E235" s="1762"/>
      <c r="F235" s="1763"/>
      <c r="G235" s="1762"/>
      <c r="H235" s="1762"/>
      <c r="I235" s="1762"/>
      <c r="J235" s="1762"/>
      <c r="K235" s="1762"/>
      <c r="L235" s="1762"/>
      <c r="M235" s="1762"/>
      <c r="N235" s="1762"/>
      <c r="O235" s="1762"/>
      <c r="P235" s="1762"/>
      <c r="Q235" s="1001"/>
      <c r="R235" s="1001"/>
      <c r="S235" s="1001"/>
      <c r="T235" s="1001"/>
      <c r="U235" s="1001"/>
      <c r="V235" s="1001"/>
      <c r="W235" s="1001"/>
      <c r="X235" s="1001"/>
      <c r="Y235" s="1001"/>
      <c r="Z235" s="1001"/>
      <c r="AA235" s="1001"/>
      <c r="AB235" s="1001"/>
      <c r="AC235" s="1001"/>
      <c r="AD235" s="1001"/>
      <c r="AE235" s="1001"/>
      <c r="AF235" s="1001"/>
      <c r="AG235" s="1001"/>
      <c r="AH235" s="1001"/>
      <c r="AI235" s="1001"/>
      <c r="AJ235" s="1001"/>
      <c r="AK235" s="1001"/>
      <c r="AL235" s="1001"/>
      <c r="AM235" s="1001"/>
      <c r="AN235" s="1001"/>
      <c r="AO235" s="1001"/>
      <c r="AP235" s="1001"/>
      <c r="AQ235" s="1001"/>
      <c r="AR235" s="1001"/>
      <c r="AS235" s="1001"/>
      <c r="AT235" s="1001"/>
      <c r="AU235" s="1001"/>
      <c r="AV235" s="1001"/>
      <c r="AW235" s="1001"/>
      <c r="AX235" s="1001"/>
      <c r="AY235" s="1001"/>
      <c r="AZ235" s="1001"/>
      <c r="BA235" s="1001"/>
      <c r="BB235" s="1001"/>
      <c r="BC235" s="1001"/>
      <c r="BD235" s="1001"/>
      <c r="BE235" s="1001"/>
      <c r="BF235" s="1001"/>
      <c r="BG235" s="1001"/>
    </row>
    <row r="236" spans="1:59" x14ac:dyDescent="0.25">
      <c r="B236" s="1657" t="s">
        <v>1672</v>
      </c>
      <c r="C236" s="1766">
        <v>0</v>
      </c>
      <c r="D236" s="1765">
        <v>47270</v>
      </c>
      <c r="E236" s="1766">
        <v>60</v>
      </c>
      <c r="F236" s="1677">
        <f>F225</f>
        <v>7.0000000000000007E-2</v>
      </c>
      <c r="G236" s="1660" t="s">
        <v>1626</v>
      </c>
      <c r="H236" s="1660">
        <v>0.5</v>
      </c>
      <c r="I236" s="1662"/>
      <c r="J236" s="1662"/>
      <c r="K236" s="1662"/>
      <c r="L236" s="1662"/>
      <c r="M236" s="1662"/>
      <c r="N236" s="1662"/>
      <c r="O236" s="1662"/>
      <c r="P236" s="1662"/>
      <c r="Q236" s="1001"/>
      <c r="R236" s="1001"/>
      <c r="S236" s="1001"/>
      <c r="T236" s="1001"/>
      <c r="U236" s="1001"/>
      <c r="V236" s="1001"/>
      <c r="W236" s="1001"/>
      <c r="X236" s="1001"/>
      <c r="Y236" s="1001"/>
      <c r="Z236" s="1001"/>
      <c r="AA236" s="1001"/>
      <c r="AB236" s="1001"/>
      <c r="AC236" s="1001"/>
      <c r="AD236" s="1001"/>
      <c r="AE236" s="1001"/>
      <c r="AF236" s="1001"/>
      <c r="AG236" s="1001"/>
      <c r="AH236" s="1001"/>
      <c r="AI236" s="1001"/>
      <c r="AJ236" s="1001"/>
      <c r="AK236" s="1001"/>
      <c r="AL236" s="1001"/>
      <c r="AM236" s="1001"/>
      <c r="AN236" s="1001"/>
      <c r="AO236" s="1001"/>
      <c r="AP236" s="1001"/>
      <c r="AQ236" s="1001"/>
      <c r="AR236" s="1001"/>
      <c r="AS236" s="1001"/>
      <c r="AT236" s="1001"/>
      <c r="AU236" s="1001"/>
      <c r="AV236" s="1001"/>
      <c r="AW236" s="1001"/>
      <c r="AX236" s="1001"/>
      <c r="AY236" s="1001"/>
      <c r="AZ236" s="1001"/>
      <c r="BA236" s="1001"/>
      <c r="BB236" s="1001"/>
      <c r="BC236" s="1001"/>
      <c r="BD236" s="1001"/>
      <c r="BE236" s="1001"/>
      <c r="BF236" s="1001"/>
      <c r="BG236" s="1001"/>
    </row>
    <row r="237" spans="1:59" x14ac:dyDescent="0.25">
      <c r="B237" s="1615" t="s">
        <v>1612</v>
      </c>
      <c r="C237" s="1660"/>
      <c r="D237" s="1659"/>
      <c r="E237" s="1660"/>
      <c r="F237" s="1677"/>
      <c r="G237" s="1660"/>
      <c r="H237" s="1660"/>
      <c r="I237" s="1662"/>
      <c r="J237" s="1662"/>
      <c r="K237" s="1662"/>
      <c r="L237" s="1662"/>
      <c r="M237" s="1662"/>
      <c r="N237" s="1662"/>
      <c r="O237" s="1662"/>
      <c r="P237" s="1662"/>
      <c r="Q237" s="1001"/>
      <c r="R237" s="1001">
        <f>'BS Raw'!L264/Debt!$B$1</f>
        <v>0</v>
      </c>
      <c r="S237" s="1618">
        <v>0</v>
      </c>
      <c r="T237" s="1618">
        <f t="shared" ref="T237:AB237" si="64">S240</f>
        <v>0</v>
      </c>
      <c r="U237" s="1618">
        <f t="shared" si="64"/>
        <v>0</v>
      </c>
      <c r="V237" s="1618">
        <f t="shared" si="64"/>
        <v>0</v>
      </c>
      <c r="W237" s="1618">
        <f t="shared" si="64"/>
        <v>0</v>
      </c>
      <c r="X237" s="1618">
        <f t="shared" si="64"/>
        <v>0</v>
      </c>
      <c r="Y237" s="1618">
        <f t="shared" si="64"/>
        <v>0</v>
      </c>
      <c r="Z237" s="1618">
        <f t="shared" si="64"/>
        <v>0</v>
      </c>
      <c r="AA237" s="1618">
        <f t="shared" si="64"/>
        <v>0</v>
      </c>
      <c r="AB237" s="1618">
        <f t="shared" si="64"/>
        <v>0</v>
      </c>
      <c r="AC237" s="1618"/>
      <c r="AD237" s="1618"/>
      <c r="AE237" s="1618"/>
      <c r="AF237" s="1618"/>
      <c r="AG237" s="1618"/>
      <c r="AH237" s="1618"/>
      <c r="AI237" s="1618"/>
      <c r="AJ237" s="1618"/>
      <c r="AK237" s="1618"/>
      <c r="AL237" s="1618"/>
      <c r="AM237" s="1618"/>
      <c r="AN237" s="1618"/>
      <c r="AO237" s="1618"/>
      <c r="AP237" s="1618"/>
      <c r="AQ237" s="1618"/>
      <c r="AR237" s="1618"/>
      <c r="AS237" s="1618"/>
      <c r="AT237" s="1618"/>
      <c r="AU237" s="1618"/>
      <c r="AV237" s="1618"/>
      <c r="AW237" s="1618"/>
      <c r="AX237" s="1618"/>
      <c r="AY237" s="1618"/>
      <c r="AZ237" s="1618"/>
      <c r="BA237" s="1618"/>
      <c r="BB237" s="1618"/>
      <c r="BC237" s="1618"/>
      <c r="BD237" s="1618"/>
      <c r="BE237" s="1618"/>
      <c r="BF237" s="1618"/>
      <c r="BG237" s="1001"/>
    </row>
    <row r="238" spans="1:59" x14ac:dyDescent="0.25">
      <c r="B238" s="1620" t="s">
        <v>1614</v>
      </c>
      <c r="C238" s="1660"/>
      <c r="D238" s="1659"/>
      <c r="E238" s="1660"/>
      <c r="F238" s="1677"/>
      <c r="G238" s="1660"/>
      <c r="H238" s="1660"/>
      <c r="I238" s="1662"/>
      <c r="J238" s="1662"/>
      <c r="K238" s="1662"/>
      <c r="L238" s="1662"/>
      <c r="M238" s="1662"/>
      <c r="N238" s="1662"/>
      <c r="O238" s="1662"/>
      <c r="P238" s="1662"/>
      <c r="Q238" s="1001"/>
      <c r="R238" s="1001"/>
      <c r="S238" s="1618">
        <f>IF(YEAR($D236)=YEAR(S$4),$C236,0)</f>
        <v>0</v>
      </c>
      <c r="T238" s="1618">
        <f>IF(YEAR($D236)=YEAR(T$4),$C236,0)</f>
        <v>0</v>
      </c>
      <c r="U238" s="1618">
        <f t="shared" ref="U238:AB238" si="65">IF(YEAR($D236)=YEAR(U$4),$C236,0)</f>
        <v>0</v>
      </c>
      <c r="V238" s="1618">
        <f t="shared" si="65"/>
        <v>0</v>
      </c>
      <c r="W238" s="1618">
        <f t="shared" si="65"/>
        <v>0</v>
      </c>
      <c r="X238" s="1618">
        <f t="shared" si="65"/>
        <v>0</v>
      </c>
      <c r="Y238" s="1618">
        <f t="shared" si="65"/>
        <v>0</v>
      </c>
      <c r="Z238" s="1618">
        <f t="shared" si="65"/>
        <v>0</v>
      </c>
      <c r="AA238" s="1618">
        <f t="shared" si="65"/>
        <v>0</v>
      </c>
      <c r="AB238" s="1618">
        <f t="shared" si="65"/>
        <v>0</v>
      </c>
      <c r="AC238" s="1618"/>
      <c r="AD238" s="1618"/>
      <c r="AE238" s="1618"/>
      <c r="AF238" s="1618"/>
      <c r="AG238" s="1618"/>
      <c r="AH238" s="1618"/>
      <c r="AI238" s="1618"/>
      <c r="AJ238" s="1618"/>
      <c r="AK238" s="1618"/>
      <c r="AL238" s="1618"/>
      <c r="AM238" s="1618"/>
      <c r="AN238" s="1618"/>
      <c r="AO238" s="1618"/>
      <c r="AP238" s="1618"/>
      <c r="AQ238" s="1618"/>
      <c r="AR238" s="1618"/>
      <c r="AS238" s="1618"/>
      <c r="AT238" s="1618"/>
      <c r="AU238" s="1618"/>
      <c r="AV238" s="1618"/>
      <c r="AW238" s="1618"/>
      <c r="AX238" s="1618"/>
      <c r="AY238" s="1618"/>
      <c r="AZ238" s="1618"/>
      <c r="BA238" s="1618"/>
      <c r="BB238" s="1618"/>
      <c r="BC238" s="1618"/>
      <c r="BD238" s="1618"/>
      <c r="BE238" s="1618"/>
      <c r="BF238" s="1618"/>
      <c r="BG238" s="1001"/>
    </row>
    <row r="239" spans="1:59" x14ac:dyDescent="0.25">
      <c r="B239" s="1620" t="s">
        <v>1613</v>
      </c>
      <c r="C239" s="1660"/>
      <c r="D239" s="1659"/>
      <c r="E239" s="1660"/>
      <c r="F239" s="1677"/>
      <c r="G239" s="1660"/>
      <c r="H239" s="1660"/>
      <c r="I239" s="1662"/>
      <c r="J239" s="1662"/>
      <c r="K239" s="1662"/>
      <c r="L239" s="1662"/>
      <c r="M239" s="1662"/>
      <c r="N239" s="1662"/>
      <c r="O239" s="1662"/>
      <c r="P239" s="1662"/>
      <c r="Q239" s="1001"/>
      <c r="R239" s="1001"/>
      <c r="S239" s="1618">
        <f>IF($C236=S238,$C236/($E236/12),MIN(R240,R239))</f>
        <v>0</v>
      </c>
      <c r="T239" s="1618">
        <f t="shared" ref="T239:AB239" si="66">IF($C236=T238,$C236/($E236/12),MIN(S240,S239))</f>
        <v>0</v>
      </c>
      <c r="U239" s="1618">
        <f t="shared" si="66"/>
        <v>0</v>
      </c>
      <c r="V239" s="1618">
        <f t="shared" si="66"/>
        <v>0</v>
      </c>
      <c r="W239" s="1618">
        <f t="shared" si="66"/>
        <v>0</v>
      </c>
      <c r="X239" s="1618">
        <f t="shared" si="66"/>
        <v>0</v>
      </c>
      <c r="Y239" s="1618">
        <f t="shared" si="66"/>
        <v>0</v>
      </c>
      <c r="Z239" s="1618">
        <f t="shared" si="66"/>
        <v>0</v>
      </c>
      <c r="AA239" s="1618">
        <f t="shared" si="66"/>
        <v>0</v>
      </c>
      <c r="AB239" s="1618">
        <f t="shared" si="66"/>
        <v>0</v>
      </c>
      <c r="AC239" s="1618"/>
      <c r="AD239" s="1618"/>
      <c r="AE239" s="1618"/>
      <c r="AF239" s="1618"/>
      <c r="AG239" s="1618"/>
      <c r="AH239" s="1618"/>
      <c r="AI239" s="1618"/>
      <c r="AJ239" s="1618"/>
      <c r="AK239" s="1618"/>
      <c r="AL239" s="1618"/>
      <c r="AM239" s="1618"/>
      <c r="AN239" s="1618"/>
      <c r="AO239" s="1618"/>
      <c r="AP239" s="1618"/>
      <c r="AQ239" s="1618"/>
      <c r="AR239" s="1618"/>
      <c r="AS239" s="1618"/>
      <c r="AT239" s="1618"/>
      <c r="AU239" s="1618"/>
      <c r="AV239" s="1618"/>
      <c r="AW239" s="1618"/>
      <c r="AX239" s="1618"/>
      <c r="AY239" s="1618"/>
      <c r="AZ239" s="1618"/>
      <c r="BA239" s="1618"/>
      <c r="BB239" s="1618"/>
      <c r="BC239" s="1618"/>
      <c r="BD239" s="1618"/>
      <c r="BE239" s="1618"/>
      <c r="BF239" s="1618"/>
      <c r="BG239" s="1001"/>
    </row>
    <row r="240" spans="1:59" x14ac:dyDescent="0.25">
      <c r="B240" s="1615" t="s">
        <v>1615</v>
      </c>
      <c r="C240" s="1660"/>
      <c r="D240" s="1659"/>
      <c r="E240" s="1660"/>
      <c r="F240" s="1677"/>
      <c r="G240" s="1660"/>
      <c r="H240" s="1660"/>
      <c r="I240" s="1662"/>
      <c r="J240" s="1662"/>
      <c r="K240" s="1662"/>
      <c r="L240" s="1662"/>
      <c r="M240" s="1662"/>
      <c r="N240" s="1662"/>
      <c r="O240" s="1662"/>
      <c r="P240" s="1662"/>
      <c r="Q240" s="1001"/>
      <c r="R240" s="1001">
        <f>'BS Raw'!M264/Debt!$B$1</f>
        <v>0</v>
      </c>
      <c r="S240" s="1618">
        <v>0</v>
      </c>
      <c r="T240" s="1618">
        <f t="shared" ref="T240:AB240" si="67">T237+T238-T239</f>
        <v>0</v>
      </c>
      <c r="U240" s="1618">
        <f t="shared" si="67"/>
        <v>0</v>
      </c>
      <c r="V240" s="1618">
        <f t="shared" si="67"/>
        <v>0</v>
      </c>
      <c r="W240" s="1618">
        <f t="shared" si="67"/>
        <v>0</v>
      </c>
      <c r="X240" s="1618">
        <f t="shared" si="67"/>
        <v>0</v>
      </c>
      <c r="Y240" s="1618">
        <f t="shared" si="67"/>
        <v>0</v>
      </c>
      <c r="Z240" s="1618">
        <f t="shared" si="67"/>
        <v>0</v>
      </c>
      <c r="AA240" s="1618">
        <f t="shared" si="67"/>
        <v>0</v>
      </c>
      <c r="AB240" s="1618">
        <f t="shared" si="67"/>
        <v>0</v>
      </c>
      <c r="AC240" s="1618"/>
      <c r="AD240" s="1618"/>
      <c r="AE240" s="1618"/>
      <c r="AF240" s="1618"/>
      <c r="AG240" s="1618"/>
      <c r="AH240" s="1618"/>
      <c r="AI240" s="1618"/>
      <c r="AJ240" s="1618"/>
      <c r="AK240" s="1618"/>
      <c r="AL240" s="1618"/>
      <c r="AM240" s="1618"/>
      <c r="AN240" s="1618"/>
      <c r="AO240" s="1618"/>
      <c r="AP240" s="1618"/>
      <c r="AQ240" s="1618"/>
      <c r="AR240" s="1618"/>
      <c r="AS240" s="1618"/>
      <c r="AT240" s="1618"/>
      <c r="AU240" s="1618"/>
      <c r="AV240" s="1618"/>
      <c r="AW240" s="1618"/>
      <c r="AX240" s="1618"/>
      <c r="AY240" s="1618"/>
      <c r="AZ240" s="1618"/>
      <c r="BA240" s="1618"/>
      <c r="BB240" s="1618"/>
      <c r="BC240" s="1618"/>
      <c r="BD240" s="1618"/>
      <c r="BE240" s="1618"/>
      <c r="BF240" s="1618"/>
      <c r="BG240" s="1001"/>
    </row>
    <row r="241" spans="1:59" s="1642" customFormat="1" x14ac:dyDescent="0.25">
      <c r="A241" s="1635"/>
      <c r="B241" s="1620" t="s">
        <v>1627</v>
      </c>
      <c r="C241" s="1703"/>
      <c r="D241" s="1674"/>
      <c r="E241" s="1673"/>
      <c r="F241" s="1675"/>
      <c r="G241" s="1673"/>
      <c r="H241" s="1673"/>
      <c r="I241" s="1676"/>
      <c r="J241" s="1676"/>
      <c r="K241" s="1676"/>
      <c r="L241" s="1676"/>
      <c r="M241" s="1676"/>
      <c r="N241" s="1676"/>
      <c r="O241" s="1676"/>
      <c r="P241" s="1676"/>
      <c r="Q241" s="1636"/>
      <c r="R241" s="1638">
        <f>F236</f>
        <v>7.0000000000000007E-2</v>
      </c>
      <c r="S241" s="1684">
        <f>R241</f>
        <v>7.0000000000000007E-2</v>
      </c>
      <c r="T241" s="1684">
        <f t="shared" ref="T241:AB241" si="68">S241</f>
        <v>7.0000000000000007E-2</v>
      </c>
      <c r="U241" s="1684">
        <f t="shared" si="68"/>
        <v>7.0000000000000007E-2</v>
      </c>
      <c r="V241" s="1684">
        <f t="shared" si="68"/>
        <v>7.0000000000000007E-2</v>
      </c>
      <c r="W241" s="1684">
        <f t="shared" si="68"/>
        <v>7.0000000000000007E-2</v>
      </c>
      <c r="X241" s="1684">
        <f t="shared" si="68"/>
        <v>7.0000000000000007E-2</v>
      </c>
      <c r="Y241" s="1684">
        <f t="shared" si="68"/>
        <v>7.0000000000000007E-2</v>
      </c>
      <c r="Z241" s="1684">
        <f t="shared" si="68"/>
        <v>7.0000000000000007E-2</v>
      </c>
      <c r="AA241" s="1684">
        <f t="shared" si="68"/>
        <v>7.0000000000000007E-2</v>
      </c>
      <c r="AB241" s="1684">
        <f t="shared" si="68"/>
        <v>7.0000000000000007E-2</v>
      </c>
      <c r="AC241" s="1684"/>
      <c r="AD241" s="1684"/>
      <c r="AE241" s="1684"/>
      <c r="AF241" s="1684"/>
      <c r="AG241" s="1684"/>
      <c r="AH241" s="1684"/>
      <c r="AI241" s="1684"/>
      <c r="AJ241" s="1684"/>
      <c r="AK241" s="1684"/>
      <c r="AL241" s="1684"/>
      <c r="AM241" s="1684"/>
      <c r="AN241" s="1684"/>
      <c r="AO241" s="1684"/>
      <c r="AP241" s="1684"/>
      <c r="AQ241" s="1684"/>
      <c r="AR241" s="1684"/>
      <c r="AS241" s="1684"/>
      <c r="AT241" s="1684"/>
      <c r="AU241" s="1684"/>
      <c r="AV241" s="1684"/>
      <c r="AW241" s="1684"/>
      <c r="AX241" s="1684"/>
      <c r="AY241" s="1684"/>
      <c r="AZ241" s="1684"/>
      <c r="BA241" s="1684"/>
      <c r="BB241" s="1684"/>
      <c r="BC241" s="1684"/>
      <c r="BD241" s="1684"/>
      <c r="BE241" s="1684"/>
      <c r="BF241" s="1684"/>
      <c r="BG241" s="1636"/>
    </row>
    <row r="242" spans="1:59" x14ac:dyDescent="0.25">
      <c r="B242" s="1620" t="s">
        <v>1616</v>
      </c>
      <c r="C242" s="1705"/>
      <c r="D242" s="1659"/>
      <c r="E242" s="1660"/>
      <c r="F242" s="1677"/>
      <c r="G242" s="1660"/>
      <c r="H242" s="1660"/>
      <c r="I242" s="1662"/>
      <c r="J242" s="1662"/>
      <c r="K242" s="1662"/>
      <c r="L242" s="1662"/>
      <c r="M242" s="1662"/>
      <c r="N242" s="1662"/>
      <c r="O242" s="1662"/>
      <c r="P242" s="1662"/>
      <c r="Q242" s="1001"/>
      <c r="R242" s="1636">
        <f>R241*AVERAGE(R237,R240)</f>
        <v>0</v>
      </c>
      <c r="S242" s="1641">
        <f t="shared" ref="S242:AB242" si="69">S241*AVERAGE(S237,S240)</f>
        <v>0</v>
      </c>
      <c r="T242" s="1641">
        <f t="shared" si="69"/>
        <v>0</v>
      </c>
      <c r="U242" s="1641">
        <f t="shared" si="69"/>
        <v>0</v>
      </c>
      <c r="V242" s="1641">
        <f t="shared" si="69"/>
        <v>0</v>
      </c>
      <c r="W242" s="1641">
        <f t="shared" si="69"/>
        <v>0</v>
      </c>
      <c r="X242" s="1641">
        <f t="shared" si="69"/>
        <v>0</v>
      </c>
      <c r="Y242" s="1641">
        <f t="shared" si="69"/>
        <v>0</v>
      </c>
      <c r="Z242" s="1641">
        <f t="shared" si="69"/>
        <v>0</v>
      </c>
      <c r="AA242" s="1641">
        <f t="shared" si="69"/>
        <v>0</v>
      </c>
      <c r="AB242" s="1641">
        <f t="shared" si="69"/>
        <v>0</v>
      </c>
      <c r="AC242" s="1641"/>
      <c r="AD242" s="1641"/>
      <c r="AE242" s="1641"/>
      <c r="AF242" s="1641"/>
      <c r="AG242" s="1641"/>
      <c r="AH242" s="1641"/>
      <c r="AI242" s="1641"/>
      <c r="AJ242" s="1641"/>
      <c r="AK242" s="1641"/>
      <c r="AL242" s="1641"/>
      <c r="AM242" s="1641"/>
      <c r="AN242" s="1641"/>
      <c r="AO242" s="1641"/>
      <c r="AP242" s="1641"/>
      <c r="AQ242" s="1641"/>
      <c r="AR242" s="1641"/>
      <c r="AS242" s="1641"/>
      <c r="AT242" s="1641"/>
      <c r="AU242" s="1641"/>
      <c r="AV242" s="1641"/>
      <c r="AW242" s="1641"/>
      <c r="AX242" s="1641"/>
      <c r="AY242" s="1641"/>
      <c r="AZ242" s="1641"/>
      <c r="BA242" s="1641"/>
      <c r="BB242" s="1641"/>
      <c r="BC242" s="1641"/>
      <c r="BD242" s="1641"/>
      <c r="BE242" s="1641"/>
      <c r="BF242" s="1641"/>
      <c r="BG242" s="1001"/>
    </row>
    <row r="244" spans="1:59" ht="14.4" thickBot="1" x14ac:dyDescent="0.3">
      <c r="A244" s="1592">
        <v>9</v>
      </c>
      <c r="B244" s="1644" t="s">
        <v>1688</v>
      </c>
      <c r="C244" s="1686"/>
      <c r="D244" s="1687"/>
      <c r="E244" s="1686"/>
      <c r="F244" s="1688"/>
      <c r="G244" s="1686"/>
      <c r="H244" s="1686"/>
      <c r="I244" s="1686"/>
      <c r="J244" s="1686"/>
      <c r="K244" s="1686"/>
      <c r="L244" s="1686"/>
      <c r="M244" s="1686"/>
      <c r="N244" s="1686"/>
      <c r="O244" s="1686"/>
      <c r="P244" s="1686"/>
      <c r="Q244" s="1001"/>
      <c r="R244" s="1689"/>
      <c r="S244" s="1686"/>
      <c r="T244" s="1686"/>
      <c r="U244" s="1686"/>
      <c r="V244" s="1686"/>
      <c r="W244" s="1686"/>
      <c r="X244" s="1686"/>
      <c r="Y244" s="1686"/>
      <c r="Z244" s="1686"/>
      <c r="AA244" s="1686"/>
      <c r="AB244" s="1686"/>
      <c r="AC244" s="1686"/>
      <c r="AD244" s="1686"/>
      <c r="AE244" s="1686"/>
      <c r="AF244" s="1686"/>
      <c r="AG244" s="1686"/>
      <c r="AH244" s="1686"/>
      <c r="AI244" s="1686"/>
      <c r="AJ244" s="1686"/>
      <c r="AK244" s="1686"/>
      <c r="AL244" s="1686"/>
      <c r="AM244" s="1686"/>
      <c r="AN244" s="1686"/>
      <c r="AO244" s="1686"/>
      <c r="AP244" s="1686"/>
      <c r="AQ244" s="1686"/>
      <c r="AR244" s="1686"/>
      <c r="AS244" s="1686"/>
      <c r="AT244" s="1686"/>
      <c r="AU244" s="1686"/>
      <c r="AV244" s="1686"/>
      <c r="AW244" s="1686"/>
      <c r="AX244" s="1686"/>
      <c r="AY244" s="1686"/>
      <c r="AZ244" s="1686"/>
      <c r="BA244" s="1686"/>
      <c r="BB244" s="1686"/>
      <c r="BC244" s="1686"/>
      <c r="BD244" s="1686"/>
      <c r="BE244" s="1686"/>
      <c r="BF244" s="1686"/>
      <c r="BG244" s="1001"/>
    </row>
    <row r="245" spans="1:59" x14ac:dyDescent="0.25">
      <c r="B245" s="1597"/>
      <c r="C245" s="1001"/>
      <c r="D245" s="1613"/>
      <c r="E245" s="1001"/>
      <c r="G245" s="1001"/>
      <c r="H245" s="1001"/>
      <c r="I245" s="1001"/>
      <c r="J245" s="1001"/>
      <c r="K245" s="1001"/>
      <c r="L245" s="1001"/>
      <c r="M245" s="1001"/>
      <c r="N245" s="1001"/>
      <c r="O245" s="1001"/>
      <c r="P245" s="1001"/>
      <c r="Q245" s="1001"/>
      <c r="S245" s="1001"/>
      <c r="T245" s="1001"/>
      <c r="U245" s="1001"/>
      <c r="V245" s="1001"/>
      <c r="W245" s="1001"/>
      <c r="X245" s="1001"/>
      <c r="Y245" s="1001"/>
      <c r="Z245" s="1001"/>
      <c r="AA245" s="1001"/>
      <c r="AB245" s="1001"/>
      <c r="AC245" s="1001"/>
      <c r="AD245" s="1001"/>
      <c r="AE245" s="1001"/>
      <c r="AF245" s="1001"/>
      <c r="AG245" s="1001"/>
      <c r="AH245" s="1001"/>
      <c r="AI245" s="1001"/>
      <c r="AJ245" s="1001"/>
      <c r="AK245" s="1001"/>
      <c r="AL245" s="1001"/>
      <c r="AM245" s="1001"/>
      <c r="AN245" s="1001"/>
      <c r="AO245" s="1001"/>
      <c r="AP245" s="1001"/>
      <c r="AQ245" s="1001"/>
      <c r="AR245" s="1001"/>
      <c r="AS245" s="1001"/>
      <c r="AT245" s="1001"/>
      <c r="AU245" s="1001"/>
      <c r="AV245" s="1001"/>
      <c r="AW245" s="1001"/>
      <c r="AX245" s="1001"/>
      <c r="AY245" s="1001"/>
      <c r="AZ245" s="1001"/>
      <c r="BA245" s="1001"/>
      <c r="BB245" s="1001"/>
      <c r="BC245" s="1001"/>
      <c r="BD245" s="1001"/>
      <c r="BE245" s="1001"/>
      <c r="BF245" s="1001"/>
      <c r="BG245" s="1001"/>
    </row>
    <row r="246" spans="1:59" x14ac:dyDescent="0.25">
      <c r="A246" s="1592" t="s">
        <v>443</v>
      </c>
      <c r="B246" s="1653" t="s">
        <v>1624</v>
      </c>
      <c r="C246" s="1762"/>
      <c r="D246" s="1775"/>
      <c r="E246" s="1762"/>
      <c r="F246" s="1763"/>
      <c r="G246" s="1762"/>
      <c r="H246" s="1762"/>
      <c r="I246" s="1762"/>
      <c r="J246" s="1762"/>
      <c r="K246" s="1762"/>
      <c r="L246" s="1762"/>
      <c r="M246" s="1762"/>
      <c r="N246" s="1762"/>
      <c r="O246" s="1762"/>
      <c r="P246" s="1762"/>
      <c r="Q246" s="1001"/>
      <c r="R246" s="1001"/>
      <c r="S246" s="1001"/>
      <c r="T246" s="1001"/>
      <c r="U246" s="1001"/>
      <c r="V246" s="1001"/>
      <c r="W246" s="1001"/>
      <c r="X246" s="1001"/>
      <c r="Y246" s="1001"/>
      <c r="Z246" s="1001"/>
      <c r="AA246" s="1001"/>
      <c r="AB246" s="1001"/>
      <c r="AC246" s="1001"/>
      <c r="AD246" s="1001"/>
      <c r="AE246" s="1001"/>
      <c r="AF246" s="1001"/>
      <c r="AG246" s="1001"/>
      <c r="AH246" s="1001"/>
      <c r="AI246" s="1001"/>
      <c r="AJ246" s="1001"/>
      <c r="AK246" s="1001"/>
      <c r="AL246" s="1001"/>
      <c r="AM246" s="1001"/>
      <c r="AN246" s="1001"/>
      <c r="AO246" s="1001"/>
      <c r="AP246" s="1001"/>
      <c r="AQ246" s="1001"/>
      <c r="AR246" s="1001"/>
      <c r="AS246" s="1001"/>
      <c r="AT246" s="1001"/>
      <c r="AU246" s="1001"/>
      <c r="AV246" s="1001"/>
      <c r="AW246" s="1001"/>
      <c r="AX246" s="1001"/>
      <c r="AY246" s="1001"/>
      <c r="AZ246" s="1001"/>
      <c r="BA246" s="1001"/>
      <c r="BB246" s="1001"/>
      <c r="BC246" s="1001"/>
      <c r="BD246" s="1001"/>
      <c r="BE246" s="1001"/>
      <c r="BF246" s="1001"/>
      <c r="BG246" s="1001"/>
    </row>
    <row r="247" spans="1:59" x14ac:dyDescent="0.25">
      <c r="B247" s="1657" t="s">
        <v>1672</v>
      </c>
      <c r="C247" s="1766">
        <v>0</v>
      </c>
      <c r="D247" s="1765">
        <v>47635</v>
      </c>
      <c r="E247" s="1766">
        <v>60</v>
      </c>
      <c r="F247" s="1677">
        <f>F236</f>
        <v>7.0000000000000007E-2</v>
      </c>
      <c r="G247" s="1660" t="s">
        <v>1626</v>
      </c>
      <c r="H247" s="1660">
        <v>0.5</v>
      </c>
      <c r="I247" s="1662"/>
      <c r="J247" s="1662"/>
      <c r="K247" s="1662"/>
      <c r="L247" s="1662"/>
      <c r="M247" s="1662"/>
      <c r="N247" s="1662"/>
      <c r="O247" s="1662"/>
      <c r="P247" s="1662"/>
      <c r="Q247" s="1001"/>
      <c r="R247" s="1001"/>
      <c r="S247" s="1001"/>
      <c r="T247" s="1001"/>
      <c r="U247" s="1001"/>
      <c r="V247" s="1001"/>
      <c r="W247" s="1001"/>
      <c r="X247" s="1001"/>
      <c r="Y247" s="1001"/>
      <c r="Z247" s="1001"/>
      <c r="AA247" s="1001"/>
      <c r="AB247" s="1001"/>
      <c r="AC247" s="1001"/>
      <c r="AD247" s="1001"/>
      <c r="AE247" s="1001"/>
      <c r="AF247" s="1001"/>
      <c r="AG247" s="1001"/>
      <c r="AH247" s="1001"/>
      <c r="AI247" s="1001"/>
      <c r="AJ247" s="1001"/>
      <c r="AK247" s="1001"/>
      <c r="AL247" s="1001"/>
      <c r="AM247" s="1001"/>
      <c r="AN247" s="1001"/>
      <c r="AO247" s="1001"/>
      <c r="AP247" s="1001"/>
      <c r="AQ247" s="1001"/>
      <c r="AR247" s="1001"/>
      <c r="AS247" s="1001"/>
      <c r="AT247" s="1001"/>
      <c r="AU247" s="1001"/>
      <c r="AV247" s="1001"/>
      <c r="AW247" s="1001"/>
      <c r="AX247" s="1001"/>
      <c r="AY247" s="1001"/>
      <c r="AZ247" s="1001"/>
      <c r="BA247" s="1001"/>
      <c r="BB247" s="1001"/>
      <c r="BC247" s="1001"/>
      <c r="BD247" s="1001"/>
      <c r="BE247" s="1001"/>
      <c r="BF247" s="1001"/>
      <c r="BG247" s="1001"/>
    </row>
    <row r="248" spans="1:59" x14ac:dyDescent="0.25">
      <c r="B248" s="1615" t="s">
        <v>1612</v>
      </c>
      <c r="C248" s="1660"/>
      <c r="D248" s="1659"/>
      <c r="E248" s="1660"/>
      <c r="F248" s="1677"/>
      <c r="G248" s="1660"/>
      <c r="H248" s="1660"/>
      <c r="I248" s="1662"/>
      <c r="J248" s="1662"/>
      <c r="K248" s="1662"/>
      <c r="L248" s="1662"/>
      <c r="M248" s="1662"/>
      <c r="N248" s="1662"/>
      <c r="O248" s="1662"/>
      <c r="P248" s="1662"/>
      <c r="Q248" s="1001"/>
      <c r="R248" s="1001">
        <f>'BS Raw'!L275/Debt!$B$1</f>
        <v>0</v>
      </c>
      <c r="S248" s="1618">
        <v>0</v>
      </c>
      <c r="T248" s="1618">
        <f t="shared" ref="T248:AB248" si="70">S251</f>
        <v>0</v>
      </c>
      <c r="U248" s="1618">
        <f t="shared" si="70"/>
        <v>0</v>
      </c>
      <c r="V248" s="1618">
        <f t="shared" si="70"/>
        <v>0</v>
      </c>
      <c r="W248" s="1618">
        <f t="shared" si="70"/>
        <v>0</v>
      </c>
      <c r="X248" s="1618">
        <f t="shared" si="70"/>
        <v>0</v>
      </c>
      <c r="Y248" s="1618">
        <f t="shared" si="70"/>
        <v>0</v>
      </c>
      <c r="Z248" s="1618">
        <f t="shared" si="70"/>
        <v>0</v>
      </c>
      <c r="AA248" s="1618">
        <f t="shared" si="70"/>
        <v>0</v>
      </c>
      <c r="AB248" s="1618">
        <f t="shared" si="70"/>
        <v>0</v>
      </c>
      <c r="AC248" s="1618"/>
      <c r="AD248" s="1618"/>
      <c r="AE248" s="1618"/>
      <c r="AF248" s="1618"/>
      <c r="AG248" s="1618"/>
      <c r="AH248" s="1618"/>
      <c r="AI248" s="1618"/>
      <c r="AJ248" s="1618"/>
      <c r="AK248" s="1618"/>
      <c r="AL248" s="1618"/>
      <c r="AM248" s="1618"/>
      <c r="AN248" s="1618"/>
      <c r="AO248" s="1618"/>
      <c r="AP248" s="1618"/>
      <c r="AQ248" s="1618"/>
      <c r="AR248" s="1618"/>
      <c r="AS248" s="1618"/>
      <c r="AT248" s="1618"/>
      <c r="AU248" s="1618"/>
      <c r="AV248" s="1618"/>
      <c r="AW248" s="1618"/>
      <c r="AX248" s="1618"/>
      <c r="AY248" s="1618"/>
      <c r="AZ248" s="1618"/>
      <c r="BA248" s="1618"/>
      <c r="BB248" s="1618"/>
      <c r="BC248" s="1618"/>
      <c r="BD248" s="1618"/>
      <c r="BE248" s="1618"/>
      <c r="BF248" s="1618"/>
      <c r="BG248" s="1001"/>
    </row>
    <row r="249" spans="1:59" x14ac:dyDescent="0.25">
      <c r="B249" s="1620" t="s">
        <v>1614</v>
      </c>
      <c r="C249" s="1660"/>
      <c r="D249" s="1659"/>
      <c r="E249" s="1660"/>
      <c r="F249" s="1677"/>
      <c r="G249" s="1660"/>
      <c r="H249" s="1660"/>
      <c r="I249" s="1662"/>
      <c r="J249" s="1662"/>
      <c r="K249" s="1662"/>
      <c r="L249" s="1662"/>
      <c r="M249" s="1662"/>
      <c r="N249" s="1662"/>
      <c r="O249" s="1662"/>
      <c r="P249" s="1662"/>
      <c r="Q249" s="1001"/>
      <c r="R249" s="1001"/>
      <c r="S249" s="1618">
        <f>IF(YEAR($D247)=YEAR(S$4),$C247,0)</f>
        <v>0</v>
      </c>
      <c r="T249" s="1618">
        <f>IF(YEAR($D247)=YEAR(T$4),$C247,0)</f>
        <v>0</v>
      </c>
      <c r="U249" s="1618">
        <f t="shared" ref="U249:AB249" si="71">IF(YEAR($D247)=YEAR(U$4),$C247,0)</f>
        <v>0</v>
      </c>
      <c r="V249" s="1618">
        <f t="shared" si="71"/>
        <v>0</v>
      </c>
      <c r="W249" s="1618">
        <f t="shared" si="71"/>
        <v>0</v>
      </c>
      <c r="X249" s="1618">
        <f t="shared" si="71"/>
        <v>0</v>
      </c>
      <c r="Y249" s="1618">
        <f t="shared" si="71"/>
        <v>0</v>
      </c>
      <c r="Z249" s="1618">
        <f t="shared" si="71"/>
        <v>0</v>
      </c>
      <c r="AA249" s="1618">
        <f t="shared" si="71"/>
        <v>0</v>
      </c>
      <c r="AB249" s="1618">
        <f t="shared" si="71"/>
        <v>0</v>
      </c>
      <c r="AC249" s="1618"/>
      <c r="AD249" s="1618"/>
      <c r="AE249" s="1618"/>
      <c r="AF249" s="1618"/>
      <c r="AG249" s="1618"/>
      <c r="AH249" s="1618"/>
      <c r="AI249" s="1618"/>
      <c r="AJ249" s="1618"/>
      <c r="AK249" s="1618"/>
      <c r="AL249" s="1618"/>
      <c r="AM249" s="1618"/>
      <c r="AN249" s="1618"/>
      <c r="AO249" s="1618"/>
      <c r="AP249" s="1618"/>
      <c r="AQ249" s="1618"/>
      <c r="AR249" s="1618"/>
      <c r="AS249" s="1618"/>
      <c r="AT249" s="1618"/>
      <c r="AU249" s="1618"/>
      <c r="AV249" s="1618"/>
      <c r="AW249" s="1618"/>
      <c r="AX249" s="1618"/>
      <c r="AY249" s="1618"/>
      <c r="AZ249" s="1618"/>
      <c r="BA249" s="1618"/>
      <c r="BB249" s="1618"/>
      <c r="BC249" s="1618"/>
      <c r="BD249" s="1618"/>
      <c r="BE249" s="1618"/>
      <c r="BF249" s="1618"/>
      <c r="BG249" s="1001"/>
    </row>
    <row r="250" spans="1:59" x14ac:dyDescent="0.25">
      <c r="B250" s="1620" t="s">
        <v>1613</v>
      </c>
      <c r="C250" s="1660"/>
      <c r="D250" s="1659"/>
      <c r="E250" s="1660"/>
      <c r="F250" s="1677"/>
      <c r="G250" s="1660"/>
      <c r="H250" s="1660"/>
      <c r="I250" s="1662"/>
      <c r="J250" s="1662"/>
      <c r="K250" s="1662"/>
      <c r="L250" s="1662"/>
      <c r="M250" s="1662"/>
      <c r="N250" s="1662"/>
      <c r="O250" s="1662"/>
      <c r="P250" s="1662"/>
      <c r="Q250" s="1001"/>
      <c r="R250" s="1001"/>
      <c r="S250" s="1618">
        <f>IF($C247=S249,$C247/($E247/12),MIN(R251,R250))</f>
        <v>0</v>
      </c>
      <c r="T250" s="1618">
        <f t="shared" ref="T250:AB250" si="72">IF($C247=T249,$C247/($E247/12),MIN(S251,S250))</f>
        <v>0</v>
      </c>
      <c r="U250" s="1618">
        <f t="shared" si="72"/>
        <v>0</v>
      </c>
      <c r="V250" s="1618">
        <f t="shared" si="72"/>
        <v>0</v>
      </c>
      <c r="W250" s="1618">
        <f t="shared" si="72"/>
        <v>0</v>
      </c>
      <c r="X250" s="1618">
        <f t="shared" si="72"/>
        <v>0</v>
      </c>
      <c r="Y250" s="1618">
        <f t="shared" si="72"/>
        <v>0</v>
      </c>
      <c r="Z250" s="1618">
        <f t="shared" si="72"/>
        <v>0</v>
      </c>
      <c r="AA250" s="1618">
        <f t="shared" si="72"/>
        <v>0</v>
      </c>
      <c r="AB250" s="1618">
        <f t="shared" si="72"/>
        <v>0</v>
      </c>
      <c r="AC250" s="1618"/>
      <c r="AD250" s="1618"/>
      <c r="AE250" s="1618"/>
      <c r="AF250" s="1618"/>
      <c r="AG250" s="1618"/>
      <c r="AH250" s="1618"/>
      <c r="AI250" s="1618"/>
      <c r="AJ250" s="1618"/>
      <c r="AK250" s="1618"/>
      <c r="AL250" s="1618"/>
      <c r="AM250" s="1618"/>
      <c r="AN250" s="1618"/>
      <c r="AO250" s="1618"/>
      <c r="AP250" s="1618"/>
      <c r="AQ250" s="1618"/>
      <c r="AR250" s="1618"/>
      <c r="AS250" s="1618"/>
      <c r="AT250" s="1618"/>
      <c r="AU250" s="1618"/>
      <c r="AV250" s="1618"/>
      <c r="AW250" s="1618"/>
      <c r="AX250" s="1618"/>
      <c r="AY250" s="1618"/>
      <c r="AZ250" s="1618"/>
      <c r="BA250" s="1618"/>
      <c r="BB250" s="1618"/>
      <c r="BC250" s="1618"/>
      <c r="BD250" s="1618"/>
      <c r="BE250" s="1618"/>
      <c r="BF250" s="1618"/>
      <c r="BG250" s="1001"/>
    </row>
    <row r="251" spans="1:59" x14ac:dyDescent="0.25">
      <c r="B251" s="1615" t="s">
        <v>1615</v>
      </c>
      <c r="C251" s="1660"/>
      <c r="D251" s="1659"/>
      <c r="E251" s="1660"/>
      <c r="F251" s="1677"/>
      <c r="G251" s="1660"/>
      <c r="H251" s="1660"/>
      <c r="I251" s="1662"/>
      <c r="J251" s="1662"/>
      <c r="K251" s="1662"/>
      <c r="L251" s="1662"/>
      <c r="M251" s="1662"/>
      <c r="N251" s="1662"/>
      <c r="O251" s="1662"/>
      <c r="P251" s="1662"/>
      <c r="Q251" s="1001"/>
      <c r="R251" s="1001">
        <f>'BS Raw'!M275/Debt!$B$1</f>
        <v>0</v>
      </c>
      <c r="S251" s="1618">
        <v>0</v>
      </c>
      <c r="T251" s="1618">
        <f t="shared" ref="T251:AB251" si="73">T248+T249-T250</f>
        <v>0</v>
      </c>
      <c r="U251" s="1618">
        <f t="shared" si="73"/>
        <v>0</v>
      </c>
      <c r="V251" s="1618">
        <f t="shared" si="73"/>
        <v>0</v>
      </c>
      <c r="W251" s="1618">
        <f t="shared" si="73"/>
        <v>0</v>
      </c>
      <c r="X251" s="1618">
        <f t="shared" si="73"/>
        <v>0</v>
      </c>
      <c r="Y251" s="1618">
        <f t="shared" si="73"/>
        <v>0</v>
      </c>
      <c r="Z251" s="1618">
        <f t="shared" si="73"/>
        <v>0</v>
      </c>
      <c r="AA251" s="1618">
        <f t="shared" si="73"/>
        <v>0</v>
      </c>
      <c r="AB251" s="1618">
        <f t="shared" si="73"/>
        <v>0</v>
      </c>
      <c r="AC251" s="1618"/>
      <c r="AD251" s="1618"/>
      <c r="AE251" s="1618"/>
      <c r="AF251" s="1618"/>
      <c r="AG251" s="1618"/>
      <c r="AH251" s="1618"/>
      <c r="AI251" s="1618"/>
      <c r="AJ251" s="1618"/>
      <c r="AK251" s="1618"/>
      <c r="AL251" s="1618"/>
      <c r="AM251" s="1618"/>
      <c r="AN251" s="1618"/>
      <c r="AO251" s="1618"/>
      <c r="AP251" s="1618"/>
      <c r="AQ251" s="1618"/>
      <c r="AR251" s="1618"/>
      <c r="AS251" s="1618"/>
      <c r="AT251" s="1618"/>
      <c r="AU251" s="1618"/>
      <c r="AV251" s="1618"/>
      <c r="AW251" s="1618"/>
      <c r="AX251" s="1618"/>
      <c r="AY251" s="1618"/>
      <c r="AZ251" s="1618"/>
      <c r="BA251" s="1618"/>
      <c r="BB251" s="1618"/>
      <c r="BC251" s="1618"/>
      <c r="BD251" s="1618"/>
      <c r="BE251" s="1618"/>
      <c r="BF251" s="1618"/>
      <c r="BG251" s="1001"/>
    </row>
    <row r="252" spans="1:59" s="1642" customFormat="1" x14ac:dyDescent="0.25">
      <c r="A252" s="1635"/>
      <c r="B252" s="1620" t="s">
        <v>1627</v>
      </c>
      <c r="C252" s="1703"/>
      <c r="D252" s="1674"/>
      <c r="E252" s="1673"/>
      <c r="F252" s="1675"/>
      <c r="G252" s="1673"/>
      <c r="H252" s="1673"/>
      <c r="I252" s="1676"/>
      <c r="J252" s="1676"/>
      <c r="K252" s="1676"/>
      <c r="L252" s="1676"/>
      <c r="M252" s="1676"/>
      <c r="N252" s="1676"/>
      <c r="O252" s="1676"/>
      <c r="P252" s="1676"/>
      <c r="Q252" s="1636"/>
      <c r="R252" s="1638">
        <f>F247</f>
        <v>7.0000000000000007E-2</v>
      </c>
      <c r="S252" s="1684">
        <f>R252</f>
        <v>7.0000000000000007E-2</v>
      </c>
      <c r="T252" s="1684">
        <f t="shared" ref="T252:AB252" si="74">S252</f>
        <v>7.0000000000000007E-2</v>
      </c>
      <c r="U252" s="1684">
        <f t="shared" si="74"/>
        <v>7.0000000000000007E-2</v>
      </c>
      <c r="V252" s="1684">
        <f t="shared" si="74"/>
        <v>7.0000000000000007E-2</v>
      </c>
      <c r="W252" s="1684">
        <f t="shared" si="74"/>
        <v>7.0000000000000007E-2</v>
      </c>
      <c r="X252" s="1684">
        <f t="shared" si="74"/>
        <v>7.0000000000000007E-2</v>
      </c>
      <c r="Y252" s="1684">
        <f t="shared" si="74"/>
        <v>7.0000000000000007E-2</v>
      </c>
      <c r="Z252" s="1684">
        <f t="shared" si="74"/>
        <v>7.0000000000000007E-2</v>
      </c>
      <c r="AA252" s="1684">
        <f t="shared" si="74"/>
        <v>7.0000000000000007E-2</v>
      </c>
      <c r="AB252" s="1684">
        <f t="shared" si="74"/>
        <v>7.0000000000000007E-2</v>
      </c>
      <c r="AC252" s="1684"/>
      <c r="AD252" s="1684"/>
      <c r="AE252" s="1684"/>
      <c r="AF252" s="1684"/>
      <c r="AG252" s="1684"/>
      <c r="AH252" s="1684"/>
      <c r="AI252" s="1684"/>
      <c r="AJ252" s="1684"/>
      <c r="AK252" s="1684"/>
      <c r="AL252" s="1684"/>
      <c r="AM252" s="1684"/>
      <c r="AN252" s="1684"/>
      <c r="AO252" s="1684"/>
      <c r="AP252" s="1684"/>
      <c r="AQ252" s="1684"/>
      <c r="AR252" s="1684"/>
      <c r="AS252" s="1684"/>
      <c r="AT252" s="1684"/>
      <c r="AU252" s="1684"/>
      <c r="AV252" s="1684"/>
      <c r="AW252" s="1684"/>
      <c r="AX252" s="1684"/>
      <c r="AY252" s="1684"/>
      <c r="AZ252" s="1684"/>
      <c r="BA252" s="1684"/>
      <c r="BB252" s="1684"/>
      <c r="BC252" s="1684"/>
      <c r="BD252" s="1684"/>
      <c r="BE252" s="1684"/>
      <c r="BF252" s="1684"/>
      <c r="BG252" s="1636"/>
    </row>
    <row r="253" spans="1:59" x14ac:dyDescent="0.25">
      <c r="B253" s="1620" t="s">
        <v>1616</v>
      </c>
      <c r="C253" s="1705"/>
      <c r="D253" s="1659"/>
      <c r="E253" s="1660"/>
      <c r="F253" s="1677"/>
      <c r="G253" s="1660"/>
      <c r="H253" s="1660"/>
      <c r="I253" s="1662"/>
      <c r="J253" s="1662"/>
      <c r="K253" s="1662"/>
      <c r="L253" s="1662"/>
      <c r="M253" s="1662"/>
      <c r="N253" s="1662"/>
      <c r="O253" s="1662"/>
      <c r="P253" s="1662"/>
      <c r="Q253" s="1001"/>
      <c r="R253" s="1636">
        <f>R252*AVERAGE(R248,R251)</f>
        <v>0</v>
      </c>
      <c r="S253" s="1641">
        <f t="shared" ref="S253:AB253" si="75">S252*AVERAGE(S248,S251)</f>
        <v>0</v>
      </c>
      <c r="T253" s="1641">
        <f t="shared" si="75"/>
        <v>0</v>
      </c>
      <c r="U253" s="1641">
        <f t="shared" si="75"/>
        <v>0</v>
      </c>
      <c r="V253" s="1641">
        <f t="shared" si="75"/>
        <v>0</v>
      </c>
      <c r="W253" s="1641">
        <f t="shared" si="75"/>
        <v>0</v>
      </c>
      <c r="X253" s="1641">
        <f t="shared" si="75"/>
        <v>0</v>
      </c>
      <c r="Y253" s="1641">
        <f t="shared" si="75"/>
        <v>0</v>
      </c>
      <c r="Z253" s="1641">
        <f t="shared" si="75"/>
        <v>0</v>
      </c>
      <c r="AA253" s="1641">
        <f t="shared" si="75"/>
        <v>0</v>
      </c>
      <c r="AB253" s="1641">
        <f t="shared" si="75"/>
        <v>0</v>
      </c>
      <c r="AC253" s="1641"/>
      <c r="AD253" s="1641"/>
      <c r="AE253" s="1641"/>
      <c r="AF253" s="1641"/>
      <c r="AG253" s="1641"/>
      <c r="AH253" s="1641"/>
      <c r="AI253" s="1641"/>
      <c r="AJ253" s="1641"/>
      <c r="AK253" s="1641"/>
      <c r="AL253" s="1641"/>
      <c r="AM253" s="1641"/>
      <c r="AN253" s="1641"/>
      <c r="AO253" s="1641"/>
      <c r="AP253" s="1641"/>
      <c r="AQ253" s="1641"/>
      <c r="AR253" s="1641"/>
      <c r="AS253" s="1641"/>
      <c r="AT253" s="1641"/>
      <c r="AU253" s="1641"/>
      <c r="AV253" s="1641"/>
      <c r="AW253" s="1641"/>
      <c r="AX253" s="1641"/>
      <c r="AY253" s="1641"/>
      <c r="AZ253" s="1641"/>
      <c r="BA253" s="1641"/>
      <c r="BB253" s="1641"/>
      <c r="BC253" s="1641"/>
      <c r="BD253" s="1641"/>
      <c r="BE253" s="1641"/>
      <c r="BF253" s="1641"/>
      <c r="BG253" s="1001"/>
    </row>
    <row r="255" spans="1:59" ht="14.4" thickBot="1" x14ac:dyDescent="0.3">
      <c r="A255" s="1592">
        <v>10</v>
      </c>
      <c r="B255" s="1644" t="s">
        <v>1689</v>
      </c>
      <c r="C255" s="1686"/>
      <c r="D255" s="1687"/>
      <c r="E255" s="1686"/>
      <c r="F255" s="1688"/>
      <c r="G255" s="1686"/>
      <c r="H255" s="1686"/>
      <c r="I255" s="1686"/>
      <c r="J255" s="1686"/>
      <c r="K255" s="1686"/>
      <c r="L255" s="1686"/>
      <c r="M255" s="1686"/>
      <c r="N255" s="1686"/>
      <c r="O255" s="1686"/>
      <c r="P255" s="1686"/>
      <c r="Q255" s="1001"/>
      <c r="R255" s="1689"/>
      <c r="S255" s="1686"/>
      <c r="T255" s="1686"/>
      <c r="U255" s="1686"/>
      <c r="V255" s="1686"/>
      <c r="W255" s="1686"/>
      <c r="X255" s="1686"/>
      <c r="Y255" s="1686"/>
      <c r="Z255" s="1686"/>
      <c r="AA255" s="1686"/>
      <c r="AB255" s="1686"/>
      <c r="AC255" s="1686"/>
      <c r="AD255" s="1686"/>
      <c r="AE255" s="1686"/>
      <c r="AF255" s="1686"/>
      <c r="AG255" s="1686"/>
      <c r="AH255" s="1686"/>
      <c r="AI255" s="1686"/>
      <c r="AJ255" s="1686"/>
      <c r="AK255" s="1686"/>
      <c r="AL255" s="1686"/>
      <c r="AM255" s="1686"/>
      <c r="AN255" s="1686"/>
      <c r="AO255" s="1686"/>
      <c r="AP255" s="1686"/>
      <c r="AQ255" s="1686"/>
      <c r="AR255" s="1686"/>
      <c r="AS255" s="1686"/>
      <c r="AT255" s="1686"/>
      <c r="AU255" s="1686"/>
      <c r="AV255" s="1686"/>
      <c r="AW255" s="1686"/>
      <c r="AX255" s="1686"/>
      <c r="AY255" s="1686"/>
      <c r="AZ255" s="1686"/>
      <c r="BA255" s="1686"/>
      <c r="BB255" s="1686"/>
      <c r="BC255" s="1686"/>
      <c r="BD255" s="1686"/>
      <c r="BE255" s="1686"/>
      <c r="BF255" s="1686"/>
      <c r="BG255" s="1001"/>
    </row>
    <row r="256" spans="1:59" x14ac:dyDescent="0.25">
      <c r="B256" s="1597"/>
      <c r="C256" s="1001"/>
      <c r="D256" s="1613"/>
      <c r="E256" s="1001"/>
      <c r="G256" s="1001"/>
      <c r="H256" s="1001"/>
      <c r="I256" s="1001"/>
      <c r="J256" s="1001"/>
      <c r="K256" s="1001"/>
      <c r="L256" s="1001"/>
      <c r="M256" s="1001"/>
      <c r="N256" s="1001"/>
      <c r="O256" s="1001"/>
      <c r="P256" s="1001"/>
      <c r="Q256" s="1001"/>
      <c r="S256" s="1001"/>
      <c r="T256" s="1001"/>
      <c r="U256" s="1001"/>
      <c r="V256" s="1001"/>
      <c r="W256" s="1001"/>
      <c r="X256" s="1001"/>
      <c r="Y256" s="1001"/>
      <c r="Z256" s="1001"/>
      <c r="AA256" s="1001"/>
      <c r="AB256" s="1001"/>
      <c r="AC256" s="1001"/>
      <c r="AD256" s="1001"/>
      <c r="AE256" s="1001"/>
      <c r="AF256" s="1001"/>
      <c r="AG256" s="1001"/>
      <c r="AH256" s="1001"/>
      <c r="AI256" s="1001"/>
      <c r="AJ256" s="1001"/>
      <c r="AK256" s="1001"/>
      <c r="AL256" s="1001"/>
      <c r="AM256" s="1001"/>
      <c r="AN256" s="1001"/>
      <c r="AO256" s="1001"/>
      <c r="AP256" s="1001"/>
      <c r="AQ256" s="1001"/>
      <c r="AR256" s="1001"/>
      <c r="AS256" s="1001"/>
      <c r="AT256" s="1001"/>
      <c r="AU256" s="1001"/>
      <c r="AV256" s="1001"/>
      <c r="AW256" s="1001"/>
      <c r="AX256" s="1001"/>
      <c r="AY256" s="1001"/>
      <c r="AZ256" s="1001"/>
      <c r="BA256" s="1001"/>
      <c r="BB256" s="1001"/>
      <c r="BC256" s="1001"/>
      <c r="BD256" s="1001"/>
      <c r="BE256" s="1001"/>
      <c r="BF256" s="1001"/>
      <c r="BG256" s="1001"/>
    </row>
    <row r="257" spans="1:59" x14ac:dyDescent="0.25">
      <c r="A257" s="1592" t="s">
        <v>1690</v>
      </c>
      <c r="B257" s="1653" t="s">
        <v>1624</v>
      </c>
      <c r="C257" s="1762"/>
      <c r="D257" s="1775"/>
      <c r="E257" s="1762"/>
      <c r="F257" s="1763"/>
      <c r="G257" s="1762"/>
      <c r="H257" s="1762"/>
      <c r="I257" s="1762"/>
      <c r="J257" s="1762"/>
      <c r="K257" s="1762"/>
      <c r="L257" s="1762"/>
      <c r="M257" s="1762"/>
      <c r="N257" s="1762"/>
      <c r="O257" s="1762"/>
      <c r="P257" s="1762"/>
      <c r="Q257" s="1001"/>
      <c r="R257" s="1001"/>
      <c r="S257" s="1001"/>
      <c r="T257" s="1001"/>
      <c r="U257" s="1001"/>
      <c r="V257" s="1001"/>
      <c r="W257" s="1001"/>
      <c r="X257" s="1001"/>
      <c r="Y257" s="1001"/>
      <c r="Z257" s="1001"/>
      <c r="AA257" s="1001"/>
      <c r="AB257" s="1001"/>
      <c r="AC257" s="1001"/>
      <c r="AD257" s="1001"/>
      <c r="AE257" s="1001"/>
      <c r="AF257" s="1001"/>
      <c r="AG257" s="1001"/>
      <c r="AH257" s="1001"/>
      <c r="AI257" s="1001"/>
      <c r="AJ257" s="1001"/>
      <c r="AK257" s="1001"/>
      <c r="AL257" s="1001"/>
      <c r="AM257" s="1001"/>
      <c r="AN257" s="1001"/>
      <c r="AO257" s="1001"/>
      <c r="AP257" s="1001"/>
      <c r="AQ257" s="1001"/>
      <c r="AR257" s="1001"/>
      <c r="AS257" s="1001"/>
      <c r="AT257" s="1001"/>
      <c r="AU257" s="1001"/>
      <c r="AV257" s="1001"/>
      <c r="AW257" s="1001"/>
      <c r="AX257" s="1001"/>
      <c r="AY257" s="1001"/>
      <c r="AZ257" s="1001"/>
      <c r="BA257" s="1001"/>
      <c r="BB257" s="1001"/>
      <c r="BC257" s="1001"/>
      <c r="BD257" s="1001"/>
      <c r="BE257" s="1001"/>
      <c r="BF257" s="1001"/>
      <c r="BG257" s="1001"/>
    </row>
    <row r="258" spans="1:59" x14ac:dyDescent="0.25">
      <c r="B258" s="1657" t="s">
        <v>1672</v>
      </c>
      <c r="C258" s="1766">
        <v>0</v>
      </c>
      <c r="D258" s="1765">
        <v>48000</v>
      </c>
      <c r="E258" s="1766">
        <v>60</v>
      </c>
      <c r="F258" s="1677">
        <f>F247</f>
        <v>7.0000000000000007E-2</v>
      </c>
      <c r="G258" s="1660" t="s">
        <v>1626</v>
      </c>
      <c r="H258" s="1660">
        <v>0.5</v>
      </c>
      <c r="I258" s="1662"/>
      <c r="J258" s="1662"/>
      <c r="K258" s="1662"/>
      <c r="L258" s="1662"/>
      <c r="M258" s="1662"/>
      <c r="N258" s="1662"/>
      <c r="O258" s="1662"/>
      <c r="P258" s="1662"/>
      <c r="Q258" s="1001"/>
      <c r="R258" s="1001"/>
      <c r="S258" s="1001"/>
      <c r="T258" s="1001"/>
      <c r="U258" s="1001"/>
      <c r="V258" s="1001"/>
      <c r="W258" s="1001"/>
      <c r="X258" s="1001"/>
      <c r="Y258" s="1001"/>
      <c r="Z258" s="1001"/>
      <c r="AA258" s="1001"/>
      <c r="AB258" s="1001"/>
      <c r="AC258" s="1001"/>
      <c r="AD258" s="1001"/>
      <c r="AE258" s="1001"/>
      <c r="AF258" s="1001"/>
      <c r="AG258" s="1001"/>
      <c r="AH258" s="1001"/>
      <c r="AI258" s="1001"/>
      <c r="AJ258" s="1001"/>
      <c r="AK258" s="1001"/>
      <c r="AL258" s="1001"/>
      <c r="AM258" s="1001"/>
      <c r="AN258" s="1001"/>
      <c r="AO258" s="1001"/>
      <c r="AP258" s="1001"/>
      <c r="AQ258" s="1001"/>
      <c r="AR258" s="1001"/>
      <c r="AS258" s="1001"/>
      <c r="AT258" s="1001"/>
      <c r="AU258" s="1001"/>
      <c r="AV258" s="1001"/>
      <c r="AW258" s="1001"/>
      <c r="AX258" s="1001"/>
      <c r="AY258" s="1001"/>
      <c r="AZ258" s="1001"/>
      <c r="BA258" s="1001"/>
      <c r="BB258" s="1001"/>
      <c r="BC258" s="1001"/>
      <c r="BD258" s="1001"/>
      <c r="BE258" s="1001"/>
      <c r="BF258" s="1001"/>
      <c r="BG258" s="1001"/>
    </row>
    <row r="259" spans="1:59" x14ac:dyDescent="0.25">
      <c r="B259" s="1615" t="s">
        <v>1612</v>
      </c>
      <c r="C259" s="1660"/>
      <c r="D259" s="1659"/>
      <c r="E259" s="1660"/>
      <c r="F259" s="1677"/>
      <c r="G259" s="1660"/>
      <c r="H259" s="1660"/>
      <c r="I259" s="1662"/>
      <c r="J259" s="1662"/>
      <c r="K259" s="1662"/>
      <c r="L259" s="1662"/>
      <c r="M259" s="1662"/>
      <c r="N259" s="1662"/>
      <c r="O259" s="1662"/>
      <c r="P259" s="1662"/>
      <c r="Q259" s="1001"/>
      <c r="R259" s="1001">
        <f>'BS Raw'!L286/Debt!$B$1</f>
        <v>0</v>
      </c>
      <c r="S259" s="1618">
        <v>0</v>
      </c>
      <c r="T259" s="1618">
        <f t="shared" ref="T259:AB259" si="76">S262</f>
        <v>0</v>
      </c>
      <c r="U259" s="1618">
        <f t="shared" si="76"/>
        <v>0</v>
      </c>
      <c r="V259" s="1618">
        <f t="shared" si="76"/>
        <v>0</v>
      </c>
      <c r="W259" s="1618">
        <f t="shared" si="76"/>
        <v>0</v>
      </c>
      <c r="X259" s="1618">
        <f t="shared" si="76"/>
        <v>0</v>
      </c>
      <c r="Y259" s="1618">
        <f t="shared" si="76"/>
        <v>0</v>
      </c>
      <c r="Z259" s="1618">
        <f t="shared" si="76"/>
        <v>0</v>
      </c>
      <c r="AA259" s="1618">
        <f t="shared" si="76"/>
        <v>0</v>
      </c>
      <c r="AB259" s="1618">
        <f t="shared" si="76"/>
        <v>0</v>
      </c>
      <c r="AC259" s="1618"/>
      <c r="AD259" s="1618"/>
      <c r="AE259" s="1618"/>
      <c r="AF259" s="1618"/>
      <c r="AG259" s="1618"/>
      <c r="AH259" s="1618"/>
      <c r="AI259" s="1618"/>
      <c r="AJ259" s="1618"/>
      <c r="AK259" s="1618"/>
      <c r="AL259" s="1618"/>
      <c r="AM259" s="1618"/>
      <c r="AN259" s="1618"/>
      <c r="AO259" s="1618"/>
      <c r="AP259" s="1618"/>
      <c r="AQ259" s="1618"/>
      <c r="AR259" s="1618"/>
      <c r="AS259" s="1618"/>
      <c r="AT259" s="1618"/>
      <c r="AU259" s="1618"/>
      <c r="AV259" s="1618"/>
      <c r="AW259" s="1618"/>
      <c r="AX259" s="1618"/>
      <c r="AY259" s="1618"/>
      <c r="AZ259" s="1618"/>
      <c r="BA259" s="1618"/>
      <c r="BB259" s="1618"/>
      <c r="BC259" s="1618"/>
      <c r="BD259" s="1618"/>
      <c r="BE259" s="1618"/>
      <c r="BF259" s="1618"/>
      <c r="BG259" s="1001"/>
    </row>
    <row r="260" spans="1:59" x14ac:dyDescent="0.25">
      <c r="B260" s="1620" t="s">
        <v>1614</v>
      </c>
      <c r="C260" s="1660"/>
      <c r="D260" s="1659"/>
      <c r="E260" s="1660"/>
      <c r="F260" s="1677"/>
      <c r="G260" s="1660"/>
      <c r="H260" s="1660"/>
      <c r="I260" s="1662"/>
      <c r="J260" s="1662"/>
      <c r="K260" s="1662"/>
      <c r="L260" s="1662"/>
      <c r="M260" s="1662"/>
      <c r="N260" s="1662"/>
      <c r="O260" s="1662"/>
      <c r="P260" s="1662"/>
      <c r="Q260" s="1001"/>
      <c r="R260" s="1001"/>
      <c r="S260" s="1618">
        <f>IF(YEAR($D258)=YEAR(S$4),$C258,0)</f>
        <v>0</v>
      </c>
      <c r="T260" s="1618">
        <f>IF(YEAR($D258)=YEAR(T$4),$C258,0)</f>
        <v>0</v>
      </c>
      <c r="U260" s="1618">
        <f t="shared" ref="U260:AB260" si="77">IF(YEAR($D258)=YEAR(U$4),$C258,0)</f>
        <v>0</v>
      </c>
      <c r="V260" s="1618">
        <f t="shared" si="77"/>
        <v>0</v>
      </c>
      <c r="W260" s="1618">
        <f t="shared" si="77"/>
        <v>0</v>
      </c>
      <c r="X260" s="1618">
        <f t="shared" si="77"/>
        <v>0</v>
      </c>
      <c r="Y260" s="1618">
        <f t="shared" si="77"/>
        <v>0</v>
      </c>
      <c r="Z260" s="1618">
        <f t="shared" si="77"/>
        <v>0</v>
      </c>
      <c r="AA260" s="1618">
        <f t="shared" si="77"/>
        <v>0</v>
      </c>
      <c r="AB260" s="1618">
        <f t="shared" si="77"/>
        <v>0</v>
      </c>
      <c r="AC260" s="1618"/>
      <c r="AD260" s="1618"/>
      <c r="AE260" s="1618"/>
      <c r="AF260" s="1618"/>
      <c r="AG260" s="1618"/>
      <c r="AH260" s="1618"/>
      <c r="AI260" s="1618"/>
      <c r="AJ260" s="1618"/>
      <c r="AK260" s="1618"/>
      <c r="AL260" s="1618"/>
      <c r="AM260" s="1618"/>
      <c r="AN260" s="1618"/>
      <c r="AO260" s="1618"/>
      <c r="AP260" s="1618"/>
      <c r="AQ260" s="1618"/>
      <c r="AR260" s="1618"/>
      <c r="AS260" s="1618"/>
      <c r="AT260" s="1618"/>
      <c r="AU260" s="1618"/>
      <c r="AV260" s="1618"/>
      <c r="AW260" s="1618"/>
      <c r="AX260" s="1618"/>
      <c r="AY260" s="1618"/>
      <c r="AZ260" s="1618"/>
      <c r="BA260" s="1618"/>
      <c r="BB260" s="1618"/>
      <c r="BC260" s="1618"/>
      <c r="BD260" s="1618"/>
      <c r="BE260" s="1618"/>
      <c r="BF260" s="1618"/>
      <c r="BG260" s="1001"/>
    </row>
    <row r="261" spans="1:59" x14ac:dyDescent="0.25">
      <c r="B261" s="1620" t="s">
        <v>1613</v>
      </c>
      <c r="C261" s="1660"/>
      <c r="D261" s="1659"/>
      <c r="E261" s="1660"/>
      <c r="F261" s="1677"/>
      <c r="G261" s="1660"/>
      <c r="H261" s="1660"/>
      <c r="I261" s="1662"/>
      <c r="J261" s="1662"/>
      <c r="K261" s="1662"/>
      <c r="L261" s="1662"/>
      <c r="M261" s="1662"/>
      <c r="N261" s="1662"/>
      <c r="O261" s="1662"/>
      <c r="P261" s="1662"/>
      <c r="Q261" s="1001"/>
      <c r="R261" s="1001"/>
      <c r="S261" s="1618">
        <f>IF($C258=S260,$C258/($E258/12),MIN(R262,R261))</f>
        <v>0</v>
      </c>
      <c r="T261" s="1618">
        <f t="shared" ref="T261:AB261" si="78">IF($C258=T260,$C258/($E258/12),MIN(S262,S261))</f>
        <v>0</v>
      </c>
      <c r="U261" s="1618">
        <f t="shared" si="78"/>
        <v>0</v>
      </c>
      <c r="V261" s="1618">
        <f t="shared" si="78"/>
        <v>0</v>
      </c>
      <c r="W261" s="1618">
        <f t="shared" si="78"/>
        <v>0</v>
      </c>
      <c r="X261" s="1618">
        <f t="shared" si="78"/>
        <v>0</v>
      </c>
      <c r="Y261" s="1618">
        <f t="shared" si="78"/>
        <v>0</v>
      </c>
      <c r="Z261" s="1618">
        <f t="shared" si="78"/>
        <v>0</v>
      </c>
      <c r="AA261" s="1618">
        <f t="shared" si="78"/>
        <v>0</v>
      </c>
      <c r="AB261" s="1618">
        <f t="shared" si="78"/>
        <v>0</v>
      </c>
      <c r="AC261" s="1618"/>
      <c r="AD261" s="1618"/>
      <c r="AE261" s="1618"/>
      <c r="AF261" s="1618"/>
      <c r="AG261" s="1618"/>
      <c r="AH261" s="1618"/>
      <c r="AI261" s="1618"/>
      <c r="AJ261" s="1618"/>
      <c r="AK261" s="1618"/>
      <c r="AL261" s="1618"/>
      <c r="AM261" s="1618"/>
      <c r="AN261" s="1618"/>
      <c r="AO261" s="1618"/>
      <c r="AP261" s="1618"/>
      <c r="AQ261" s="1618"/>
      <c r="AR261" s="1618"/>
      <c r="AS261" s="1618"/>
      <c r="AT261" s="1618"/>
      <c r="AU261" s="1618"/>
      <c r="AV261" s="1618"/>
      <c r="AW261" s="1618"/>
      <c r="AX261" s="1618"/>
      <c r="AY261" s="1618"/>
      <c r="AZ261" s="1618"/>
      <c r="BA261" s="1618"/>
      <c r="BB261" s="1618"/>
      <c r="BC261" s="1618"/>
      <c r="BD261" s="1618"/>
      <c r="BE261" s="1618"/>
      <c r="BF261" s="1618"/>
      <c r="BG261" s="1001"/>
    </row>
    <row r="262" spans="1:59" x14ac:dyDescent="0.25">
      <c r="B262" s="1615" t="s">
        <v>1615</v>
      </c>
      <c r="C262" s="1660"/>
      <c r="D262" s="1659"/>
      <c r="E262" s="1660"/>
      <c r="F262" s="1677"/>
      <c r="G262" s="1660"/>
      <c r="H262" s="1660"/>
      <c r="I262" s="1662"/>
      <c r="J262" s="1662"/>
      <c r="K262" s="1662"/>
      <c r="L262" s="1662"/>
      <c r="M262" s="1662"/>
      <c r="N262" s="1662"/>
      <c r="O262" s="1662"/>
      <c r="P262" s="1662"/>
      <c r="Q262" s="1001"/>
      <c r="R262" s="1001">
        <f>'BS Raw'!M286/Debt!$B$1</f>
        <v>0</v>
      </c>
      <c r="S262" s="1618">
        <v>0</v>
      </c>
      <c r="T262" s="1618">
        <f t="shared" ref="T262:AB262" si="79">T259+T260-T261</f>
        <v>0</v>
      </c>
      <c r="U262" s="1618">
        <f t="shared" si="79"/>
        <v>0</v>
      </c>
      <c r="V262" s="1618">
        <f t="shared" si="79"/>
        <v>0</v>
      </c>
      <c r="W262" s="1618">
        <f t="shared" si="79"/>
        <v>0</v>
      </c>
      <c r="X262" s="1618">
        <f t="shared" si="79"/>
        <v>0</v>
      </c>
      <c r="Y262" s="1618">
        <f t="shared" si="79"/>
        <v>0</v>
      </c>
      <c r="Z262" s="1618">
        <f t="shared" si="79"/>
        <v>0</v>
      </c>
      <c r="AA262" s="1618">
        <f t="shared" si="79"/>
        <v>0</v>
      </c>
      <c r="AB262" s="1618">
        <f t="shared" si="79"/>
        <v>0</v>
      </c>
      <c r="AC262" s="1618"/>
      <c r="AD262" s="1618"/>
      <c r="AE262" s="1618"/>
      <c r="AF262" s="1618"/>
      <c r="AG262" s="1618"/>
      <c r="AH262" s="1618"/>
      <c r="AI262" s="1618"/>
      <c r="AJ262" s="1618"/>
      <c r="AK262" s="1618"/>
      <c r="AL262" s="1618"/>
      <c r="AM262" s="1618"/>
      <c r="AN262" s="1618"/>
      <c r="AO262" s="1618"/>
      <c r="AP262" s="1618"/>
      <c r="AQ262" s="1618"/>
      <c r="AR262" s="1618"/>
      <c r="AS262" s="1618"/>
      <c r="AT262" s="1618"/>
      <c r="AU262" s="1618"/>
      <c r="AV262" s="1618"/>
      <c r="AW262" s="1618"/>
      <c r="AX262" s="1618"/>
      <c r="AY262" s="1618"/>
      <c r="AZ262" s="1618"/>
      <c r="BA262" s="1618"/>
      <c r="BB262" s="1618"/>
      <c r="BC262" s="1618"/>
      <c r="BD262" s="1618"/>
      <c r="BE262" s="1618"/>
      <c r="BF262" s="1618"/>
      <c r="BG262" s="1001"/>
    </row>
    <row r="263" spans="1:59" s="1642" customFormat="1" x14ac:dyDescent="0.25">
      <c r="A263" s="1635"/>
      <c r="B263" s="1620" t="s">
        <v>1627</v>
      </c>
      <c r="C263" s="1703"/>
      <c r="D263" s="1674"/>
      <c r="E263" s="1673"/>
      <c r="F263" s="1675"/>
      <c r="G263" s="1673"/>
      <c r="H263" s="1673"/>
      <c r="I263" s="1676"/>
      <c r="J263" s="1676"/>
      <c r="K263" s="1676"/>
      <c r="L263" s="1676"/>
      <c r="M263" s="1676"/>
      <c r="N263" s="1676"/>
      <c r="O263" s="1676"/>
      <c r="P263" s="1676"/>
      <c r="Q263" s="1636"/>
      <c r="R263" s="1638">
        <f>F258</f>
        <v>7.0000000000000007E-2</v>
      </c>
      <c r="S263" s="1684">
        <f>R263</f>
        <v>7.0000000000000007E-2</v>
      </c>
      <c r="T263" s="1684">
        <f t="shared" ref="T263:AB263" si="80">S263</f>
        <v>7.0000000000000007E-2</v>
      </c>
      <c r="U263" s="1684">
        <f t="shared" si="80"/>
        <v>7.0000000000000007E-2</v>
      </c>
      <c r="V263" s="1684">
        <f t="shared" si="80"/>
        <v>7.0000000000000007E-2</v>
      </c>
      <c r="W263" s="1684">
        <f t="shared" si="80"/>
        <v>7.0000000000000007E-2</v>
      </c>
      <c r="X263" s="1684">
        <f t="shared" si="80"/>
        <v>7.0000000000000007E-2</v>
      </c>
      <c r="Y263" s="1684">
        <f t="shared" si="80"/>
        <v>7.0000000000000007E-2</v>
      </c>
      <c r="Z263" s="1684">
        <f t="shared" si="80"/>
        <v>7.0000000000000007E-2</v>
      </c>
      <c r="AA263" s="1684">
        <f t="shared" si="80"/>
        <v>7.0000000000000007E-2</v>
      </c>
      <c r="AB263" s="1684">
        <f t="shared" si="80"/>
        <v>7.0000000000000007E-2</v>
      </c>
      <c r="AC263" s="1684"/>
      <c r="AD263" s="1684"/>
      <c r="AE263" s="1684"/>
      <c r="AF263" s="1684"/>
      <c r="AG263" s="1684"/>
      <c r="AH263" s="1684"/>
      <c r="AI263" s="1684"/>
      <c r="AJ263" s="1684"/>
      <c r="AK263" s="1684"/>
      <c r="AL263" s="1684"/>
      <c r="AM263" s="1684"/>
      <c r="AN263" s="1684"/>
      <c r="AO263" s="1684"/>
      <c r="AP263" s="1684"/>
      <c r="AQ263" s="1684"/>
      <c r="AR263" s="1684"/>
      <c r="AS263" s="1684"/>
      <c r="AT263" s="1684"/>
      <c r="AU263" s="1684"/>
      <c r="AV263" s="1684"/>
      <c r="AW263" s="1684"/>
      <c r="AX263" s="1684"/>
      <c r="AY263" s="1684"/>
      <c r="AZ263" s="1684"/>
      <c r="BA263" s="1684"/>
      <c r="BB263" s="1684"/>
      <c r="BC263" s="1684"/>
      <c r="BD263" s="1684"/>
      <c r="BE263" s="1684"/>
      <c r="BF263" s="1684"/>
      <c r="BG263" s="1636"/>
    </row>
    <row r="264" spans="1:59" x14ac:dyDescent="0.25">
      <c r="B264" s="1620" t="s">
        <v>1616</v>
      </c>
      <c r="C264" s="1705"/>
      <c r="D264" s="1659"/>
      <c r="E264" s="1660"/>
      <c r="F264" s="1677"/>
      <c r="G264" s="1660"/>
      <c r="H264" s="1660"/>
      <c r="I264" s="1662"/>
      <c r="J264" s="1662"/>
      <c r="K264" s="1662"/>
      <c r="L264" s="1662"/>
      <c r="M264" s="1662"/>
      <c r="N264" s="1662"/>
      <c r="O264" s="1662"/>
      <c r="P264" s="1662"/>
      <c r="Q264" s="1001"/>
      <c r="R264" s="1636">
        <f>R263*AVERAGE(R259,R262)</f>
        <v>0</v>
      </c>
      <c r="S264" s="1641">
        <f t="shared" ref="S264:AB264" si="81">S263*AVERAGE(S259,S262)</f>
        <v>0</v>
      </c>
      <c r="T264" s="1641">
        <f t="shared" si="81"/>
        <v>0</v>
      </c>
      <c r="U264" s="1641">
        <f t="shared" si="81"/>
        <v>0</v>
      </c>
      <c r="V264" s="1641">
        <f t="shared" si="81"/>
        <v>0</v>
      </c>
      <c r="W264" s="1641">
        <f t="shared" si="81"/>
        <v>0</v>
      </c>
      <c r="X264" s="1641">
        <f t="shared" si="81"/>
        <v>0</v>
      </c>
      <c r="Y264" s="1641">
        <f t="shared" si="81"/>
        <v>0</v>
      </c>
      <c r="Z264" s="1641">
        <f t="shared" si="81"/>
        <v>0</v>
      </c>
      <c r="AA264" s="1641">
        <f t="shared" si="81"/>
        <v>0</v>
      </c>
      <c r="AB264" s="1641">
        <f t="shared" si="81"/>
        <v>0</v>
      </c>
      <c r="AC264" s="1641"/>
      <c r="AD264" s="1641"/>
      <c r="AE264" s="1641"/>
      <c r="AF264" s="1641"/>
      <c r="AG264" s="1641"/>
      <c r="AH264" s="1641"/>
      <c r="AI264" s="1641"/>
      <c r="AJ264" s="1641"/>
      <c r="AK264" s="1641"/>
      <c r="AL264" s="1641"/>
      <c r="AM264" s="1641"/>
      <c r="AN264" s="1641"/>
      <c r="AO264" s="1641"/>
      <c r="AP264" s="1641"/>
      <c r="AQ264" s="1641"/>
      <c r="AR264" s="1641"/>
      <c r="AS264" s="1641"/>
      <c r="AT264" s="1641"/>
      <c r="AU264" s="1641"/>
      <c r="AV264" s="1641"/>
      <c r="AW264" s="1641"/>
      <c r="AX264" s="1641"/>
      <c r="AY264" s="1641"/>
      <c r="AZ264" s="1641"/>
      <c r="BA264" s="1641"/>
      <c r="BB264" s="1641"/>
      <c r="BC264" s="1641"/>
      <c r="BD264" s="1641"/>
      <c r="BE264" s="1641"/>
      <c r="BF264" s="1641"/>
      <c r="BG264" s="1001"/>
    </row>
  </sheetData>
  <mergeCells count="6">
    <mergeCell ref="E101:H102"/>
    <mergeCell ref="C1:H1"/>
    <mergeCell ref="R1:X1"/>
    <mergeCell ref="I2:P2"/>
    <mergeCell ref="C3:H3"/>
    <mergeCell ref="I3:P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BD7B7-8575-4CCC-A277-6B1691FB58A1}">
  <dimension ref="B1:BE327"/>
  <sheetViews>
    <sheetView topLeftCell="C1" zoomScale="70" zoomScaleNormal="70" workbookViewId="0">
      <selection activeCell="AA9" sqref="AA9"/>
    </sheetView>
  </sheetViews>
  <sheetFormatPr defaultColWidth="9.109375" defaultRowHeight="13.2" x14ac:dyDescent="0.3"/>
  <cols>
    <col min="1" max="1" width="4.5546875" style="1360" customWidth="1"/>
    <col min="2" max="2" width="50" style="1360" customWidth="1"/>
    <col min="3" max="4" width="8.5546875" style="1360" customWidth="1"/>
    <col min="5" max="5" width="18.6640625" style="1360" customWidth="1"/>
    <col min="6" max="6" width="17.6640625" style="1360" customWidth="1"/>
    <col min="7" max="7" width="13.109375" style="1360" customWidth="1"/>
    <col min="8" max="8" width="16.109375" style="1361" customWidth="1"/>
    <col min="9" max="12" width="9.5546875" style="1361" customWidth="1"/>
    <col min="13" max="13" width="9.5546875" style="1544" customWidth="1"/>
    <col min="14" max="16" width="9.5546875" style="1360" customWidth="1"/>
    <col min="17" max="17" width="12.6640625" style="1360" customWidth="1"/>
    <col min="18" max="25" width="9.5546875" style="1360" customWidth="1"/>
    <col min="26" max="26" width="10.88671875" style="1360" customWidth="1"/>
    <col min="27" max="27" width="0.109375" style="1360" customWidth="1"/>
    <col min="28" max="28" width="0.44140625" style="1360" hidden="1" customWidth="1"/>
    <col min="29" max="29" width="0.33203125" style="1360" hidden="1" customWidth="1"/>
    <col min="30" max="30" width="0.6640625" style="1360" hidden="1" customWidth="1"/>
    <col min="31" max="31" width="15.33203125" style="1360" hidden="1" customWidth="1"/>
    <col min="32" max="32" width="13.33203125" style="1360" hidden="1" customWidth="1"/>
    <col min="33" max="33" width="15.88671875" style="1360" hidden="1" customWidth="1"/>
    <col min="34" max="34" width="0.21875" style="1360" customWidth="1"/>
    <col min="35" max="35" width="15.44140625" style="1360" hidden="1" customWidth="1"/>
    <col min="36" max="36" width="0.21875" style="1360" hidden="1" customWidth="1"/>
    <col min="37" max="37" width="12.6640625" style="1360" hidden="1" customWidth="1"/>
    <col min="38" max="38" width="16.6640625" style="1360" hidden="1" customWidth="1"/>
    <col min="39" max="39" width="0.109375" style="1360" hidden="1" customWidth="1"/>
    <col min="40" max="40" width="39.33203125" style="1360" hidden="1" customWidth="1"/>
    <col min="41" max="41" width="0.33203125" style="1360" customWidth="1"/>
    <col min="42" max="43" width="0.109375" style="1360" hidden="1" customWidth="1"/>
    <col min="44" max="44" width="24.5546875" style="1360" hidden="1" customWidth="1"/>
    <col min="45" max="47" width="0.21875" style="1360" hidden="1" customWidth="1"/>
    <col min="48" max="48" width="13.77734375" style="1360" hidden="1" customWidth="1"/>
    <col min="49" max="49" width="22.6640625" style="1360" hidden="1" customWidth="1"/>
    <col min="50" max="50" width="0.109375" style="1360" customWidth="1"/>
    <col min="51" max="51" width="0.21875" style="1360" customWidth="1"/>
    <col min="52" max="52" width="0.109375" style="1360" hidden="1" customWidth="1"/>
    <col min="53" max="53" width="19" style="1360" hidden="1" customWidth="1"/>
    <col min="54" max="54" width="0.33203125" style="1360" customWidth="1"/>
    <col min="55" max="59" width="21.88671875" style="1360" customWidth="1"/>
    <col min="60" max="16384" width="9.109375" style="1360"/>
  </cols>
  <sheetData>
    <row r="1" spans="2:57" x14ac:dyDescent="0.25">
      <c r="B1" s="27">
        <f>1</f>
        <v>1</v>
      </c>
      <c r="J1" s="466"/>
      <c r="K1" s="466"/>
      <c r="L1" s="466"/>
      <c r="M1" s="522"/>
      <c r="N1" s="522">
        <v>1</v>
      </c>
      <c r="O1" s="522">
        <v>2</v>
      </c>
      <c r="P1" s="1362">
        <v>3</v>
      </c>
      <c r="Q1" s="1363">
        <v>1</v>
      </c>
      <c r="R1" s="1363">
        <v>2</v>
      </c>
      <c r="S1" s="1363">
        <v>3</v>
      </c>
      <c r="T1" s="1363">
        <v>4</v>
      </c>
      <c r="U1" s="1363">
        <v>5</v>
      </c>
      <c r="V1" s="1363">
        <v>6</v>
      </c>
      <c r="W1" s="1363">
        <v>7</v>
      </c>
      <c r="X1" s="1363">
        <v>8</v>
      </c>
      <c r="Y1" s="1363">
        <v>9</v>
      </c>
      <c r="Z1" s="1363">
        <v>10</v>
      </c>
      <c r="AA1" s="1363">
        <v>11</v>
      </c>
      <c r="AB1" s="1363">
        <v>12</v>
      </c>
      <c r="AC1" s="1363">
        <v>13</v>
      </c>
      <c r="AD1" s="1363">
        <v>14</v>
      </c>
      <c r="AE1" s="1363">
        <v>15</v>
      </c>
      <c r="AF1" s="1363">
        <v>16</v>
      </c>
      <c r="AG1" s="1363">
        <v>17</v>
      </c>
      <c r="AH1" s="1363">
        <v>18</v>
      </c>
      <c r="AI1" s="1363">
        <v>19</v>
      </c>
      <c r="AJ1" s="1363">
        <v>1</v>
      </c>
      <c r="AK1" s="1363">
        <v>2</v>
      </c>
      <c r="AL1" s="1363">
        <v>3</v>
      </c>
      <c r="AM1" s="1363">
        <v>4</v>
      </c>
      <c r="AN1" s="1363">
        <v>5</v>
      </c>
      <c r="AO1" s="1363">
        <v>6</v>
      </c>
      <c r="AP1" s="1363">
        <v>7</v>
      </c>
      <c r="AQ1" s="1363">
        <v>8</v>
      </c>
      <c r="AR1" s="1363">
        <v>9</v>
      </c>
      <c r="AS1" s="1363">
        <v>10</v>
      </c>
      <c r="AT1" s="1363">
        <v>11</v>
      </c>
      <c r="AU1" s="1363">
        <v>12</v>
      </c>
      <c r="AV1" s="1363">
        <v>13</v>
      </c>
      <c r="AW1" s="1363">
        <v>14</v>
      </c>
      <c r="AX1" s="1363">
        <v>15</v>
      </c>
      <c r="AY1" s="1363">
        <v>16</v>
      </c>
      <c r="AZ1" s="1363">
        <v>17</v>
      </c>
      <c r="BA1" s="1363">
        <v>18</v>
      </c>
    </row>
    <row r="2" spans="2:57" x14ac:dyDescent="0.3">
      <c r="B2" s="1364"/>
      <c r="C2" s="1364"/>
      <c r="D2" s="1364"/>
      <c r="E2" s="1365" t="str">
        <f t="shared" ref="E2:K2" ca="1" si="0">IF(TODAY()&lt;E3,"Proj","")</f>
        <v/>
      </c>
      <c r="F2" s="1365" t="str">
        <f t="shared" ca="1" si="0"/>
        <v/>
      </c>
      <c r="G2" s="1365"/>
      <c r="H2" s="1366" t="str">
        <f t="shared" ca="1" si="0"/>
        <v/>
      </c>
      <c r="I2" s="1366" t="str">
        <f t="shared" ca="1" si="0"/>
        <v/>
      </c>
      <c r="J2" s="1367" t="str">
        <f t="shared" ca="1" si="0"/>
        <v/>
      </c>
      <c r="K2" s="1367" t="str">
        <f t="shared" ca="1" si="0"/>
        <v/>
      </c>
      <c r="L2" s="1367" t="str">
        <f ca="1">IF(TODAY()&lt;L3,"Proj","")</f>
        <v/>
      </c>
      <c r="M2" s="1368" t="str">
        <f t="shared" ref="M2:BA2" ca="1" si="1">IF(TODAY()&lt;M3,"Proj","")</f>
        <v/>
      </c>
      <c r="N2" s="1368" t="str">
        <f t="shared" ca="1" si="1"/>
        <v/>
      </c>
      <c r="O2" s="1368" t="str">
        <f t="shared" ca="1" si="1"/>
        <v/>
      </c>
      <c r="P2" s="1369" t="str">
        <f t="shared" ca="1" si="1"/>
        <v/>
      </c>
      <c r="Q2" s="1370" t="str">
        <f t="shared" ca="1" si="1"/>
        <v/>
      </c>
      <c r="R2" s="1370" t="str">
        <f t="shared" ca="1" si="1"/>
        <v/>
      </c>
      <c r="S2" s="1370" t="str">
        <f t="shared" ca="1" si="1"/>
        <v/>
      </c>
      <c r="T2" s="1370" t="str">
        <f t="shared" ca="1" si="1"/>
        <v>Proj</v>
      </c>
      <c r="U2" s="1370" t="str">
        <f t="shared" ca="1" si="1"/>
        <v>Proj</v>
      </c>
      <c r="V2" s="1370" t="str">
        <f t="shared" ca="1" si="1"/>
        <v>Proj</v>
      </c>
      <c r="W2" s="1370" t="str">
        <f t="shared" ca="1" si="1"/>
        <v>Proj</v>
      </c>
      <c r="X2" s="1370" t="str">
        <f t="shared" ca="1" si="1"/>
        <v>Proj</v>
      </c>
      <c r="Y2" s="1370" t="str">
        <f t="shared" ca="1" si="1"/>
        <v>Proj</v>
      </c>
      <c r="Z2" s="1370" t="str">
        <f t="shared" ca="1" si="1"/>
        <v>Proj</v>
      </c>
      <c r="AA2" s="1370" t="str">
        <f t="shared" ca="1" si="1"/>
        <v>Proj</v>
      </c>
      <c r="AB2" s="1370" t="str">
        <f t="shared" ca="1" si="1"/>
        <v>Proj</v>
      </c>
      <c r="AC2" s="1370" t="str">
        <f t="shared" ca="1" si="1"/>
        <v>Proj</v>
      </c>
      <c r="AD2" s="1370" t="str">
        <f t="shared" ca="1" si="1"/>
        <v>Proj</v>
      </c>
      <c r="AE2" s="1370" t="str">
        <f t="shared" ca="1" si="1"/>
        <v>Proj</v>
      </c>
      <c r="AF2" s="1370" t="str">
        <f t="shared" ca="1" si="1"/>
        <v>Proj</v>
      </c>
      <c r="AG2" s="1370" t="str">
        <f t="shared" ca="1" si="1"/>
        <v>Proj</v>
      </c>
      <c r="AH2" s="1370" t="str">
        <f t="shared" ca="1" si="1"/>
        <v>Proj</v>
      </c>
      <c r="AI2" s="1370" t="str">
        <f t="shared" ca="1" si="1"/>
        <v>Proj</v>
      </c>
      <c r="AJ2" s="1370" t="str">
        <f t="shared" ca="1" si="1"/>
        <v>Proj</v>
      </c>
      <c r="AK2" s="1370" t="str">
        <f t="shared" ca="1" si="1"/>
        <v>Proj</v>
      </c>
      <c r="AL2" s="1370" t="str">
        <f t="shared" ca="1" si="1"/>
        <v>Proj</v>
      </c>
      <c r="AM2" s="1370" t="str">
        <f t="shared" ca="1" si="1"/>
        <v>Proj</v>
      </c>
      <c r="AN2" s="1370" t="str">
        <f t="shared" ca="1" si="1"/>
        <v>Proj</v>
      </c>
      <c r="AO2" s="1370" t="str">
        <f t="shared" ca="1" si="1"/>
        <v>Proj</v>
      </c>
      <c r="AP2" s="1370" t="str">
        <f t="shared" ca="1" si="1"/>
        <v>Proj</v>
      </c>
      <c r="AQ2" s="1370" t="str">
        <f t="shared" ca="1" si="1"/>
        <v>Proj</v>
      </c>
      <c r="AR2" s="1370" t="str">
        <f t="shared" ca="1" si="1"/>
        <v>Proj</v>
      </c>
      <c r="AS2" s="1370" t="str">
        <f t="shared" ca="1" si="1"/>
        <v>Proj</v>
      </c>
      <c r="AT2" s="1370" t="str">
        <f t="shared" ca="1" si="1"/>
        <v>Proj</v>
      </c>
      <c r="AU2" s="1370" t="str">
        <f t="shared" ca="1" si="1"/>
        <v>Proj</v>
      </c>
      <c r="AV2" s="1370" t="str">
        <f t="shared" ca="1" si="1"/>
        <v>Proj</v>
      </c>
      <c r="AW2" s="1370" t="str">
        <f t="shared" ca="1" si="1"/>
        <v>Proj</v>
      </c>
      <c r="AX2" s="1370" t="str">
        <f t="shared" ca="1" si="1"/>
        <v>Proj</v>
      </c>
      <c r="AY2" s="1370" t="str">
        <f t="shared" ca="1" si="1"/>
        <v>Proj</v>
      </c>
      <c r="AZ2" s="1370" t="str">
        <f t="shared" ca="1" si="1"/>
        <v>Proj</v>
      </c>
      <c r="BA2" s="1370" t="str">
        <f t="shared" ca="1" si="1"/>
        <v>Proj</v>
      </c>
      <c r="BB2" s="1365"/>
      <c r="BC2" s="2357"/>
    </row>
    <row r="3" spans="2:57" ht="13.8" thickBot="1" x14ac:dyDescent="0.35">
      <c r="B3" s="1371" t="s">
        <v>1539</v>
      </c>
      <c r="C3" s="1372"/>
      <c r="D3" s="1373">
        <v>40178</v>
      </c>
      <c r="E3" s="1372">
        <f>DATE(YEAR(D3),MONTH(D3)+13,0)</f>
        <v>40543</v>
      </c>
      <c r="F3" s="1372">
        <f t="shared" ref="F3:BA3" si="2">DATE(YEAR(E3),MONTH(E3)+13,0)</f>
        <v>40908</v>
      </c>
      <c r="G3" s="1372">
        <f t="shared" si="2"/>
        <v>41274</v>
      </c>
      <c r="H3" s="1372">
        <f t="shared" si="2"/>
        <v>41639</v>
      </c>
      <c r="I3" s="1372">
        <f t="shared" si="2"/>
        <v>42004</v>
      </c>
      <c r="J3" s="1374">
        <f t="shared" si="2"/>
        <v>42369</v>
      </c>
      <c r="K3" s="1374">
        <f t="shared" si="2"/>
        <v>42735</v>
      </c>
      <c r="L3" s="1374">
        <f t="shared" si="2"/>
        <v>43100</v>
      </c>
      <c r="M3" s="1374">
        <f t="shared" si="2"/>
        <v>43465</v>
      </c>
      <c r="N3" s="1374">
        <f t="shared" si="2"/>
        <v>43830</v>
      </c>
      <c r="O3" s="1374">
        <f t="shared" si="2"/>
        <v>44196</v>
      </c>
      <c r="P3" s="1375">
        <f t="shared" si="2"/>
        <v>44561</v>
      </c>
      <c r="Q3" s="1376">
        <f t="shared" si="2"/>
        <v>44926</v>
      </c>
      <c r="R3" s="1376">
        <f t="shared" si="2"/>
        <v>45291</v>
      </c>
      <c r="S3" s="1376">
        <f t="shared" si="2"/>
        <v>45657</v>
      </c>
      <c r="T3" s="1376">
        <f t="shared" si="2"/>
        <v>46022</v>
      </c>
      <c r="U3" s="1376">
        <f t="shared" si="2"/>
        <v>46387</v>
      </c>
      <c r="V3" s="1376">
        <f t="shared" si="2"/>
        <v>46752</v>
      </c>
      <c r="W3" s="1376">
        <f t="shared" si="2"/>
        <v>47118</v>
      </c>
      <c r="X3" s="1376">
        <f t="shared" si="2"/>
        <v>47483</v>
      </c>
      <c r="Y3" s="1376">
        <f t="shared" si="2"/>
        <v>47848</v>
      </c>
      <c r="Z3" s="1376">
        <f t="shared" si="2"/>
        <v>48213</v>
      </c>
      <c r="AA3" s="1376">
        <f t="shared" si="2"/>
        <v>48579</v>
      </c>
      <c r="AB3" s="1376">
        <f t="shared" si="2"/>
        <v>48944</v>
      </c>
      <c r="AC3" s="1376">
        <f t="shared" si="2"/>
        <v>49309</v>
      </c>
      <c r="AD3" s="1376">
        <f t="shared" si="2"/>
        <v>49674</v>
      </c>
      <c r="AE3" s="1376">
        <f t="shared" si="2"/>
        <v>50040</v>
      </c>
      <c r="AF3" s="1376">
        <f t="shared" si="2"/>
        <v>50405</v>
      </c>
      <c r="AG3" s="1376">
        <f t="shared" si="2"/>
        <v>50770</v>
      </c>
      <c r="AH3" s="1376">
        <f t="shared" si="2"/>
        <v>51135</v>
      </c>
      <c r="AI3" s="1376">
        <f t="shared" si="2"/>
        <v>51501</v>
      </c>
      <c r="AJ3" s="1376">
        <f t="shared" si="2"/>
        <v>51866</v>
      </c>
      <c r="AK3" s="1376">
        <f t="shared" si="2"/>
        <v>52231</v>
      </c>
      <c r="AL3" s="1376">
        <f t="shared" si="2"/>
        <v>52596</v>
      </c>
      <c r="AM3" s="1376">
        <f t="shared" si="2"/>
        <v>52962</v>
      </c>
      <c r="AN3" s="1376">
        <f t="shared" si="2"/>
        <v>53327</v>
      </c>
      <c r="AO3" s="1376">
        <f t="shared" si="2"/>
        <v>53692</v>
      </c>
      <c r="AP3" s="1376">
        <f t="shared" si="2"/>
        <v>54057</v>
      </c>
      <c r="AQ3" s="1376">
        <f t="shared" si="2"/>
        <v>54423</v>
      </c>
      <c r="AR3" s="1376">
        <f t="shared" si="2"/>
        <v>54788</v>
      </c>
      <c r="AS3" s="1376">
        <f t="shared" si="2"/>
        <v>55153</v>
      </c>
      <c r="AT3" s="1376">
        <f t="shared" si="2"/>
        <v>55518</v>
      </c>
      <c r="AU3" s="1376">
        <f t="shared" si="2"/>
        <v>55884</v>
      </c>
      <c r="AV3" s="1376">
        <f t="shared" si="2"/>
        <v>56249</v>
      </c>
      <c r="AW3" s="1376">
        <f t="shared" si="2"/>
        <v>56614</v>
      </c>
      <c r="AX3" s="1376">
        <f t="shared" si="2"/>
        <v>56979</v>
      </c>
      <c r="AY3" s="1376">
        <f t="shared" si="2"/>
        <v>57345</v>
      </c>
      <c r="AZ3" s="1376">
        <f t="shared" si="2"/>
        <v>57710</v>
      </c>
      <c r="BA3" s="1376">
        <f t="shared" si="2"/>
        <v>58075</v>
      </c>
      <c r="BB3" s="1377"/>
      <c r="BC3" s="2357"/>
    </row>
    <row r="4" spans="2:57" s="522" customFormat="1" ht="13.8" thickTop="1" x14ac:dyDescent="0.3">
      <c r="B4" s="1378"/>
      <c r="C4" s="1378"/>
      <c r="D4" s="1379"/>
      <c r="E4" s="1378"/>
      <c r="F4" s="1378"/>
      <c r="G4" s="1378"/>
      <c r="H4" s="1380"/>
      <c r="I4" s="1380"/>
      <c r="J4" s="1380"/>
      <c r="K4" s="1380"/>
      <c r="L4" s="1380"/>
      <c r="M4" s="1378"/>
      <c r="N4" s="1378"/>
      <c r="O4" s="1378"/>
      <c r="P4" s="1381"/>
    </row>
    <row r="5" spans="2:57" s="522" customFormat="1" ht="15.75" customHeight="1" x14ac:dyDescent="0.3">
      <c r="B5" s="1382" t="s">
        <v>1540</v>
      </c>
      <c r="C5" s="1383"/>
      <c r="D5" s="1383"/>
      <c r="E5" s="1384"/>
      <c r="F5" s="1384"/>
      <c r="G5" s="1384"/>
      <c r="H5" s="1385"/>
      <c r="I5" s="1385"/>
      <c r="J5" s="1385"/>
      <c r="K5" s="1385"/>
      <c r="L5" s="1385"/>
      <c r="M5" s="1385"/>
      <c r="N5" s="1385"/>
      <c r="O5" s="1385"/>
      <c r="P5" s="1386"/>
      <c r="Q5" s="1387"/>
      <c r="R5" s="1387"/>
      <c r="S5" s="1387"/>
      <c r="T5" s="1387"/>
      <c r="U5" s="1387"/>
      <c r="V5" s="1387"/>
      <c r="W5" s="1387"/>
      <c r="X5" s="1387"/>
      <c r="Y5" s="1387"/>
      <c r="Z5" s="1387"/>
      <c r="AA5" s="1387"/>
      <c r="AB5" s="1387"/>
      <c r="AC5" s="1387"/>
      <c r="AD5" s="1387"/>
      <c r="AE5" s="1387"/>
      <c r="AF5" s="1387"/>
      <c r="AG5" s="1387"/>
      <c r="AH5" s="1387"/>
      <c r="AI5" s="1387"/>
      <c r="AJ5" s="1387"/>
      <c r="AK5" s="1387"/>
      <c r="AL5" s="1387"/>
      <c r="AM5" s="1387"/>
      <c r="AN5" s="1387"/>
      <c r="AO5" s="1387"/>
      <c r="AP5" s="1387"/>
      <c r="AQ5" s="1387"/>
      <c r="AR5" s="1387"/>
      <c r="AS5" s="1387"/>
      <c r="AT5" s="1387"/>
      <c r="AU5" s="1387"/>
      <c r="AV5" s="1387"/>
      <c r="AW5" s="1387"/>
      <c r="AX5" s="1387"/>
      <c r="AY5" s="1387"/>
      <c r="AZ5" s="1387"/>
      <c r="BA5" s="1387"/>
      <c r="BB5" s="1387"/>
      <c r="BC5" s="466"/>
      <c r="BD5" s="466"/>
      <c r="BE5" s="466"/>
    </row>
    <row r="6" spans="2:57" s="522" customFormat="1" x14ac:dyDescent="0.3">
      <c r="B6" s="1388" t="s">
        <v>1541</v>
      </c>
      <c r="E6" s="1387"/>
      <c r="F6" s="1387"/>
      <c r="G6" s="1387"/>
      <c r="H6" s="1389"/>
      <c r="I6" s="1390"/>
      <c r="J6" s="1390">
        <f>SUM(J28,J63,J96,J130)</f>
        <v>348.54999999999995</v>
      </c>
      <c r="K6" s="1390">
        <f t="shared" ref="K6:P6" si="3">SUM(K28,K63,K96,K130)</f>
        <v>445.34392371199999</v>
      </c>
      <c r="L6" s="1390">
        <f t="shared" si="3"/>
        <v>502.61943445200006</v>
      </c>
      <c r="M6" s="1390">
        <f t="shared" si="3"/>
        <v>518.42093552400001</v>
      </c>
      <c r="N6" s="1390">
        <f t="shared" si="3"/>
        <v>565.983383882</v>
      </c>
      <c r="O6" s="1390">
        <f t="shared" si="3"/>
        <v>612.19179186099996</v>
      </c>
      <c r="P6" s="1569">
        <f t="shared" si="3"/>
        <v>651.28062979099991</v>
      </c>
      <c r="Q6" s="1391">
        <f>SUM(Q28,Q63,Q96,Q130)</f>
        <v>1073.2836130401699</v>
      </c>
      <c r="R6" s="1391">
        <f t="shared" ref="R6:Z6" si="4">SUM(R28,R63,R96,R130)</f>
        <v>1405.0938065760736</v>
      </c>
      <c r="S6" s="1391">
        <f t="shared" si="4"/>
        <v>1479.4615396229719</v>
      </c>
      <c r="T6" s="1391">
        <f t="shared" si="4"/>
        <v>1563.5432402380507</v>
      </c>
      <c r="U6" s="1391">
        <f t="shared" si="4"/>
        <v>1649.2964664758135</v>
      </c>
      <c r="V6" s="1391">
        <f t="shared" si="4"/>
        <v>1741.5433297709421</v>
      </c>
      <c r="W6" s="1391">
        <f t="shared" si="4"/>
        <v>1842.2287971570895</v>
      </c>
      <c r="X6" s="1391">
        <f t="shared" si="4"/>
        <v>1929.5227550576894</v>
      </c>
      <c r="Y6" s="1391">
        <f t="shared" si="4"/>
        <v>2020.5130562799295</v>
      </c>
      <c r="Z6" s="1391">
        <f t="shared" si="4"/>
        <v>2115.5379837972951</v>
      </c>
      <c r="AA6" s="1391"/>
      <c r="AB6" s="1391"/>
      <c r="AC6" s="1391"/>
      <c r="AD6" s="1391"/>
      <c r="AE6" s="1391"/>
      <c r="AF6" s="1391"/>
      <c r="AG6" s="1391"/>
      <c r="AH6" s="1391"/>
      <c r="AI6" s="1391"/>
      <c r="AJ6" s="1391"/>
      <c r="AK6" s="1391"/>
      <c r="AL6" s="1391"/>
      <c r="AM6" s="1391"/>
      <c r="AN6" s="1391"/>
      <c r="AO6" s="1391"/>
      <c r="AP6" s="1391"/>
      <c r="AQ6" s="1391"/>
      <c r="AR6" s="1391"/>
      <c r="AS6" s="1391"/>
      <c r="AT6" s="1391"/>
      <c r="AU6" s="1391"/>
      <c r="AV6" s="1391"/>
      <c r="AW6" s="1391"/>
      <c r="AX6" s="1391"/>
      <c r="AY6" s="1391"/>
      <c r="AZ6" s="1391"/>
      <c r="BA6" s="1391"/>
      <c r="BB6" s="1387"/>
      <c r="BC6" s="466"/>
      <c r="BD6" s="466"/>
      <c r="BE6" s="466"/>
    </row>
    <row r="7" spans="2:57" s="522" customFormat="1" x14ac:dyDescent="0.3">
      <c r="B7" s="1388" t="s">
        <v>1542</v>
      </c>
      <c r="E7" s="1387"/>
      <c r="F7" s="1387"/>
      <c r="G7" s="1387"/>
      <c r="H7" s="1389"/>
      <c r="I7" s="1390"/>
      <c r="J7" s="1390">
        <f>SUM(J41,J75,J108,J142)</f>
        <v>168.25999999999993</v>
      </c>
      <c r="K7" s="1390">
        <f t="shared" ref="K7:P7" si="5">SUM(K41,K75,K108,K142)</f>
        <v>235.76471513500005</v>
      </c>
      <c r="L7" s="1390">
        <f t="shared" si="5"/>
        <v>246.92609081300003</v>
      </c>
      <c r="M7" s="1390">
        <f t="shared" si="5"/>
        <v>218.86285767599995</v>
      </c>
      <c r="N7" s="1390">
        <f t="shared" si="5"/>
        <v>236.66889621900003</v>
      </c>
      <c r="O7" s="1390">
        <f t="shared" si="5"/>
        <v>248.62256142899997</v>
      </c>
      <c r="P7" s="1569">
        <f t="shared" si="5"/>
        <v>247.08425992799988</v>
      </c>
      <c r="Q7" s="1391">
        <f>SUM(Q41,Q75,Q108,Q142)</f>
        <v>567.37435120192561</v>
      </c>
      <c r="R7" s="1391">
        <f t="shared" ref="R7:Z7" si="6">SUM(R41,R75,R108,R142)</f>
        <v>765.59127968637767</v>
      </c>
      <c r="S7" s="1391">
        <f t="shared" si="6"/>
        <v>699.22048475574627</v>
      </c>
      <c r="T7" s="1391">
        <f t="shared" si="6"/>
        <v>683.39091059381337</v>
      </c>
      <c r="U7" s="1391">
        <f t="shared" si="6"/>
        <v>670.72787304989561</v>
      </c>
      <c r="V7" s="1391">
        <f t="shared" si="6"/>
        <v>655.6953801260089</v>
      </c>
      <c r="W7" s="1391">
        <f t="shared" si="6"/>
        <v>639.42761651124579</v>
      </c>
      <c r="X7" s="1391">
        <f t="shared" si="6"/>
        <v>601.38112686549607</v>
      </c>
      <c r="Y7" s="1391">
        <f t="shared" si="6"/>
        <v>558.28861877615725</v>
      </c>
      <c r="Z7" s="1391">
        <f t="shared" si="6"/>
        <v>510.10072771818301</v>
      </c>
      <c r="AA7" s="1391"/>
      <c r="AB7" s="1391"/>
      <c r="AC7" s="1391"/>
      <c r="AD7" s="1391"/>
      <c r="AE7" s="1391"/>
      <c r="AF7" s="1391"/>
      <c r="AG7" s="1391"/>
      <c r="AH7" s="1391"/>
      <c r="AI7" s="1391"/>
      <c r="AJ7" s="1391"/>
      <c r="AK7" s="1391"/>
      <c r="AL7" s="1391"/>
      <c r="AM7" s="1391"/>
      <c r="AN7" s="1391"/>
      <c r="AO7" s="1391"/>
      <c r="AP7" s="1391"/>
      <c r="AQ7" s="1391"/>
      <c r="AR7" s="1391"/>
      <c r="AS7" s="1391"/>
      <c r="AT7" s="1391"/>
      <c r="AU7" s="1391"/>
      <c r="AV7" s="1391"/>
      <c r="AW7" s="1391"/>
      <c r="AX7" s="1391"/>
      <c r="AY7" s="1391"/>
      <c r="AZ7" s="1391"/>
      <c r="BA7" s="1391"/>
      <c r="BB7" s="1387"/>
      <c r="BC7" s="466"/>
      <c r="BD7" s="466"/>
      <c r="BE7" s="466"/>
    </row>
    <row r="8" spans="2:57" s="522" customFormat="1" x14ac:dyDescent="0.3">
      <c r="B8" s="1388" t="s">
        <v>1543</v>
      </c>
      <c r="E8" s="1387"/>
      <c r="F8" s="1387"/>
      <c r="G8" s="1387"/>
      <c r="H8" s="1389"/>
      <c r="I8" s="1390"/>
      <c r="J8" s="1392">
        <f>SUM(J37,J71,J104,J138)</f>
        <v>142.03</v>
      </c>
      <c r="K8" s="1392">
        <f t="shared" ref="K8:P8" si="7">SUM(K37,K71,K104,K138)</f>
        <v>38.099247734999999</v>
      </c>
      <c r="L8" s="1392">
        <f t="shared" si="7"/>
        <v>47.031054206</v>
      </c>
      <c r="M8" s="1392">
        <f t="shared" si="7"/>
        <v>46.842923866</v>
      </c>
      <c r="N8" s="1392">
        <f t="shared" si="7"/>
        <v>33.407823041999997</v>
      </c>
      <c r="O8" s="1392">
        <f t="shared" si="7"/>
        <v>37.507421574999995</v>
      </c>
      <c r="P8" s="1570">
        <f t="shared" si="7"/>
        <v>61.166782159</v>
      </c>
      <c r="Q8" s="1393">
        <f>SUM(Q37,Q71,Q104,Q138)</f>
        <v>101.71289197524426</v>
      </c>
      <c r="R8" s="1393">
        <f t="shared" ref="R8:AA8" si="8">SUM(R37,R71,R104,R138)</f>
        <v>133.59326505145162</v>
      </c>
      <c r="S8" s="1393">
        <f t="shared" si="8"/>
        <v>140.73852797752977</v>
      </c>
      <c r="T8" s="1393">
        <f t="shared" si="8"/>
        <v>99.91127477701157</v>
      </c>
      <c r="U8" s="1393">
        <f t="shared" si="8"/>
        <v>98.416263781680655</v>
      </c>
      <c r="V8" s="1393">
        <f t="shared" si="8"/>
        <v>107.27935621901526</v>
      </c>
      <c r="W8" s="1393">
        <f t="shared" si="8"/>
        <v>116.95323100091025</v>
      </c>
      <c r="X8" s="1393">
        <f t="shared" si="8"/>
        <v>125.34044754634992</v>
      </c>
      <c r="Y8" s="1393">
        <f t="shared" si="8"/>
        <v>134.08280931157887</v>
      </c>
      <c r="Z8" s="1393">
        <f t="shared" si="8"/>
        <v>143.21281857534004</v>
      </c>
      <c r="AA8" s="1393">
        <f t="shared" si="8"/>
        <v>0</v>
      </c>
      <c r="AB8" s="1393"/>
      <c r="AC8" s="1393"/>
      <c r="AD8" s="1393"/>
      <c r="AE8" s="1393"/>
      <c r="AF8" s="1393"/>
      <c r="AG8" s="1393"/>
      <c r="AH8" s="1393"/>
      <c r="AI8" s="1393"/>
      <c r="AJ8" s="1393"/>
      <c r="AK8" s="1393"/>
      <c r="AL8" s="1393"/>
      <c r="AM8" s="1393"/>
      <c r="AN8" s="1393"/>
      <c r="AO8" s="1393"/>
      <c r="AP8" s="1393"/>
      <c r="AQ8" s="1393"/>
      <c r="AR8" s="1393"/>
      <c r="AS8" s="1391"/>
      <c r="AT8" s="1391"/>
      <c r="AU8" s="1391"/>
      <c r="AV8" s="1391"/>
      <c r="AW8" s="1391"/>
      <c r="AX8" s="1391"/>
      <c r="AY8" s="1391"/>
      <c r="AZ8" s="1391"/>
      <c r="BA8" s="1391"/>
      <c r="BB8" s="1387"/>
      <c r="BC8" s="466"/>
      <c r="BD8" s="466"/>
      <c r="BE8" s="466"/>
    </row>
    <row r="9" spans="2:57" s="522" customFormat="1" ht="15" customHeight="1" x14ac:dyDescent="0.3">
      <c r="B9" s="1388" t="s">
        <v>1356</v>
      </c>
      <c r="E9" s="1387"/>
      <c r="F9" s="1387"/>
      <c r="G9" s="1387"/>
      <c r="H9" s="1394"/>
      <c r="I9" s="1390"/>
      <c r="J9" s="1392">
        <f>(J26+J27)+(J61+J62)+(J94+J95)+(J128)+(J216-J215)</f>
        <v>192.30337244899999</v>
      </c>
      <c r="K9" s="1392">
        <f t="shared" ref="K9:P9" si="9">(K26+K27)+(K61+K62)+(K94+K95)+(K128)+(K216-K215)</f>
        <v>106.480679593</v>
      </c>
      <c r="L9" s="1392">
        <f t="shared" si="9"/>
        <v>37.43863420400001</v>
      </c>
      <c r="M9" s="1392">
        <f t="shared" si="9"/>
        <v>29.66325131</v>
      </c>
      <c r="N9" s="1392">
        <f t="shared" si="9"/>
        <v>187.19129844600002</v>
      </c>
      <c r="O9" s="1392">
        <f t="shared" si="9"/>
        <v>52.020840813999996</v>
      </c>
      <c r="P9" s="1570">
        <f t="shared" si="9"/>
        <v>28.101864168999988</v>
      </c>
      <c r="Q9" s="1393">
        <f>Q10*Input!Q45</f>
        <v>451.02885356693275</v>
      </c>
      <c r="R9" s="1393">
        <f>R10*Input!R45</f>
        <v>354.63249581806161</v>
      </c>
      <c r="S9" s="1393">
        <f>S10*Input!S45</f>
        <v>79.482834742685924</v>
      </c>
      <c r="T9" s="1393">
        <f>T10*Input!T45</f>
        <v>89.864940627648025</v>
      </c>
      <c r="U9" s="1393">
        <f>U10*Input!U45</f>
        <v>91.651435783446118</v>
      </c>
      <c r="V9" s="1393">
        <f>V10*Input!V45</f>
        <v>98.591712970382872</v>
      </c>
      <c r="W9" s="1393">
        <f>W10*Input!W45</f>
        <v>107.61073435163705</v>
      </c>
      <c r="X9" s="1393">
        <f>X10*Input!X45</f>
        <v>93.298140814281055</v>
      </c>
      <c r="Y9" s="1393">
        <f>Y10*Input!Y45</f>
        <v>97.248723054039104</v>
      </c>
      <c r="Z9" s="1393">
        <f>Z10*Input!Z45</f>
        <v>101.56085577511773</v>
      </c>
      <c r="AA9" s="1393"/>
      <c r="AB9" s="1391"/>
      <c r="AC9" s="1391"/>
      <c r="AD9" s="1391"/>
      <c r="AE9" s="1391"/>
      <c r="AF9" s="1391"/>
      <c r="AG9" s="1391"/>
      <c r="AH9" s="1391"/>
      <c r="AI9" s="1391"/>
      <c r="AJ9" s="1391"/>
      <c r="AK9" s="1391"/>
      <c r="AL9" s="1391"/>
      <c r="AM9" s="1391"/>
      <c r="AN9" s="1391"/>
      <c r="AO9" s="1391"/>
      <c r="AP9" s="1391"/>
      <c r="AQ9" s="1391"/>
      <c r="AR9" s="1391"/>
      <c r="AS9" s="1391"/>
      <c r="AT9" s="1391"/>
      <c r="AU9" s="1391"/>
      <c r="AV9" s="1391"/>
      <c r="AW9" s="1391"/>
      <c r="AX9" s="1391"/>
      <c r="AY9" s="1391"/>
      <c r="AZ9" s="1391"/>
      <c r="BA9" s="1391"/>
      <c r="BB9" s="1389"/>
      <c r="BC9" s="2358"/>
      <c r="BD9" s="466"/>
      <c r="BE9" s="466"/>
    </row>
    <row r="10" spans="2:57" s="1396" customFormat="1" x14ac:dyDescent="0.3">
      <c r="B10" s="1395" t="s">
        <v>1544</v>
      </c>
      <c r="E10" s="1397"/>
      <c r="F10" s="1397"/>
      <c r="G10" s="1397"/>
      <c r="H10" s="1398"/>
      <c r="I10" s="1399"/>
      <c r="J10" s="1400">
        <f>J9/Input!J47</f>
        <v>1.5038147976126672</v>
      </c>
      <c r="K10" s="1400">
        <f>K9/Input!K47</f>
        <v>0.67389019736863076</v>
      </c>
      <c r="L10" s="1400">
        <f>L9/Input!L47</f>
        <v>0.20027286648095011</v>
      </c>
      <c r="M10" s="1400">
        <f>M9/Input!M47</f>
        <v>0.15900371655901302</v>
      </c>
      <c r="N10" s="1400">
        <f>N9/Input!N47</f>
        <v>1.1644903063700809</v>
      </c>
      <c r="O10" s="1400">
        <f>O9/Input!O47</f>
        <v>0.28616988134590887</v>
      </c>
      <c r="P10" s="1400">
        <f>P9/Input!P47</f>
        <v>0.12942502500382286</v>
      </c>
      <c r="Q10" s="1401">
        <v>1.65</v>
      </c>
      <c r="R10" s="1401">
        <v>1.3</v>
      </c>
      <c r="S10" s="1401">
        <v>0.2</v>
      </c>
      <c r="T10" s="1401">
        <v>0.2</v>
      </c>
      <c r="U10" s="1401">
        <v>0.18</v>
      </c>
      <c r="V10" s="1401">
        <v>0.18</v>
      </c>
      <c r="W10" s="1401">
        <v>0.18</v>
      </c>
      <c r="X10" s="1401">
        <v>0.15</v>
      </c>
      <c r="Y10" s="1401">
        <v>0.15</v>
      </c>
      <c r="Z10" s="1401">
        <v>0.15</v>
      </c>
      <c r="AA10" s="1401"/>
      <c r="AB10" s="1401"/>
      <c r="AC10" s="1401"/>
      <c r="AD10" s="1401"/>
      <c r="AE10" s="1401"/>
      <c r="AF10" s="1401"/>
      <c r="AG10" s="1401"/>
      <c r="AH10" s="1401"/>
      <c r="AI10" s="1401"/>
      <c r="AJ10" s="1401"/>
      <c r="AK10" s="1401"/>
      <c r="AL10" s="1401"/>
      <c r="AM10" s="1401"/>
      <c r="AN10" s="1401"/>
      <c r="AO10" s="1401"/>
      <c r="AP10" s="1401"/>
      <c r="AQ10" s="1401"/>
      <c r="AR10" s="1401"/>
      <c r="AS10" s="1401"/>
      <c r="AT10" s="1401"/>
      <c r="AU10" s="1401"/>
      <c r="AV10" s="1401"/>
      <c r="AW10" s="1401"/>
      <c r="AX10" s="1401"/>
      <c r="AY10" s="1401"/>
      <c r="AZ10" s="1401"/>
      <c r="BA10" s="1401"/>
      <c r="BB10" s="1402"/>
      <c r="BC10" s="2358"/>
      <c r="BD10" s="1403"/>
      <c r="BE10" s="1403"/>
    </row>
    <row r="11" spans="2:57" s="1396" customFormat="1" x14ac:dyDescent="0.3">
      <c r="B11" s="1395"/>
      <c r="E11" s="1397"/>
      <c r="F11" s="1397"/>
      <c r="G11" s="2359" t="s">
        <v>1598</v>
      </c>
      <c r="H11" s="2359"/>
      <c r="I11" s="2359"/>
      <c r="J11" s="2359"/>
      <c r="K11" s="2359"/>
      <c r="L11" s="2359"/>
      <c r="M11" s="2359"/>
      <c r="N11" s="2359"/>
      <c r="O11" s="2359"/>
      <c r="P11" s="2359"/>
      <c r="Q11" s="2359"/>
      <c r="R11" s="2359"/>
      <c r="S11" s="2359"/>
      <c r="T11" s="2359"/>
      <c r="U11" s="2359"/>
      <c r="V11" s="2359"/>
      <c r="W11" s="2359"/>
      <c r="X11" s="2359"/>
      <c r="Y11" s="2359"/>
      <c r="Z11" s="2359"/>
      <c r="AA11" s="2359"/>
      <c r="AB11" s="1404"/>
      <c r="AC11" s="1404"/>
      <c r="AD11" s="1404"/>
      <c r="AE11" s="1404"/>
      <c r="AF11" s="1404"/>
      <c r="AG11" s="1404"/>
      <c r="AH11" s="1404"/>
      <c r="AI11" s="1404"/>
      <c r="AJ11" s="1404"/>
      <c r="AK11" s="1404"/>
      <c r="AL11" s="1404"/>
      <c r="AM11" s="1404"/>
      <c r="AN11" s="1404"/>
      <c r="AO11" s="1404"/>
      <c r="AP11" s="1404"/>
      <c r="AQ11" s="1404"/>
      <c r="AR11" s="1404"/>
      <c r="AS11" s="1404"/>
      <c r="AT11" s="1404"/>
      <c r="AU11" s="1404"/>
      <c r="AV11" s="1404"/>
      <c r="AW11" s="1404"/>
      <c r="AX11" s="1404"/>
      <c r="AY11" s="1404"/>
      <c r="AZ11" s="1404"/>
      <c r="BA11" s="1404"/>
      <c r="BB11" s="1402"/>
      <c r="BC11" s="2358"/>
      <c r="BD11" s="1403"/>
      <c r="BE11" s="1403"/>
    </row>
    <row r="12" spans="2:57" s="522" customFormat="1" x14ac:dyDescent="0.3">
      <c r="B12" s="1405" t="s">
        <v>1545</v>
      </c>
      <c r="C12" s="1406"/>
      <c r="D12" s="1406"/>
      <c r="E12" s="1407"/>
      <c r="F12" s="1407"/>
      <c r="G12" s="1407"/>
      <c r="H12" s="1389"/>
      <c r="I12" s="1390"/>
      <c r="J12" s="1390"/>
      <c r="K12" s="1390"/>
      <c r="L12" s="1390"/>
      <c r="M12" s="1390"/>
      <c r="N12" s="1408"/>
      <c r="O12" s="1408"/>
      <c r="P12" s="1409"/>
      <c r="Q12" s="1410"/>
      <c r="R12" s="1410"/>
      <c r="S12" s="1410"/>
      <c r="T12" s="1410"/>
      <c r="U12" s="1410"/>
      <c r="V12" s="1410"/>
      <c r="W12" s="1410"/>
      <c r="X12" s="1410"/>
      <c r="Y12" s="1410"/>
      <c r="Z12" s="1410"/>
      <c r="AA12" s="1410"/>
      <c r="AB12" s="1410"/>
      <c r="AC12" s="1410"/>
      <c r="AD12" s="1410"/>
      <c r="AE12" s="1410"/>
      <c r="AF12" s="1410"/>
      <c r="AG12" s="1410"/>
      <c r="AH12" s="1410"/>
      <c r="AI12" s="1410"/>
      <c r="AJ12" s="1410"/>
      <c r="AK12" s="1410"/>
      <c r="AL12" s="1410"/>
      <c r="AM12" s="1410"/>
      <c r="AN12" s="1410"/>
      <c r="AO12" s="1410"/>
      <c r="AP12" s="1410"/>
      <c r="AQ12" s="1410"/>
      <c r="AR12" s="1410"/>
      <c r="AS12" s="1410"/>
      <c r="AT12" s="1410"/>
      <c r="AU12" s="1410"/>
      <c r="AV12" s="1410"/>
      <c r="AW12" s="1410"/>
      <c r="AX12" s="1410"/>
      <c r="AY12" s="1410"/>
      <c r="AZ12" s="1410"/>
      <c r="BA12" s="1410"/>
      <c r="BB12" s="1389"/>
      <c r="BC12" s="2358"/>
      <c r="BD12" s="466"/>
      <c r="BE12" s="466"/>
    </row>
    <row r="13" spans="2:57" s="522" customFormat="1" x14ac:dyDescent="0.3">
      <c r="B13" s="1411" t="s">
        <v>1546</v>
      </c>
      <c r="C13" s="1406"/>
      <c r="D13" s="1406"/>
      <c r="E13" s="1407"/>
      <c r="F13" s="1407"/>
      <c r="G13" s="1407"/>
      <c r="H13" s="369"/>
      <c r="I13" s="368"/>
      <c r="J13" s="369">
        <f>(J26+J27)/J9</f>
        <v>1.0258790445930419</v>
      </c>
      <c r="K13" s="369">
        <f t="shared" ref="K13:P13" si="10">(K26+K27)/K9</f>
        <v>0.79302495766143832</v>
      </c>
      <c r="L13" s="369">
        <f t="shared" si="10"/>
        <v>1.512306136262598</v>
      </c>
      <c r="M13" s="369">
        <f t="shared" si="10"/>
        <v>0.5225826700518893</v>
      </c>
      <c r="N13" s="369">
        <f t="shared" si="10"/>
        <v>0.21924852422474869</v>
      </c>
      <c r="O13" s="369">
        <f t="shared" si="10"/>
        <v>0.74582944404386464</v>
      </c>
      <c r="P13" s="1571">
        <f t="shared" si="10"/>
        <v>1.357218389912858</v>
      </c>
      <c r="Q13" s="1412">
        <f>AVERAGE(J13:P13)</f>
        <v>0.88229845239291982</v>
      </c>
      <c r="R13" s="1412">
        <f>Q13</f>
        <v>0.88229845239291982</v>
      </c>
      <c r="S13" s="1412">
        <f t="shared" ref="S13:AA13" si="11">R13</f>
        <v>0.88229845239291982</v>
      </c>
      <c r="T13" s="1412">
        <f t="shared" si="11"/>
        <v>0.88229845239291982</v>
      </c>
      <c r="U13" s="1412">
        <f t="shared" si="11"/>
        <v>0.88229845239291982</v>
      </c>
      <c r="V13" s="1412">
        <f t="shared" si="11"/>
        <v>0.88229845239291982</v>
      </c>
      <c r="W13" s="1412">
        <f t="shared" si="11"/>
        <v>0.88229845239291982</v>
      </c>
      <c r="X13" s="1412">
        <f t="shared" si="11"/>
        <v>0.88229845239291982</v>
      </c>
      <c r="Y13" s="1412">
        <f t="shared" si="11"/>
        <v>0.88229845239291982</v>
      </c>
      <c r="Z13" s="1412">
        <f t="shared" si="11"/>
        <v>0.88229845239291982</v>
      </c>
      <c r="AA13" s="1412">
        <f t="shared" si="11"/>
        <v>0.88229845239291982</v>
      </c>
      <c r="AB13" s="1412"/>
      <c r="AC13" s="1412"/>
      <c r="AD13" s="1412"/>
      <c r="AE13" s="1412"/>
      <c r="AF13" s="1412"/>
      <c r="AG13" s="1412"/>
      <c r="AH13" s="1412"/>
      <c r="AI13" s="1412"/>
      <c r="AJ13" s="1412"/>
      <c r="AK13" s="1412"/>
      <c r="AL13" s="1412"/>
      <c r="AM13" s="1412"/>
      <c r="AN13" s="1412"/>
      <c r="AO13" s="1412"/>
      <c r="AP13" s="1412"/>
      <c r="AQ13" s="1412"/>
      <c r="AR13" s="1412"/>
      <c r="AS13" s="1412"/>
      <c r="AT13" s="1412"/>
      <c r="AU13" s="1412"/>
      <c r="AV13" s="1412"/>
      <c r="AW13" s="1412"/>
      <c r="AX13" s="1412"/>
      <c r="AY13" s="1412"/>
      <c r="AZ13" s="1412"/>
      <c r="BA13" s="1412"/>
      <c r="BB13" s="1389"/>
      <c r="BC13" s="466"/>
      <c r="BD13" s="466"/>
      <c r="BE13" s="466"/>
    </row>
    <row r="14" spans="2:57" s="522" customFormat="1" x14ac:dyDescent="0.3">
      <c r="B14" s="1411" t="s">
        <v>1547</v>
      </c>
      <c r="C14" s="1406"/>
      <c r="D14" s="1406"/>
      <c r="E14" s="1407"/>
      <c r="F14" s="1407"/>
      <c r="G14" s="1407"/>
      <c r="H14" s="1389"/>
      <c r="I14" s="368"/>
      <c r="J14" s="369">
        <f>(J61+J62)/J9</f>
        <v>0</v>
      </c>
      <c r="K14" s="369">
        <f t="shared" ref="K14:P14" si="12">(K61+K62)/K9</f>
        <v>0</v>
      </c>
      <c r="L14" s="369">
        <f t="shared" si="12"/>
        <v>0</v>
      </c>
      <c r="M14" s="369">
        <f t="shared" si="12"/>
        <v>0</v>
      </c>
      <c r="N14" s="369">
        <f t="shared" si="12"/>
        <v>0</v>
      </c>
      <c r="O14" s="369">
        <f t="shared" si="12"/>
        <v>0</v>
      </c>
      <c r="P14" s="1572">
        <f t="shared" si="12"/>
        <v>0</v>
      </c>
      <c r="Q14" s="1413">
        <v>0</v>
      </c>
      <c r="R14" s="1413">
        <f>Q14</f>
        <v>0</v>
      </c>
      <c r="S14" s="1413">
        <f t="shared" ref="S14:BA14" si="13">R14</f>
        <v>0</v>
      </c>
      <c r="T14" s="1413">
        <f t="shared" si="13"/>
        <v>0</v>
      </c>
      <c r="U14" s="1413">
        <f t="shared" si="13"/>
        <v>0</v>
      </c>
      <c r="V14" s="1413">
        <f t="shared" si="13"/>
        <v>0</v>
      </c>
      <c r="W14" s="1413">
        <f t="shared" si="13"/>
        <v>0</v>
      </c>
      <c r="X14" s="1413">
        <f t="shared" si="13"/>
        <v>0</v>
      </c>
      <c r="Y14" s="1413">
        <f t="shared" si="13"/>
        <v>0</v>
      </c>
      <c r="Z14" s="1413">
        <f t="shared" si="13"/>
        <v>0</v>
      </c>
      <c r="AA14" s="1413">
        <f t="shared" si="13"/>
        <v>0</v>
      </c>
      <c r="AB14" s="1413">
        <f t="shared" si="13"/>
        <v>0</v>
      </c>
      <c r="AC14" s="1413">
        <f t="shared" si="13"/>
        <v>0</v>
      </c>
      <c r="AD14" s="1413">
        <f t="shared" si="13"/>
        <v>0</v>
      </c>
      <c r="AE14" s="1413">
        <f t="shared" si="13"/>
        <v>0</v>
      </c>
      <c r="AF14" s="1413">
        <f t="shared" si="13"/>
        <v>0</v>
      </c>
      <c r="AG14" s="1413">
        <f t="shared" si="13"/>
        <v>0</v>
      </c>
      <c r="AH14" s="1413">
        <f t="shared" si="13"/>
        <v>0</v>
      </c>
      <c r="AI14" s="1413">
        <f t="shared" si="13"/>
        <v>0</v>
      </c>
      <c r="AJ14" s="1413">
        <f t="shared" si="13"/>
        <v>0</v>
      </c>
      <c r="AK14" s="1413">
        <f t="shared" si="13"/>
        <v>0</v>
      </c>
      <c r="AL14" s="1413">
        <f t="shared" si="13"/>
        <v>0</v>
      </c>
      <c r="AM14" s="1413">
        <f t="shared" si="13"/>
        <v>0</v>
      </c>
      <c r="AN14" s="1413">
        <f t="shared" si="13"/>
        <v>0</v>
      </c>
      <c r="AO14" s="1413">
        <f t="shared" si="13"/>
        <v>0</v>
      </c>
      <c r="AP14" s="1413">
        <f t="shared" si="13"/>
        <v>0</v>
      </c>
      <c r="AQ14" s="1413">
        <f t="shared" si="13"/>
        <v>0</v>
      </c>
      <c r="AR14" s="1413">
        <f t="shared" si="13"/>
        <v>0</v>
      </c>
      <c r="AS14" s="1413">
        <f t="shared" si="13"/>
        <v>0</v>
      </c>
      <c r="AT14" s="1413">
        <f t="shared" si="13"/>
        <v>0</v>
      </c>
      <c r="AU14" s="1413">
        <f t="shared" si="13"/>
        <v>0</v>
      </c>
      <c r="AV14" s="1413">
        <f t="shared" si="13"/>
        <v>0</v>
      </c>
      <c r="AW14" s="1413">
        <f t="shared" si="13"/>
        <v>0</v>
      </c>
      <c r="AX14" s="1413">
        <f t="shared" si="13"/>
        <v>0</v>
      </c>
      <c r="AY14" s="1413">
        <f t="shared" si="13"/>
        <v>0</v>
      </c>
      <c r="AZ14" s="1413">
        <f t="shared" si="13"/>
        <v>0</v>
      </c>
      <c r="BA14" s="1413">
        <f t="shared" si="13"/>
        <v>0</v>
      </c>
      <c r="BB14" s="1389"/>
      <c r="BC14" s="466"/>
      <c r="BD14" s="466"/>
      <c r="BE14" s="466"/>
    </row>
    <row r="15" spans="2:57" s="522" customFormat="1" x14ac:dyDescent="0.3">
      <c r="B15" s="1411" t="s">
        <v>1548</v>
      </c>
      <c r="C15" s="1406"/>
      <c r="D15" s="1406"/>
      <c r="E15" s="1407"/>
      <c r="F15" s="1407"/>
      <c r="G15" s="1407"/>
      <c r="H15" s="1389"/>
      <c r="I15" s="368"/>
      <c r="J15" s="369">
        <f>(J94+J95)/J9</f>
        <v>1.8720420521770836E-2</v>
      </c>
      <c r="K15" s="369">
        <f t="shared" ref="K15:P15" si="14">(K94+K95)/K9</f>
        <v>0.11598203868725002</v>
      </c>
      <c r="L15" s="369">
        <f t="shared" si="14"/>
        <v>1.7544296525908592E-2</v>
      </c>
      <c r="M15" s="369">
        <f t="shared" si="14"/>
        <v>1.0113523863746681E-2</v>
      </c>
      <c r="N15" s="369">
        <f t="shared" si="14"/>
        <v>3.481869245049448E-2</v>
      </c>
      <c r="O15" s="369">
        <f t="shared" si="14"/>
        <v>0.14237188180946883</v>
      </c>
      <c r="P15" s="1572">
        <f t="shared" si="14"/>
        <v>3.387640030835281E-2</v>
      </c>
      <c r="Q15" s="1412">
        <f>AVERAGE(J15:P15)</f>
        <v>5.3346750595284605E-2</v>
      </c>
      <c r="R15" s="1412">
        <f>Q15</f>
        <v>5.3346750595284605E-2</v>
      </c>
      <c r="S15" s="1412">
        <f t="shared" ref="S15:Z15" si="15">R15</f>
        <v>5.3346750595284605E-2</v>
      </c>
      <c r="T15" s="1412">
        <f t="shared" si="15"/>
        <v>5.3346750595284605E-2</v>
      </c>
      <c r="U15" s="1412">
        <f t="shared" si="15"/>
        <v>5.3346750595284605E-2</v>
      </c>
      <c r="V15" s="1412">
        <f t="shared" si="15"/>
        <v>5.3346750595284605E-2</v>
      </c>
      <c r="W15" s="1412">
        <f t="shared" si="15"/>
        <v>5.3346750595284605E-2</v>
      </c>
      <c r="X15" s="1412">
        <f t="shared" si="15"/>
        <v>5.3346750595284605E-2</v>
      </c>
      <c r="Y15" s="1412">
        <f t="shared" si="15"/>
        <v>5.3346750595284605E-2</v>
      </c>
      <c r="Z15" s="1412">
        <f t="shared" si="15"/>
        <v>5.3346750595284605E-2</v>
      </c>
      <c r="AA15" s="1412"/>
      <c r="AB15" s="1412"/>
      <c r="AC15" s="1412"/>
      <c r="AD15" s="1412"/>
      <c r="AE15" s="1412"/>
      <c r="AF15" s="1412"/>
      <c r="AG15" s="1412"/>
      <c r="AH15" s="1412"/>
      <c r="AI15" s="1412"/>
      <c r="AJ15" s="1412"/>
      <c r="AK15" s="1412"/>
      <c r="AL15" s="1412"/>
      <c r="AM15" s="1412"/>
      <c r="AN15" s="1412"/>
      <c r="AO15" s="1412"/>
      <c r="AP15" s="1412"/>
      <c r="AQ15" s="1412"/>
      <c r="AR15" s="1412"/>
      <c r="AS15" s="1412"/>
      <c r="AT15" s="1412"/>
      <c r="AU15" s="1412"/>
      <c r="AV15" s="1412"/>
      <c r="AW15" s="1412"/>
      <c r="AX15" s="1412"/>
      <c r="AY15" s="1412"/>
      <c r="AZ15" s="1412"/>
      <c r="BA15" s="1412"/>
      <c r="BB15" s="1389"/>
      <c r="BC15" s="466"/>
      <c r="BD15" s="466"/>
      <c r="BE15" s="466"/>
    </row>
    <row r="16" spans="2:57" s="522" customFormat="1" x14ac:dyDescent="0.3">
      <c r="B16" s="1411" t="s">
        <v>1549</v>
      </c>
      <c r="C16" s="1406"/>
      <c r="D16" s="1406"/>
      <c r="E16" s="1407"/>
      <c r="F16" s="1407"/>
      <c r="G16" s="1407"/>
      <c r="H16" s="1389"/>
      <c r="I16" s="368"/>
      <c r="J16" s="369">
        <f>J128/J9</f>
        <v>0</v>
      </c>
      <c r="K16" s="369">
        <f t="shared" ref="K16:P16" si="16">K128/K9</f>
        <v>0</v>
      </c>
      <c r="L16" s="369">
        <f t="shared" si="16"/>
        <v>0</v>
      </c>
      <c r="M16" s="369">
        <f t="shared" si="16"/>
        <v>0</v>
      </c>
      <c r="N16" s="369">
        <f t="shared" si="16"/>
        <v>0</v>
      </c>
      <c r="O16" s="369">
        <f t="shared" si="16"/>
        <v>0</v>
      </c>
      <c r="P16" s="1572">
        <f t="shared" si="16"/>
        <v>0</v>
      </c>
      <c r="Q16" s="1413">
        <f>0</f>
        <v>0</v>
      </c>
      <c r="R16" s="1413">
        <f>Q16</f>
        <v>0</v>
      </c>
      <c r="S16" s="1413">
        <f t="shared" ref="S16:Z16" si="17">R16</f>
        <v>0</v>
      </c>
      <c r="T16" s="1413">
        <f t="shared" si="17"/>
        <v>0</v>
      </c>
      <c r="U16" s="1413">
        <f t="shared" si="17"/>
        <v>0</v>
      </c>
      <c r="V16" s="1413">
        <f t="shared" si="17"/>
        <v>0</v>
      </c>
      <c r="W16" s="1413">
        <f t="shared" si="17"/>
        <v>0</v>
      </c>
      <c r="X16" s="1413">
        <f t="shared" si="17"/>
        <v>0</v>
      </c>
      <c r="Y16" s="1413">
        <f t="shared" si="17"/>
        <v>0</v>
      </c>
      <c r="Z16" s="1413">
        <f t="shared" si="17"/>
        <v>0</v>
      </c>
      <c r="AA16" s="1413"/>
      <c r="AB16" s="1413"/>
      <c r="AC16" s="1413"/>
      <c r="AD16" s="1413"/>
      <c r="AE16" s="1413"/>
      <c r="AF16" s="1413"/>
      <c r="AG16" s="1413"/>
      <c r="AH16" s="1413"/>
      <c r="AI16" s="1413"/>
      <c r="AJ16" s="1413"/>
      <c r="AK16" s="1413"/>
      <c r="AL16" s="1413"/>
      <c r="AM16" s="1413"/>
      <c r="AN16" s="1413"/>
      <c r="AO16" s="1413"/>
      <c r="AP16" s="1413"/>
      <c r="AQ16" s="1413"/>
      <c r="AR16" s="1413"/>
      <c r="AS16" s="1413"/>
      <c r="AT16" s="1413"/>
      <c r="AU16" s="1413"/>
      <c r="AV16" s="1413"/>
      <c r="AW16" s="1413"/>
      <c r="AX16" s="1413"/>
      <c r="AY16" s="1413"/>
      <c r="AZ16" s="1413"/>
      <c r="BA16" s="1413"/>
      <c r="BB16" s="1389"/>
      <c r="BC16" s="466"/>
      <c r="BD16" s="466"/>
      <c r="BE16" s="466"/>
    </row>
    <row r="17" spans="2:57" s="522" customFormat="1" x14ac:dyDescent="0.3">
      <c r="B17" s="1411" t="s">
        <v>1550</v>
      </c>
      <c r="C17" s="1406"/>
      <c r="D17" s="1406"/>
      <c r="E17" s="1407"/>
      <c r="F17" s="1407"/>
      <c r="G17" s="1407"/>
      <c r="H17" s="1389"/>
      <c r="I17" s="368"/>
      <c r="J17" s="369">
        <f>(J216-J215)/J9</f>
        <v>-4.4599465114812664E-2</v>
      </c>
      <c r="K17" s="369">
        <f t="shared" ref="K17:P17" si="18">(K216-K215)/K9</f>
        <v>9.0993003651311702E-2</v>
      </c>
      <c r="L17" s="369">
        <f t="shared" si="18"/>
        <v>-0.52985043278850674</v>
      </c>
      <c r="M17" s="369">
        <f t="shared" si="18"/>
        <v>0.46730380608436412</v>
      </c>
      <c r="N17" s="369">
        <f t="shared" si="18"/>
        <v>0.74593278332475688</v>
      </c>
      <c r="O17" s="369">
        <f t="shared" si="18"/>
        <v>0.11179867414666654</v>
      </c>
      <c r="P17" s="1572">
        <f t="shared" si="18"/>
        <v>-0.39109479022121102</v>
      </c>
      <c r="Q17" s="1412">
        <f>AVERAGE(J17:P17)</f>
        <v>6.4354797011795542E-2</v>
      </c>
      <c r="R17" s="1412">
        <f>Q17</f>
        <v>6.4354797011795542E-2</v>
      </c>
      <c r="S17" s="1412">
        <f t="shared" ref="S17:AA17" si="19">R17</f>
        <v>6.4354797011795542E-2</v>
      </c>
      <c r="T17" s="1412">
        <f t="shared" si="19"/>
        <v>6.4354797011795542E-2</v>
      </c>
      <c r="U17" s="1412">
        <f t="shared" si="19"/>
        <v>6.4354797011795542E-2</v>
      </c>
      <c r="V17" s="1412">
        <f t="shared" si="19"/>
        <v>6.4354797011795542E-2</v>
      </c>
      <c r="W17" s="1412">
        <f t="shared" si="19"/>
        <v>6.4354797011795542E-2</v>
      </c>
      <c r="X17" s="1412">
        <f t="shared" si="19"/>
        <v>6.4354797011795542E-2</v>
      </c>
      <c r="Y17" s="1412">
        <f t="shared" si="19"/>
        <v>6.4354797011795542E-2</v>
      </c>
      <c r="Z17" s="1412">
        <f t="shared" si="19"/>
        <v>6.4354797011795542E-2</v>
      </c>
      <c r="AA17" s="1412">
        <f t="shared" si="19"/>
        <v>6.4354797011795542E-2</v>
      </c>
      <c r="AB17" s="1412"/>
      <c r="AC17" s="1412"/>
      <c r="AD17" s="1412"/>
      <c r="AE17" s="1412"/>
      <c r="AF17" s="1412"/>
      <c r="AG17" s="1412"/>
      <c r="AH17" s="1412"/>
      <c r="AI17" s="1412"/>
      <c r="AJ17" s="1412"/>
      <c r="AK17" s="1412"/>
      <c r="AL17" s="1412"/>
      <c r="AM17" s="1412"/>
      <c r="AN17" s="1412"/>
      <c r="AO17" s="1412"/>
      <c r="AP17" s="1412"/>
      <c r="AQ17" s="1412"/>
      <c r="AR17" s="1412"/>
      <c r="AS17" s="1412"/>
      <c r="AT17" s="1412"/>
      <c r="AU17" s="1412"/>
      <c r="AV17" s="1412"/>
      <c r="AW17" s="1412"/>
      <c r="AX17" s="1412"/>
      <c r="AY17" s="1412"/>
      <c r="AZ17" s="1412"/>
      <c r="BA17" s="1412"/>
      <c r="BB17" s="1414"/>
      <c r="BC17" s="466"/>
      <c r="BD17" s="466"/>
      <c r="BE17" s="466"/>
    </row>
    <row r="18" spans="2:57" s="522" customFormat="1" x14ac:dyDescent="0.3">
      <c r="B18" s="1383"/>
      <c r="C18" s="1383"/>
      <c r="D18" s="1383"/>
      <c r="E18" s="1384"/>
      <c r="F18" s="1384"/>
      <c r="G18" s="1384"/>
      <c r="H18" s="1385"/>
      <c r="I18" s="1385"/>
      <c r="J18" s="1415"/>
      <c r="K18" s="1416"/>
      <c r="L18" s="1417"/>
      <c r="M18" s="1417"/>
      <c r="N18" s="1416"/>
      <c r="O18" s="1417"/>
      <c r="P18" s="1418"/>
      <c r="Q18" s="1415"/>
      <c r="R18" s="1416"/>
      <c r="S18" s="1417"/>
      <c r="T18" s="1415"/>
      <c r="U18" s="1417"/>
      <c r="V18" s="1417"/>
      <c r="W18" s="1417"/>
      <c r="X18" s="1415"/>
      <c r="Y18" s="1417"/>
      <c r="Z18" s="1417"/>
      <c r="AA18" s="1416"/>
      <c r="AB18" s="1387"/>
      <c r="AC18" s="1387"/>
      <c r="AD18" s="1387"/>
      <c r="AE18" s="1387"/>
      <c r="AF18" s="1387"/>
      <c r="AG18" s="1387"/>
      <c r="AH18" s="1387"/>
      <c r="AI18" s="1387"/>
      <c r="AJ18" s="1387"/>
      <c r="AK18" s="1387"/>
      <c r="AL18" s="1387"/>
      <c r="AM18" s="1387"/>
      <c r="AN18" s="1387"/>
      <c r="AO18" s="1387"/>
      <c r="AP18" s="1387"/>
      <c r="AQ18" s="1387"/>
      <c r="AR18" s="1387"/>
      <c r="AS18" s="1387"/>
      <c r="AT18" s="1387"/>
      <c r="AU18" s="1387"/>
      <c r="AV18" s="1387"/>
      <c r="AW18" s="1387"/>
      <c r="AX18" s="1387"/>
      <c r="AY18" s="1387"/>
      <c r="AZ18" s="1387"/>
      <c r="BA18" s="1387"/>
      <c r="BB18" s="1387"/>
      <c r="BC18" s="466"/>
      <c r="BD18" s="466"/>
      <c r="BE18" s="466"/>
    </row>
    <row r="19" spans="2:57" s="522" customFormat="1" x14ac:dyDescent="0.3">
      <c r="B19" s="1419" t="s">
        <v>1551</v>
      </c>
      <c r="C19" s="1419"/>
      <c r="D19" s="1419"/>
      <c r="E19" s="1420"/>
      <c r="F19" s="1420"/>
      <c r="G19" s="1420"/>
      <c r="H19" s="1421"/>
      <c r="I19" s="1421"/>
      <c r="J19" s="1421"/>
      <c r="K19" s="1421"/>
      <c r="L19" s="1421"/>
      <c r="M19" s="1422"/>
      <c r="N19" s="1422"/>
      <c r="O19" s="1422"/>
      <c r="P19" s="1423"/>
      <c r="Q19" s="1422"/>
      <c r="R19" s="1422"/>
      <c r="S19" s="1422"/>
      <c r="T19" s="1422"/>
      <c r="U19" s="1422"/>
      <c r="V19" s="1422"/>
      <c r="W19" s="1422"/>
      <c r="X19" s="1424"/>
      <c r="Y19" s="1425"/>
      <c r="Z19" s="1422"/>
      <c r="AA19" s="1422"/>
      <c r="AB19" s="1422"/>
      <c r="AC19" s="1422"/>
      <c r="AD19" s="1422"/>
      <c r="AE19" s="1422"/>
      <c r="AF19" s="1422"/>
      <c r="AG19" s="1422"/>
      <c r="AH19" s="1422"/>
      <c r="AI19" s="1422"/>
      <c r="AJ19" s="1422"/>
      <c r="AK19" s="1422"/>
      <c r="AL19" s="1422"/>
      <c r="AM19" s="1422"/>
      <c r="AN19" s="1422"/>
      <c r="AO19" s="1422"/>
      <c r="AP19" s="1422"/>
      <c r="AQ19" s="1422"/>
      <c r="AR19" s="1422"/>
      <c r="AS19" s="1422"/>
      <c r="AT19" s="1422"/>
      <c r="AU19" s="1422"/>
      <c r="AV19" s="1422"/>
      <c r="AW19" s="1422"/>
      <c r="AX19" s="1422"/>
      <c r="AY19" s="1422"/>
      <c r="AZ19" s="1422"/>
      <c r="BA19" s="1422"/>
      <c r="BB19" s="1387"/>
      <c r="BC19" s="466"/>
      <c r="BD19" s="466"/>
      <c r="BE19" s="466"/>
    </row>
    <row r="20" spans="2:57" s="522" customFormat="1" x14ac:dyDescent="0.3">
      <c r="B20" s="1426"/>
      <c r="C20" s="1426"/>
      <c r="D20" s="1426"/>
      <c r="E20" s="1427"/>
      <c r="F20" s="1427"/>
      <c r="G20" s="1427"/>
      <c r="H20" s="1414"/>
      <c r="I20" s="1414"/>
      <c r="J20" s="1414"/>
      <c r="K20" s="1414"/>
      <c r="L20" s="1414"/>
      <c r="M20" s="1414"/>
      <c r="N20" s="1428"/>
      <c r="O20" s="1428"/>
      <c r="P20" s="1429"/>
      <c r="Q20" s="1387"/>
      <c r="R20" s="1387"/>
      <c r="S20" s="1387"/>
      <c r="T20" s="1387"/>
      <c r="U20" s="1387"/>
      <c r="V20" s="1387"/>
      <c r="W20" s="1387"/>
      <c r="X20" s="1387"/>
      <c r="Y20" s="1387"/>
      <c r="Z20" s="1387"/>
      <c r="AA20" s="1387"/>
      <c r="AB20" s="1387"/>
      <c r="AC20" s="1387"/>
      <c r="AD20" s="1387"/>
      <c r="AE20" s="1387"/>
      <c r="AF20" s="1387"/>
      <c r="AG20" s="1387"/>
      <c r="AH20" s="1387"/>
      <c r="AI20" s="1387"/>
      <c r="AJ20" s="1387"/>
      <c r="AK20" s="1387"/>
      <c r="AL20" s="1387"/>
      <c r="AM20" s="1387"/>
      <c r="AN20" s="1387"/>
      <c r="AO20" s="1387"/>
      <c r="AP20" s="1387"/>
      <c r="AQ20" s="1387"/>
      <c r="AR20" s="1387"/>
      <c r="AS20" s="1387"/>
      <c r="AT20" s="1387"/>
      <c r="AU20" s="1387"/>
      <c r="AV20" s="1387"/>
      <c r="AW20" s="1387"/>
      <c r="AX20" s="1387"/>
      <c r="AY20" s="1387"/>
      <c r="AZ20" s="1387"/>
      <c r="BA20" s="1387"/>
      <c r="BB20" s="1387"/>
      <c r="BC20" s="466"/>
      <c r="BD20" s="466"/>
      <c r="BE20" s="466"/>
    </row>
    <row r="21" spans="2:57" s="522" customFormat="1" ht="13.8" x14ac:dyDescent="0.3">
      <c r="B21" s="1430" t="s">
        <v>1552</v>
      </c>
      <c r="C21" s="1406"/>
      <c r="D21" s="1406"/>
      <c r="E21" s="1407"/>
      <c r="F21" s="1407"/>
      <c r="G21" s="1407"/>
      <c r="H21" s="1414"/>
      <c r="I21" s="1414"/>
      <c r="J21" s="1431"/>
      <c r="K21" s="1414"/>
      <c r="L21" s="1414"/>
      <c r="M21" s="1387"/>
      <c r="N21" s="1432"/>
      <c r="O21" s="1432"/>
      <c r="P21" s="1433"/>
      <c r="Q21" s="1387"/>
      <c r="R21" s="1387"/>
      <c r="S21" s="1387"/>
      <c r="T21" s="1387"/>
      <c r="U21" s="1387"/>
      <c r="V21" s="1387"/>
      <c r="W21" s="1387"/>
      <c r="X21" s="1387"/>
      <c r="Y21" s="1387"/>
      <c r="Z21" s="1387"/>
      <c r="AA21" s="1387"/>
      <c r="AB21" s="1387"/>
      <c r="AC21" s="1387"/>
      <c r="AD21" s="1387"/>
      <c r="AE21" s="1387"/>
      <c r="AF21" s="1387"/>
      <c r="AG21" s="1387"/>
      <c r="AH21" s="1387"/>
      <c r="AI21" s="1387"/>
      <c r="AJ21" s="1387"/>
      <c r="AK21" s="1387"/>
      <c r="AL21" s="1387"/>
      <c r="AM21" s="1387"/>
      <c r="AN21" s="1387"/>
      <c r="AO21" s="1387"/>
      <c r="AP21" s="1387"/>
      <c r="AQ21" s="1387"/>
      <c r="AR21" s="1387"/>
      <c r="AS21" s="1387"/>
      <c r="AT21" s="1387"/>
      <c r="AU21" s="1387"/>
      <c r="AV21" s="1387"/>
      <c r="AW21" s="1387"/>
      <c r="AX21" s="1387"/>
      <c r="AY21" s="1387"/>
      <c r="AZ21" s="1387"/>
      <c r="BA21" s="1387"/>
      <c r="BB21" s="1387"/>
      <c r="BC21" s="466"/>
      <c r="BD21" s="466"/>
      <c r="BE21" s="466"/>
    </row>
    <row r="22" spans="2:57" s="522" customFormat="1" x14ac:dyDescent="0.3">
      <c r="B22" s="1426" t="s">
        <v>1553</v>
      </c>
      <c r="C22" s="1426"/>
      <c r="D22" s="1426"/>
      <c r="E22" s="1434"/>
      <c r="F22" s="1434"/>
      <c r="G22" s="1434"/>
      <c r="H22" s="122"/>
      <c r="I22" s="122"/>
      <c r="J22" s="122"/>
      <c r="K22" s="122"/>
      <c r="L22" s="122"/>
      <c r="M22" s="122"/>
      <c r="N22" s="1435"/>
      <c r="O22" s="1435"/>
      <c r="P22" s="1436"/>
      <c r="Q22" s="122"/>
      <c r="R22" s="122"/>
      <c r="S22" s="122"/>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c r="AW22" s="122"/>
      <c r="AX22" s="122"/>
      <c r="AY22" s="122"/>
      <c r="AZ22" s="122"/>
      <c r="BA22" s="122"/>
      <c r="BB22" s="1387"/>
      <c r="BC22" s="466"/>
      <c r="BD22" s="466"/>
      <c r="BE22" s="466"/>
    </row>
    <row r="23" spans="2:57" s="522" customFormat="1" x14ac:dyDescent="0.3">
      <c r="B23" s="1437" t="s">
        <v>1554</v>
      </c>
      <c r="C23" s="1438"/>
      <c r="D23" s="1438"/>
      <c r="E23" s="1439"/>
      <c r="F23" s="1439"/>
      <c r="G23" s="1439"/>
      <c r="H23" s="122"/>
      <c r="I23" s="1440"/>
      <c r="J23" s="1441">
        <f>Notes!J53</f>
        <v>107.19</v>
      </c>
      <c r="K23" s="1441">
        <f>Notes!K53</f>
        <v>304.47471008600002</v>
      </c>
      <c r="L23" s="1441">
        <f>Notes!L53</f>
        <v>388.91654651200002</v>
      </c>
      <c r="M23" s="1441">
        <f>Notes!M53</f>
        <v>445.53522275199998</v>
      </c>
      <c r="N23" s="1441">
        <f>Notes!N53</f>
        <v>461.04</v>
      </c>
      <c r="O23" s="1441">
        <f>Notes!O53</f>
        <v>502.08484412799999</v>
      </c>
      <c r="P23" s="1573">
        <f>Notes!P53</f>
        <v>540.88</v>
      </c>
      <c r="Q23" s="1442">
        <f>P28</f>
        <v>579.02036684099994</v>
      </c>
      <c r="R23" s="1442">
        <f t="shared" ref="R23:Z23" si="20">Q28</f>
        <v>976.96242632765757</v>
      </c>
      <c r="S23" s="1442">
        <f t="shared" si="20"/>
        <v>1289.8541285561719</v>
      </c>
      <c r="T23" s="1442">
        <f t="shared" si="20"/>
        <v>1359.9817106414459</v>
      </c>
      <c r="U23" s="1442">
        <f t="shared" si="20"/>
        <v>1439.2694086816014</v>
      </c>
      <c r="V23" s="1442">
        <f t="shared" si="20"/>
        <v>1520.133328632925</v>
      </c>
      <c r="W23" s="1442">
        <f t="shared" si="20"/>
        <v>1607.1206444054608</v>
      </c>
      <c r="X23" s="1442">
        <f t="shared" si="20"/>
        <v>1702.0654287847758</v>
      </c>
      <c r="Y23" s="1442">
        <f t="shared" si="20"/>
        <v>1784.3822340363527</v>
      </c>
      <c r="Z23" s="1442">
        <f t="shared" si="20"/>
        <v>1870.184631884119</v>
      </c>
      <c r="AA23" s="1442"/>
      <c r="AB23" s="1410"/>
      <c r="AC23" s="1410"/>
      <c r="AD23" s="1410"/>
      <c r="AE23" s="1410"/>
      <c r="AF23" s="1410"/>
      <c r="AG23" s="1410"/>
      <c r="AH23" s="1410"/>
      <c r="AI23" s="1410"/>
      <c r="AJ23" s="1410"/>
      <c r="AK23" s="1410"/>
      <c r="AL23" s="1410"/>
      <c r="AM23" s="1410"/>
      <c r="AN23" s="1410"/>
      <c r="AO23" s="1410"/>
      <c r="AP23" s="1410"/>
      <c r="AQ23" s="1410"/>
      <c r="AR23" s="1410"/>
      <c r="AS23" s="1410"/>
      <c r="AT23" s="1410"/>
      <c r="AU23" s="1410"/>
      <c r="AV23" s="1410"/>
      <c r="AW23" s="1410"/>
      <c r="AX23" s="1410"/>
      <c r="AY23" s="1410"/>
      <c r="AZ23" s="1410"/>
      <c r="BA23" s="1410"/>
      <c r="BB23" s="1387"/>
      <c r="BC23" s="2360"/>
      <c r="BD23" s="466"/>
      <c r="BE23" s="466"/>
    </row>
    <row r="24" spans="2:57" s="522" customFormat="1" x14ac:dyDescent="0.3">
      <c r="B24" s="1437" t="s">
        <v>1555</v>
      </c>
      <c r="C24" s="1438"/>
      <c r="D24" s="1438"/>
      <c r="E24" s="1439"/>
      <c r="F24" s="1439"/>
      <c r="G24" s="1439"/>
      <c r="H24" s="122"/>
      <c r="I24" s="1440"/>
      <c r="J24" s="1440"/>
      <c r="K24" s="1440"/>
      <c r="L24" s="1440"/>
      <c r="M24" s="1440"/>
      <c r="N24" s="1408"/>
      <c r="O24" s="1408"/>
      <c r="P24" s="1409"/>
      <c r="Q24" s="1442">
        <f>Q9*Q13</f>
        <v>397.94205948665763</v>
      </c>
      <c r="R24" s="1442">
        <f t="shared" ref="R24:Z24" si="21">R9*R13</f>
        <v>312.89170222851436</v>
      </c>
      <c r="S24" s="1442">
        <f t="shared" si="21"/>
        <v>70.127582085273986</v>
      </c>
      <c r="T24" s="1442">
        <f t="shared" si="21"/>
        <v>79.287698040155476</v>
      </c>
      <c r="U24" s="1442">
        <f t="shared" si="21"/>
        <v>80.863919951323581</v>
      </c>
      <c r="V24" s="1442">
        <f t="shared" si="21"/>
        <v>86.987315772535766</v>
      </c>
      <c r="W24" s="1442">
        <f t="shared" si="21"/>
        <v>94.944784379314981</v>
      </c>
      <c r="X24" s="1442">
        <f t="shared" si="21"/>
        <v>82.316805251576881</v>
      </c>
      <c r="Y24" s="1442">
        <f t="shared" si="21"/>
        <v>85.802397847766358</v>
      </c>
      <c r="Z24" s="1442">
        <f t="shared" si="21"/>
        <v>89.606985874086902</v>
      </c>
      <c r="AA24" s="1442"/>
      <c r="AB24" s="1410"/>
      <c r="AC24" s="1410"/>
      <c r="AD24" s="1410"/>
      <c r="AE24" s="1410"/>
      <c r="AF24" s="1410"/>
      <c r="AG24" s="1410"/>
      <c r="AH24" s="1410"/>
      <c r="AI24" s="1410"/>
      <c r="AJ24" s="1410"/>
      <c r="AK24" s="1410"/>
      <c r="AL24" s="1410"/>
      <c r="AM24" s="1410"/>
      <c r="AN24" s="1410"/>
      <c r="AO24" s="1410"/>
      <c r="AP24" s="1410"/>
      <c r="AQ24" s="1410"/>
      <c r="AR24" s="1410"/>
      <c r="AS24" s="1410"/>
      <c r="AT24" s="1410"/>
      <c r="AU24" s="1410"/>
      <c r="AV24" s="1410"/>
      <c r="AW24" s="1410"/>
      <c r="AX24" s="1410"/>
      <c r="AY24" s="1410"/>
      <c r="AZ24" s="1410"/>
      <c r="BA24" s="1410"/>
      <c r="BB24" s="1387"/>
      <c r="BC24" s="2360"/>
      <c r="BD24" s="466"/>
      <c r="BE24" s="466"/>
    </row>
    <row r="25" spans="2:57" s="522" customFormat="1" x14ac:dyDescent="0.3">
      <c r="B25" s="1444" t="s">
        <v>1556</v>
      </c>
      <c r="C25" s="1445"/>
      <c r="D25" s="1445"/>
      <c r="E25" s="1446"/>
      <c r="F25" s="1446"/>
      <c r="G25" s="1446"/>
      <c r="H25" s="1447"/>
      <c r="I25" s="1448"/>
      <c r="J25" s="1448"/>
      <c r="K25" s="1448"/>
      <c r="L25" s="1448"/>
      <c r="M25" s="1448"/>
      <c r="N25" s="1449"/>
      <c r="O25" s="1449"/>
      <c r="P25" s="1450"/>
      <c r="Q25" s="1451"/>
      <c r="R25" s="1451"/>
      <c r="S25" s="1451"/>
      <c r="T25" s="1451"/>
      <c r="U25" s="1451"/>
      <c r="V25" s="1451"/>
      <c r="W25" s="1451"/>
      <c r="X25" s="1451"/>
      <c r="Y25" s="1451"/>
      <c r="Z25" s="1451"/>
      <c r="AA25" s="1451"/>
      <c r="AB25" s="1451"/>
      <c r="AC25" s="1451"/>
      <c r="AD25" s="1451"/>
      <c r="AE25" s="1451"/>
      <c r="AF25" s="1451"/>
      <c r="AG25" s="1451"/>
      <c r="AH25" s="1451"/>
      <c r="AI25" s="1451"/>
      <c r="AJ25" s="1451"/>
      <c r="AK25" s="1451"/>
      <c r="AL25" s="1451"/>
      <c r="AM25" s="1451"/>
      <c r="AN25" s="1451"/>
      <c r="AO25" s="1451"/>
      <c r="AP25" s="1451"/>
      <c r="AQ25" s="1451"/>
      <c r="AR25" s="1451"/>
      <c r="AS25" s="1451"/>
      <c r="AT25" s="1451"/>
      <c r="AU25" s="1451"/>
      <c r="AV25" s="1451"/>
      <c r="AW25" s="1451"/>
      <c r="AX25" s="1451"/>
      <c r="AY25" s="1451"/>
      <c r="AZ25" s="1451"/>
      <c r="BA25" s="1451"/>
      <c r="BB25" s="1387"/>
      <c r="BC25" s="2360"/>
      <c r="BD25" s="466"/>
      <c r="BE25" s="466"/>
    </row>
    <row r="26" spans="2:57" s="522" customFormat="1" x14ac:dyDescent="0.3">
      <c r="B26" s="1437" t="s">
        <v>1557</v>
      </c>
      <c r="C26" s="1438"/>
      <c r="D26" s="1438"/>
      <c r="E26" s="1439"/>
      <c r="F26" s="1439"/>
      <c r="G26" s="1439"/>
      <c r="H26" s="122"/>
      <c r="I26" s="1440"/>
      <c r="J26" s="1441">
        <f>IF(ISTEXT(Notes!J11),Notes!J54,'LT. Asset'!J24)</f>
        <v>199</v>
      </c>
      <c r="K26" s="1441">
        <f>IF(ISTEXT(Notes!K11),Notes!K54,'LT. Asset'!K24)</f>
        <v>84.781570826000006</v>
      </c>
      <c r="L26" s="1441">
        <f>IF(ISTEXT(Notes!L11),Notes!L54,'LT. Asset'!L24)</f>
        <v>57.535595374000003</v>
      </c>
      <c r="M26" s="1441">
        <f>IF(ISTEXT(Notes!M11),Notes!M54,'LT. Asset'!M24)</f>
        <v>18.478405078000002</v>
      </c>
      <c r="N26" s="1441">
        <f>IF(ISTEXT(Notes!N11),Notes!N54,'LT. Asset'!N24)</f>
        <v>43.991415932000002</v>
      </c>
      <c r="O26" s="1441">
        <f>IF(ISTEXT(Notes!O11),Notes!O54,'LT. Asset'!O24)</f>
        <v>42.051353589000001</v>
      </c>
      <c r="P26" s="1574">
        <f>IF(ISTEXT(Notes!P11),Notes!P54,'LT. Asset'!P24)</f>
        <v>64.841582380000006</v>
      </c>
      <c r="Q26" s="1442">
        <f>Q24</f>
        <v>397.94205948665763</v>
      </c>
      <c r="R26" s="1442">
        <f t="shared" ref="R26:Z26" si="22">R24</f>
        <v>312.89170222851436</v>
      </c>
      <c r="S26" s="1442">
        <f t="shared" si="22"/>
        <v>70.127582085273986</v>
      </c>
      <c r="T26" s="1442">
        <f t="shared" si="22"/>
        <v>79.287698040155476</v>
      </c>
      <c r="U26" s="1442">
        <f t="shared" si="22"/>
        <v>80.863919951323581</v>
      </c>
      <c r="V26" s="1442">
        <f t="shared" si="22"/>
        <v>86.987315772535766</v>
      </c>
      <c r="W26" s="1442">
        <f t="shared" si="22"/>
        <v>94.944784379314981</v>
      </c>
      <c r="X26" s="1442">
        <f t="shared" si="22"/>
        <v>82.316805251576881</v>
      </c>
      <c r="Y26" s="1442">
        <f t="shared" si="22"/>
        <v>85.802397847766358</v>
      </c>
      <c r="Z26" s="1442">
        <f t="shared" si="22"/>
        <v>89.606985874086902</v>
      </c>
      <c r="AA26" s="1442"/>
      <c r="AB26" s="1410"/>
      <c r="AC26" s="1410"/>
      <c r="AD26" s="1410"/>
      <c r="AE26" s="1410"/>
      <c r="AF26" s="1410"/>
      <c r="AG26" s="1410"/>
      <c r="AH26" s="1410"/>
      <c r="AI26" s="1410"/>
      <c r="AJ26" s="1410"/>
      <c r="AK26" s="1410"/>
      <c r="AL26" s="1410"/>
      <c r="AM26" s="1410"/>
      <c r="AN26" s="1410"/>
      <c r="AO26" s="1410"/>
      <c r="AP26" s="1410"/>
      <c r="AQ26" s="1410"/>
      <c r="AR26" s="1410"/>
      <c r="AS26" s="1410"/>
      <c r="AT26" s="1410"/>
      <c r="AU26" s="1410"/>
      <c r="AV26" s="1410"/>
      <c r="AW26" s="1410"/>
      <c r="AX26" s="1410"/>
      <c r="AY26" s="1410"/>
      <c r="AZ26" s="1410"/>
      <c r="BA26" s="1410"/>
      <c r="BB26" s="1387"/>
      <c r="BC26" s="2360"/>
      <c r="BD26" s="466"/>
      <c r="BE26" s="466"/>
    </row>
    <row r="27" spans="2:57" s="522" customFormat="1" ht="13.8" thickBot="1" x14ac:dyDescent="0.35">
      <c r="B27" s="1437" t="s">
        <v>1558</v>
      </c>
      <c r="C27" s="1438"/>
      <c r="D27" s="1438"/>
      <c r="E27" s="1439"/>
      <c r="F27" s="1439"/>
      <c r="G27" s="1439"/>
      <c r="H27" s="122"/>
      <c r="I27" s="1440"/>
      <c r="J27" s="1441">
        <f>IF(ISTEXT(Notes!J11),Notes!J55,'LT. Asset'!J25)</f>
        <v>-1.72</v>
      </c>
      <c r="K27" s="1441">
        <f>IF(ISTEXT(Notes!K11),Notes!K55,'LT. Asset'!K25)</f>
        <v>-0.33973439999999999</v>
      </c>
      <c r="L27" s="1441">
        <f>IF(ISTEXT(Notes!L11),Notes!L55,'LT. Asset'!L25)</f>
        <v>-0.91691913400000002</v>
      </c>
      <c r="M27" s="1441">
        <f>IF(ISTEXT(Notes!M11),Notes!M55,'LT. Asset'!M25)</f>
        <v>-2.9769040059999998</v>
      </c>
      <c r="N27" s="1441">
        <f>IF(ISTEXT(Notes!N11),Notes!N55,'LT. Asset'!N25)</f>
        <v>-2.95</v>
      </c>
      <c r="O27" s="1441">
        <f>IF(ISTEXT(Notes!O11),Notes!O55,'LT. Asset'!O25)</f>
        <v>-3.252678806</v>
      </c>
      <c r="P27" s="1574">
        <f>IF(ISTEXT(Notes!P11),Notes!P55,'LT. Asset'!P25)</f>
        <v>-26.701215539</v>
      </c>
      <c r="Q27" s="1442">
        <v>0</v>
      </c>
      <c r="R27" s="1442">
        <v>0</v>
      </c>
      <c r="S27" s="1442">
        <f>R27</f>
        <v>0</v>
      </c>
      <c r="T27" s="1442">
        <f t="shared" ref="T27:Z27" si="23">S27</f>
        <v>0</v>
      </c>
      <c r="U27" s="1442">
        <f t="shared" si="23"/>
        <v>0</v>
      </c>
      <c r="V27" s="1442">
        <f t="shared" si="23"/>
        <v>0</v>
      </c>
      <c r="W27" s="1442">
        <f t="shared" si="23"/>
        <v>0</v>
      </c>
      <c r="X27" s="1442">
        <f t="shared" si="23"/>
        <v>0</v>
      </c>
      <c r="Y27" s="1442">
        <f t="shared" si="23"/>
        <v>0</v>
      </c>
      <c r="Z27" s="1442">
        <f t="shared" si="23"/>
        <v>0</v>
      </c>
      <c r="AA27" s="1442"/>
      <c r="AB27" s="1410"/>
      <c r="AC27" s="1410"/>
      <c r="AD27" s="1410"/>
      <c r="AE27" s="1410"/>
      <c r="AF27" s="1410"/>
      <c r="AG27" s="1410"/>
      <c r="AH27" s="1410"/>
      <c r="AI27" s="1410"/>
      <c r="AJ27" s="1410"/>
      <c r="AK27" s="1410"/>
      <c r="AL27" s="1410"/>
      <c r="AM27" s="1410"/>
      <c r="AN27" s="1410"/>
      <c r="AO27" s="1410"/>
      <c r="AP27" s="1410"/>
      <c r="AQ27" s="1410"/>
      <c r="AR27" s="1410"/>
      <c r="AS27" s="1410"/>
      <c r="AT27" s="1410"/>
      <c r="AU27" s="1410"/>
      <c r="AV27" s="1410"/>
      <c r="AW27" s="1410"/>
      <c r="AX27" s="1410"/>
      <c r="AY27" s="1410"/>
      <c r="AZ27" s="1410"/>
      <c r="BA27" s="1410"/>
      <c r="BB27" s="1387"/>
      <c r="BC27" s="2360"/>
      <c r="BD27" s="466"/>
      <c r="BE27" s="466"/>
    </row>
    <row r="28" spans="2:57" s="522" customFormat="1" ht="13.8" thickBot="1" x14ac:dyDescent="0.35">
      <c r="B28" s="1452" t="s">
        <v>1541</v>
      </c>
      <c r="C28" s="1453"/>
      <c r="D28" s="1453"/>
      <c r="E28" s="139"/>
      <c r="F28" s="139"/>
      <c r="G28" s="139"/>
      <c r="H28" s="139"/>
      <c r="I28" s="1454"/>
      <c r="J28" s="1455">
        <f>SUM(J23,J26,J27)</f>
        <v>304.46999999999997</v>
      </c>
      <c r="K28" s="1455">
        <f t="shared" ref="K28:Z28" si="24">SUM(K23,K26,K27)</f>
        <v>388.91654651200002</v>
      </c>
      <c r="L28" s="1455">
        <f t="shared" si="24"/>
        <v>445.53522275200004</v>
      </c>
      <c r="M28" s="1455">
        <f t="shared" si="24"/>
        <v>461.03672382399998</v>
      </c>
      <c r="N28" s="1455">
        <f t="shared" si="24"/>
        <v>502.08141593200003</v>
      </c>
      <c r="O28" s="1455">
        <f t="shared" si="24"/>
        <v>540.88351891100001</v>
      </c>
      <c r="P28" s="1575">
        <f t="shared" si="24"/>
        <v>579.02036684099994</v>
      </c>
      <c r="Q28" s="1456">
        <f t="shared" si="24"/>
        <v>976.96242632765757</v>
      </c>
      <c r="R28" s="1456">
        <f t="shared" si="24"/>
        <v>1289.8541285561719</v>
      </c>
      <c r="S28" s="1456">
        <f t="shared" si="24"/>
        <v>1359.9817106414459</v>
      </c>
      <c r="T28" s="1456">
        <f t="shared" si="24"/>
        <v>1439.2694086816014</v>
      </c>
      <c r="U28" s="1456">
        <f t="shared" si="24"/>
        <v>1520.133328632925</v>
      </c>
      <c r="V28" s="1456">
        <f t="shared" si="24"/>
        <v>1607.1206444054608</v>
      </c>
      <c r="W28" s="1456">
        <f t="shared" si="24"/>
        <v>1702.0654287847758</v>
      </c>
      <c r="X28" s="1456">
        <f t="shared" si="24"/>
        <v>1784.3822340363527</v>
      </c>
      <c r="Y28" s="1456">
        <f t="shared" si="24"/>
        <v>1870.184631884119</v>
      </c>
      <c r="Z28" s="1456">
        <f t="shared" si="24"/>
        <v>1959.7916177582058</v>
      </c>
      <c r="AA28" s="1456"/>
      <c r="AB28" s="1457"/>
      <c r="AC28" s="1457"/>
      <c r="AD28" s="1457"/>
      <c r="AE28" s="1457"/>
      <c r="AF28" s="1457"/>
      <c r="AG28" s="1457"/>
      <c r="AH28" s="1457"/>
      <c r="AI28" s="1457"/>
      <c r="AJ28" s="1457"/>
      <c r="AK28" s="1457"/>
      <c r="AL28" s="1457"/>
      <c r="AM28" s="1457"/>
      <c r="AN28" s="1457"/>
      <c r="AO28" s="1457"/>
      <c r="AP28" s="1457"/>
      <c r="AQ28" s="1457"/>
      <c r="AR28" s="1457"/>
      <c r="AS28" s="1457"/>
      <c r="AT28" s="1457"/>
      <c r="AU28" s="1457"/>
      <c r="AV28" s="1457"/>
      <c r="AW28" s="1457"/>
      <c r="AX28" s="1457"/>
      <c r="AY28" s="1457"/>
      <c r="AZ28" s="1457"/>
      <c r="BA28" s="1457"/>
      <c r="BB28" s="1407"/>
      <c r="BC28" s="2360"/>
      <c r="BD28" s="466"/>
      <c r="BE28" s="466"/>
    </row>
    <row r="29" spans="2:57" s="1458" customFormat="1" x14ac:dyDescent="0.3">
      <c r="C29" s="1459"/>
      <c r="D29" s="1459"/>
      <c r="E29" s="1460"/>
      <c r="F29" s="1460"/>
      <c r="G29" s="1460"/>
      <c r="H29" s="1460"/>
      <c r="I29" s="1461"/>
      <c r="J29" s="1461"/>
      <c r="K29" s="1462">
        <f>K28/J28-1</f>
        <v>0.27735588567674996</v>
      </c>
      <c r="L29" s="1462">
        <f t="shared" ref="L29:Z29" si="25">L28/K28-1</f>
        <v>0.14558052813073874</v>
      </c>
      <c r="M29" s="1462">
        <f t="shared" si="25"/>
        <v>3.4792986682959937E-2</v>
      </c>
      <c r="N29" s="1462">
        <f t="shared" si="25"/>
        <v>8.9026947284287949E-2</v>
      </c>
      <c r="O29" s="1462">
        <f t="shared" si="25"/>
        <v>7.728249193803105E-2</v>
      </c>
      <c r="P29" s="1576">
        <f t="shared" si="25"/>
        <v>7.0508430367380415E-2</v>
      </c>
      <c r="Q29" s="1560">
        <f t="shared" si="25"/>
        <v>0.68726781003876725</v>
      </c>
      <c r="R29" s="1560">
        <f t="shared" si="25"/>
        <v>0.32026994467397807</v>
      </c>
      <c r="S29" s="1560">
        <f t="shared" si="25"/>
        <v>5.4368614661700621E-2</v>
      </c>
      <c r="T29" s="1560">
        <f t="shared" si="25"/>
        <v>5.8300562000027645E-2</v>
      </c>
      <c r="U29" s="1560">
        <f t="shared" si="25"/>
        <v>5.6184005206778131E-2</v>
      </c>
      <c r="V29" s="1560">
        <f t="shared" si="25"/>
        <v>5.7223477792414768E-2</v>
      </c>
      <c r="W29" s="1560">
        <f t="shared" si="25"/>
        <v>5.9077571251310079E-2</v>
      </c>
      <c r="X29" s="1560">
        <f t="shared" si="25"/>
        <v>4.8362891261088947E-2</v>
      </c>
      <c r="Y29" s="1560">
        <f t="shared" si="25"/>
        <v>4.808521190758408E-2</v>
      </c>
      <c r="Z29" s="1560">
        <f t="shared" si="25"/>
        <v>4.7913443596107497E-2</v>
      </c>
      <c r="AA29" s="1463"/>
      <c r="AB29" s="1464"/>
      <c r="AC29" s="1464"/>
      <c r="AD29" s="1464"/>
      <c r="AE29" s="1464"/>
      <c r="AF29" s="1464"/>
      <c r="AG29" s="1464"/>
      <c r="AH29" s="1464"/>
      <c r="AI29" s="1464"/>
      <c r="AJ29" s="1464"/>
      <c r="AK29" s="1464"/>
      <c r="AL29" s="1464"/>
      <c r="AM29" s="1464"/>
      <c r="AN29" s="1464"/>
      <c r="AO29" s="1464"/>
      <c r="AP29" s="1464"/>
      <c r="AQ29" s="1464"/>
      <c r="AR29" s="1464"/>
      <c r="AS29" s="1464"/>
      <c r="AT29" s="1464"/>
      <c r="AU29" s="1464"/>
      <c r="AV29" s="1464"/>
      <c r="AW29" s="1464"/>
      <c r="AX29" s="1464"/>
      <c r="AY29" s="1464"/>
      <c r="AZ29" s="1464"/>
      <c r="BA29" s="1464"/>
      <c r="BB29" s="1465"/>
      <c r="BC29" s="2360"/>
      <c r="BD29" s="1466"/>
      <c r="BE29" s="1466"/>
    </row>
    <row r="30" spans="2:57" s="1458" customFormat="1" x14ac:dyDescent="0.3">
      <c r="B30" s="1459" t="s">
        <v>1559</v>
      </c>
      <c r="C30" s="1459"/>
      <c r="D30" s="1459"/>
      <c r="E30" s="1460"/>
      <c r="F30" s="1460"/>
      <c r="G30" s="1460"/>
      <c r="H30" s="1460"/>
      <c r="I30" s="1461"/>
      <c r="J30" s="1461"/>
      <c r="K30" s="1462"/>
      <c r="L30" s="1462"/>
      <c r="M30" s="1462"/>
      <c r="N30" s="1462"/>
      <c r="O30" s="1462"/>
      <c r="P30" s="1576"/>
      <c r="Q30" s="1463"/>
      <c r="R30" s="1463"/>
      <c r="S30" s="1463"/>
      <c r="T30" s="1463"/>
      <c r="U30" s="1463"/>
      <c r="V30" s="1463"/>
      <c r="W30" s="1463"/>
      <c r="X30" s="1463"/>
      <c r="Y30" s="1463"/>
      <c r="Z30" s="1463"/>
      <c r="AA30" s="1463"/>
      <c r="AB30" s="1464"/>
      <c r="AC30" s="1464"/>
      <c r="AD30" s="1464"/>
      <c r="AE30" s="1464"/>
      <c r="AF30" s="1464"/>
      <c r="AG30" s="1464"/>
      <c r="AH30" s="1464"/>
      <c r="AI30" s="1464"/>
      <c r="AJ30" s="1464"/>
      <c r="AK30" s="1464"/>
      <c r="AL30" s="1464"/>
      <c r="AM30" s="1464"/>
      <c r="AN30" s="1464"/>
      <c r="AO30" s="1464"/>
      <c r="AP30" s="1464"/>
      <c r="AQ30" s="1464"/>
      <c r="AR30" s="1464"/>
      <c r="AS30" s="1464"/>
      <c r="AT30" s="1464"/>
      <c r="AU30" s="1464"/>
      <c r="AV30" s="1464"/>
      <c r="AW30" s="1464"/>
      <c r="AX30" s="1464"/>
      <c r="AY30" s="1464"/>
      <c r="AZ30" s="1464"/>
      <c r="BA30" s="1464"/>
      <c r="BB30" s="1465"/>
      <c r="BC30" s="2360"/>
      <c r="BD30" s="1466"/>
      <c r="BE30" s="1466"/>
    </row>
    <row r="31" spans="2:57" s="1468" customFormat="1" x14ac:dyDescent="0.3">
      <c r="B31" s="1467" t="s">
        <v>1560</v>
      </c>
      <c r="C31" s="1467"/>
      <c r="D31" s="1467"/>
      <c r="I31" s="1469"/>
      <c r="J31" s="1470">
        <f>IF(ISTEXT(Notes!J11),J28-'BS Raw'!J52/$B$1,"Chưa có BCTC")</f>
        <v>-4.7100860000455214E-3</v>
      </c>
      <c r="K31" s="1470">
        <f>IF(ISTEXT(Notes!K11),K28-'BS Raw'!K52/$B$1,"Chưa có BCTC")</f>
        <v>0</v>
      </c>
      <c r="L31" s="1470">
        <f>IF(ISTEXT(Notes!L11),L28-'BS Raw'!L52/$B$1,"Chưa có BCTC")</f>
        <v>5.6843418860808015E-14</v>
      </c>
      <c r="M31" s="1470">
        <f>IF(ISTEXT(Notes!M11),M28-'BS Raw'!M52/$B$1,"Chưa có BCTC")</f>
        <v>0</v>
      </c>
      <c r="N31" s="1470">
        <f>IF(ISTEXT(Notes!N11),N28-'BS Raw'!N52/$B$1,"Chưa có BCTC")</f>
        <v>-3.4281959999589162E-3</v>
      </c>
      <c r="O31" s="1470">
        <f>IF(ISTEXT(Notes!O11),O28-'BS Raw'!O52/$B$1,"Chưa có BCTC")</f>
        <v>0</v>
      </c>
      <c r="P31" s="1577">
        <f>IF(ISTEXT(Notes!P11),P28-'BS Raw'!P52/$B$1,"Chưa có BCTC")</f>
        <v>-3.5189110000146684E-3</v>
      </c>
      <c r="Q31" s="1470" t="str">
        <f>IF(ISTEXT(Notes!Q11),Q28-'BS Raw'!Q52/$B$1,"Chưa có BCTC")</f>
        <v>Chưa có BCTC</v>
      </c>
      <c r="R31" s="1470" t="str">
        <f>IF(ISTEXT(Notes!R11),R28-'BS Raw'!R52/$B$1,"Chưa có BCTC")</f>
        <v>Chưa có BCTC</v>
      </c>
      <c r="S31" s="1470" t="str">
        <f>IF(ISTEXT(Notes!S11),S28-'BS Raw'!S52/$B$1,"Chưa có BCTC")</f>
        <v>Chưa có BCTC</v>
      </c>
      <c r="T31" s="1470" t="str">
        <f>IF(ISTEXT(Notes!T11),T28-'BS Raw'!T52/$B$1,"Chưa có BCTC")</f>
        <v>Chưa có BCTC</v>
      </c>
      <c r="U31" s="1470" t="str">
        <f>IF(ISTEXT(Notes!U11),U28-'BS Raw'!U52/$B$1,"Chưa có BCTC")</f>
        <v>Chưa có BCTC</v>
      </c>
      <c r="V31" s="1470" t="str">
        <f>IF(ISTEXT(Notes!V11),V28-'BS Raw'!V52/$B$1,"Chưa có BCTC")</f>
        <v>Chưa có BCTC</v>
      </c>
      <c r="W31" s="1470" t="str">
        <f>IF(ISTEXT(Notes!W11),W28-'BS Raw'!W52/$B$1,"Chưa có BCTC")</f>
        <v>Chưa có BCTC</v>
      </c>
      <c r="X31" s="1470" t="str">
        <f>IF(ISTEXT(Notes!X11),X28-'BS Raw'!X52/$B$1,"Chưa có BCTC")</f>
        <v>Chưa có BCTC</v>
      </c>
      <c r="Y31" s="1470" t="str">
        <f>IF(ISTEXT(Notes!Y11),Y28-'BS Raw'!Y52/$B$1,"Chưa có BCTC")</f>
        <v>Chưa có BCTC</v>
      </c>
      <c r="Z31" s="1470" t="str">
        <f>IF(ISTEXT(Notes!Z11),Z28-'BS Raw'!Z52/$B$1,"Chưa có BCTC")</f>
        <v>Chưa có BCTC</v>
      </c>
      <c r="AA31" s="1469"/>
      <c r="AB31" s="1469"/>
      <c r="AC31" s="1469"/>
      <c r="AD31" s="1469"/>
      <c r="AE31" s="1469"/>
      <c r="AF31" s="1469"/>
      <c r="AG31" s="1469"/>
      <c r="AH31" s="1469"/>
      <c r="AI31" s="1469"/>
      <c r="AJ31" s="1469"/>
      <c r="AK31" s="1469"/>
      <c r="AL31" s="1469"/>
      <c r="AM31" s="1469"/>
      <c r="AN31" s="1469"/>
      <c r="AO31" s="1469"/>
      <c r="AP31" s="1469"/>
      <c r="AQ31" s="1469"/>
      <c r="AR31" s="1469"/>
      <c r="AS31" s="1469"/>
      <c r="AT31" s="1469"/>
      <c r="AU31" s="1469"/>
      <c r="AV31" s="1469"/>
      <c r="AW31" s="1469"/>
      <c r="AX31" s="1469"/>
      <c r="AY31" s="1469"/>
      <c r="AZ31" s="1469"/>
      <c r="BA31" s="1469"/>
      <c r="BC31" s="2360"/>
    </row>
    <row r="32" spans="2:57" s="1458" customFormat="1" ht="13.8" x14ac:dyDescent="0.3">
      <c r="B32" s="1459"/>
      <c r="C32" s="1459"/>
      <c r="D32" s="1459"/>
      <c r="E32" s="1460"/>
      <c r="F32" s="1460"/>
      <c r="G32" s="1460"/>
      <c r="H32" s="1460"/>
      <c r="I32" s="1461"/>
      <c r="J32" s="1461"/>
      <c r="K32" s="1461"/>
      <c r="L32" s="1461"/>
      <c r="M32" s="1461"/>
      <c r="N32" s="1471"/>
      <c r="O32" s="1471"/>
      <c r="P32" s="1472"/>
      <c r="Q32" s="1461"/>
      <c r="R32" s="1461"/>
      <c r="S32" s="1461"/>
      <c r="T32" s="1461"/>
      <c r="U32" s="1461"/>
      <c r="V32" s="1461"/>
      <c r="W32" s="1461"/>
      <c r="X32" s="1461"/>
      <c r="Y32" s="1461"/>
      <c r="Z32" s="1461"/>
      <c r="AA32" s="1461"/>
      <c r="AB32" s="1461"/>
      <c r="AC32" s="1461"/>
      <c r="AD32" s="1461"/>
      <c r="AE32" s="1461"/>
      <c r="AF32" s="1461"/>
      <c r="AG32" s="1461"/>
      <c r="AH32" s="1461"/>
      <c r="AI32" s="1461"/>
      <c r="AJ32" s="1461"/>
      <c r="AK32" s="1461"/>
      <c r="AL32" s="1461"/>
      <c r="AM32" s="1461"/>
      <c r="AN32" s="1461"/>
      <c r="AO32" s="1461"/>
      <c r="AP32" s="1461"/>
      <c r="AQ32" s="1461"/>
      <c r="AR32" s="1461"/>
      <c r="AS32" s="1461"/>
      <c r="AT32" s="1461"/>
      <c r="AU32" s="1461"/>
      <c r="AV32" s="1461"/>
      <c r="AW32" s="1461"/>
      <c r="AX32" s="1461"/>
      <c r="AY32" s="1461"/>
      <c r="AZ32" s="1461"/>
      <c r="BA32" s="1461"/>
      <c r="BB32" s="1465"/>
      <c r="BC32" s="2360"/>
      <c r="BD32" s="1466"/>
      <c r="BE32" s="1466"/>
    </row>
    <row r="33" spans="2:57" s="522" customFormat="1" x14ac:dyDescent="0.3">
      <c r="B33" s="1426" t="s">
        <v>1561</v>
      </c>
      <c r="C33" s="1426"/>
      <c r="D33" s="1426"/>
      <c r="E33" s="1434"/>
      <c r="F33" s="1434"/>
      <c r="G33" s="1434"/>
      <c r="H33" s="122"/>
      <c r="I33" s="1440"/>
      <c r="J33" s="1440"/>
      <c r="K33" s="1440"/>
      <c r="L33" s="1440"/>
      <c r="M33" s="1440"/>
      <c r="N33" s="1440"/>
      <c r="O33" s="1440"/>
      <c r="P33" s="1473"/>
      <c r="Q33" s="1440"/>
      <c r="R33" s="1440"/>
      <c r="S33" s="1440"/>
      <c r="T33" s="1440"/>
      <c r="U33" s="1440"/>
      <c r="V33" s="1440"/>
      <c r="W33" s="1440"/>
      <c r="X33" s="1440"/>
      <c r="Y33" s="1440"/>
      <c r="Z33" s="1440"/>
      <c r="AA33" s="1440"/>
      <c r="AB33" s="1440"/>
      <c r="AC33" s="1440"/>
      <c r="AD33" s="1440"/>
      <c r="AE33" s="1440"/>
      <c r="AF33" s="1440"/>
      <c r="AG33" s="1440"/>
      <c r="AH33" s="1440"/>
      <c r="AI33" s="1440"/>
      <c r="AJ33" s="1440"/>
      <c r="AK33" s="1440"/>
      <c r="AL33" s="1440"/>
      <c r="AM33" s="1440"/>
      <c r="AN33" s="1440"/>
      <c r="AO33" s="1440"/>
      <c r="AP33" s="1440"/>
      <c r="AQ33" s="1440"/>
      <c r="AR33" s="1440"/>
      <c r="AS33" s="1440"/>
      <c r="AT33" s="1440"/>
      <c r="AU33" s="1440"/>
      <c r="AV33" s="1440"/>
      <c r="AW33" s="1440"/>
      <c r="AX33" s="1440"/>
      <c r="AY33" s="1440"/>
      <c r="AZ33" s="1440"/>
      <c r="BA33" s="1440"/>
      <c r="BB33" s="1387"/>
      <c r="BC33" s="2360"/>
      <c r="BD33" s="466"/>
      <c r="BE33" s="466"/>
    </row>
    <row r="34" spans="2:57" s="522" customFormat="1" x14ac:dyDescent="0.3">
      <c r="B34" s="1437" t="s">
        <v>1554</v>
      </c>
      <c r="C34" s="1438"/>
      <c r="D34" s="1438"/>
      <c r="E34" s="1439"/>
      <c r="F34" s="1439"/>
      <c r="G34" s="1439"/>
      <c r="H34" s="122"/>
      <c r="I34" s="1440"/>
      <c r="J34" s="1441">
        <f>Notes!J57/$B$1</f>
        <v>38.549999999999997</v>
      </c>
      <c r="K34" s="1441">
        <f>Notes!K57/$B$1</f>
        <v>178.880476625</v>
      </c>
      <c r="L34" s="1441">
        <f>Notes!L57/$B$1</f>
        <v>206.43423748000001</v>
      </c>
      <c r="M34" s="1441">
        <f>Notes!M57/$B$1</f>
        <v>250.96</v>
      </c>
      <c r="N34" s="1441">
        <f>Notes!N57/$B$1</f>
        <v>293.13988391200002</v>
      </c>
      <c r="O34" s="1441">
        <f>Notes!O57/$B$1</f>
        <v>321.82623683200001</v>
      </c>
      <c r="P34" s="1578">
        <f>Notes!P57/$B$1</f>
        <v>353.99</v>
      </c>
      <c r="Q34" s="1442">
        <f>P39</f>
        <v>392.34747936200006</v>
      </c>
      <c r="R34" s="1442">
        <f t="shared" ref="R34:Z34" si="26">Q39</f>
        <v>491.03636607666579</v>
      </c>
      <c r="S34" s="1442">
        <f t="shared" si="26"/>
        <v>621.01442301418297</v>
      </c>
      <c r="T34" s="1442">
        <f t="shared" si="26"/>
        <v>758.00523816022758</v>
      </c>
      <c r="U34" s="1442">
        <f t="shared" si="26"/>
        <v>854.01898752528757</v>
      </c>
      <c r="V34" s="1442">
        <f t="shared" si="26"/>
        <v>948.13028370448012</v>
      </c>
      <c r="W34" s="1442">
        <f t="shared" si="26"/>
        <v>1050.9403114609263</v>
      </c>
      <c r="X34" s="1442">
        <f t="shared" si="26"/>
        <v>1163.2448176553039</v>
      </c>
      <c r="Y34" s="1442">
        <f t="shared" si="26"/>
        <v>1283.7810043748391</v>
      </c>
      <c r="Z34" s="1442">
        <f t="shared" si="26"/>
        <v>1412.897430879151</v>
      </c>
      <c r="AA34" s="1410"/>
      <c r="AB34" s="1410"/>
      <c r="AC34" s="1410"/>
      <c r="AD34" s="1410"/>
      <c r="AE34" s="1410"/>
      <c r="AF34" s="1410"/>
      <c r="AG34" s="1410"/>
      <c r="AH34" s="1410"/>
      <c r="AI34" s="1410"/>
      <c r="AJ34" s="1410"/>
      <c r="AK34" s="1410"/>
      <c r="AL34" s="1410"/>
      <c r="AM34" s="1410"/>
      <c r="AN34" s="1410"/>
      <c r="AO34" s="1410"/>
      <c r="AP34" s="1410"/>
      <c r="AQ34" s="1410"/>
      <c r="AR34" s="1410"/>
      <c r="AS34" s="1410"/>
      <c r="AT34" s="1410"/>
      <c r="AU34" s="1410"/>
      <c r="AV34" s="1410"/>
      <c r="AW34" s="1410"/>
      <c r="AX34" s="1410"/>
      <c r="AY34" s="1410"/>
      <c r="AZ34" s="1410"/>
      <c r="BA34" s="1410"/>
      <c r="BB34" s="1387"/>
      <c r="BC34" s="2360"/>
      <c r="BD34" s="466"/>
      <c r="BE34" s="466"/>
    </row>
    <row r="35" spans="2:57" s="522" customFormat="1" x14ac:dyDescent="0.3">
      <c r="B35" s="1437" t="s">
        <v>1555</v>
      </c>
      <c r="C35" s="1438"/>
      <c r="D35" s="1438"/>
      <c r="E35" s="1439"/>
      <c r="F35" s="1439"/>
      <c r="G35" s="1439"/>
      <c r="H35" s="122"/>
      <c r="I35" s="1440"/>
      <c r="J35" s="1440"/>
      <c r="K35" s="1440"/>
      <c r="L35" s="1440"/>
      <c r="M35" s="1440"/>
      <c r="N35" s="1408"/>
      <c r="O35" s="1408"/>
      <c r="P35" s="1409"/>
      <c r="Q35" s="1442">
        <f>Q242</f>
        <v>98.688886714665756</v>
      </c>
      <c r="R35" s="1442">
        <f t="shared" ref="R35:AH35" si="27">R242</f>
        <v>129.97805693751718</v>
      </c>
      <c r="S35" s="1442">
        <f t="shared" si="27"/>
        <v>136.99081514604458</v>
      </c>
      <c r="T35" s="1442">
        <f t="shared" si="27"/>
        <v>96.013749365060036</v>
      </c>
      <c r="U35" s="1442">
        <f t="shared" si="27"/>
        <v>94.111296179192507</v>
      </c>
      <c r="V35" s="1442">
        <f t="shared" si="27"/>
        <v>102.81002775644609</v>
      </c>
      <c r="W35" s="1442">
        <f t="shared" si="27"/>
        <v>112.30450619437758</v>
      </c>
      <c r="X35" s="1442">
        <f t="shared" si="27"/>
        <v>120.53618671953527</v>
      </c>
      <c r="Y35" s="1442">
        <f t="shared" si="27"/>
        <v>129.1164265043119</v>
      </c>
      <c r="Z35" s="1442">
        <f t="shared" si="27"/>
        <v>138.0771250917206</v>
      </c>
      <c r="AA35" s="1442">
        <f t="shared" si="27"/>
        <v>0</v>
      </c>
      <c r="AB35" s="1442">
        <f t="shared" si="27"/>
        <v>0</v>
      </c>
      <c r="AC35" s="1442">
        <f t="shared" si="27"/>
        <v>0</v>
      </c>
      <c r="AD35" s="1442">
        <f t="shared" si="27"/>
        <v>0</v>
      </c>
      <c r="AE35" s="1442">
        <f t="shared" si="27"/>
        <v>0</v>
      </c>
      <c r="AF35" s="1442">
        <f t="shared" si="27"/>
        <v>0</v>
      </c>
      <c r="AG35" s="1442">
        <f t="shared" si="27"/>
        <v>0</v>
      </c>
      <c r="AH35" s="1442">
        <f t="shared" si="27"/>
        <v>0</v>
      </c>
      <c r="AI35" s="1442"/>
      <c r="AJ35" s="1442"/>
      <c r="AK35" s="1442"/>
      <c r="AL35" s="1442"/>
      <c r="AM35" s="1442"/>
      <c r="AN35" s="1442"/>
      <c r="AO35" s="1442"/>
      <c r="AP35" s="1442"/>
      <c r="AQ35" s="1442"/>
      <c r="AR35" s="1442"/>
      <c r="AS35" s="1442"/>
      <c r="AT35" s="1442"/>
      <c r="AU35" s="1442"/>
      <c r="AV35" s="1442"/>
      <c r="AW35" s="1410"/>
      <c r="AX35" s="1410"/>
      <c r="AY35" s="1410"/>
      <c r="AZ35" s="1410"/>
      <c r="BA35" s="1410"/>
      <c r="BB35" s="1387"/>
      <c r="BC35" s="2360"/>
      <c r="BD35" s="466"/>
      <c r="BE35" s="466"/>
    </row>
    <row r="36" spans="2:57" s="522" customFormat="1" x14ac:dyDescent="0.3">
      <c r="B36" s="1444" t="s">
        <v>1556</v>
      </c>
      <c r="C36" s="1445"/>
      <c r="D36" s="1445"/>
      <c r="E36" s="1446"/>
      <c r="F36" s="1446"/>
      <c r="G36" s="1446"/>
      <c r="H36" s="1447"/>
      <c r="I36" s="1448"/>
      <c r="J36" s="1448"/>
      <c r="K36" s="1448"/>
      <c r="L36" s="1448"/>
      <c r="M36" s="1448"/>
      <c r="N36" s="1449"/>
      <c r="O36" s="1449"/>
      <c r="P36" s="1450"/>
      <c r="Q36" s="1451"/>
      <c r="R36" s="1451"/>
      <c r="S36" s="1451"/>
      <c r="T36" s="1451"/>
      <c r="U36" s="1451"/>
      <c r="V36" s="1451"/>
      <c r="W36" s="1451"/>
      <c r="X36" s="1451"/>
      <c r="Y36" s="1451"/>
      <c r="Z36" s="1451"/>
      <c r="AA36" s="1451"/>
      <c r="AB36" s="1451"/>
      <c r="AC36" s="1451"/>
      <c r="AD36" s="1451"/>
      <c r="AE36" s="1451"/>
      <c r="AF36" s="1451"/>
      <c r="AG36" s="1451"/>
      <c r="AH36" s="1451"/>
      <c r="AI36" s="1451"/>
      <c r="AJ36" s="1451"/>
      <c r="AK36" s="1451"/>
      <c r="AL36" s="1451"/>
      <c r="AM36" s="1451"/>
      <c r="AN36" s="1451"/>
      <c r="AO36" s="1451"/>
      <c r="AP36" s="1451"/>
      <c r="AQ36" s="1451"/>
      <c r="AR36" s="1451"/>
      <c r="AS36" s="1451"/>
      <c r="AT36" s="1451"/>
      <c r="AU36" s="1451"/>
      <c r="AV36" s="1451"/>
      <c r="AW36" s="1451"/>
      <c r="AX36" s="1451"/>
      <c r="AY36" s="1451"/>
      <c r="AZ36" s="1451"/>
      <c r="BA36" s="1451"/>
      <c r="BB36" s="1387"/>
      <c r="BC36" s="2360"/>
      <c r="BD36" s="466"/>
      <c r="BE36" s="466"/>
    </row>
    <row r="37" spans="2:57" s="522" customFormat="1" x14ac:dyDescent="0.3">
      <c r="B37" s="1437" t="s">
        <v>1557</v>
      </c>
      <c r="C37" s="1438"/>
      <c r="D37" s="1438"/>
      <c r="E37" s="1439"/>
      <c r="F37" s="1439"/>
      <c r="G37" s="1439"/>
      <c r="H37" s="122"/>
      <c r="I37" s="1440"/>
      <c r="J37" s="1441">
        <f>IF(ISTEXT(Notes!J11),Notes!J58/$B$1,J35)</f>
        <v>141.30000000000001</v>
      </c>
      <c r="K37" s="1441">
        <f>IF(ISTEXT(Notes!K11),Notes!K58/$B$1,K35)</f>
        <v>36.358490255</v>
      </c>
      <c r="L37" s="1441">
        <f>IF(ISTEXT(Notes!L11),Notes!L58/$B$1,L35)</f>
        <v>45.443967305000001</v>
      </c>
      <c r="M37" s="1441">
        <f>IF(ISTEXT(Notes!M11),Notes!M58/$B$1,M35)</f>
        <v>45.155502267000003</v>
      </c>
      <c r="N37" s="1441">
        <f>IF(ISTEXT(Notes!N11),Notes!N58/$B$1,N35)</f>
        <v>31.629648547999999</v>
      </c>
      <c r="O37" s="1441">
        <f>IF(ISTEXT(Notes!O11),Notes!O58/$B$1,O35)</f>
        <v>35.418883297999997</v>
      </c>
      <c r="P37" s="1579">
        <f>IF(ISTEXT(Notes!P11),Notes!P58/$B$1,P35)</f>
        <v>58.894680766</v>
      </c>
      <c r="Q37" s="1442">
        <f>Q35</f>
        <v>98.688886714665756</v>
      </c>
      <c r="R37" s="1442">
        <f t="shared" ref="R37:Z37" si="28">R35</f>
        <v>129.97805693751718</v>
      </c>
      <c r="S37" s="1442">
        <f t="shared" si="28"/>
        <v>136.99081514604458</v>
      </c>
      <c r="T37" s="1442">
        <f t="shared" si="28"/>
        <v>96.013749365060036</v>
      </c>
      <c r="U37" s="1442">
        <f t="shared" si="28"/>
        <v>94.111296179192507</v>
      </c>
      <c r="V37" s="1442">
        <f t="shared" si="28"/>
        <v>102.81002775644609</v>
      </c>
      <c r="W37" s="1442">
        <f t="shared" si="28"/>
        <v>112.30450619437758</v>
      </c>
      <c r="X37" s="1442">
        <f t="shared" si="28"/>
        <v>120.53618671953527</v>
      </c>
      <c r="Y37" s="1442">
        <f t="shared" si="28"/>
        <v>129.1164265043119</v>
      </c>
      <c r="Z37" s="1442">
        <f t="shared" si="28"/>
        <v>138.0771250917206</v>
      </c>
      <c r="AA37" s="1442"/>
      <c r="AB37" s="1410"/>
      <c r="AC37" s="1410"/>
      <c r="AD37" s="1410"/>
      <c r="AE37" s="1410"/>
      <c r="AF37" s="1410"/>
      <c r="AG37" s="1410"/>
      <c r="AH37" s="1410"/>
      <c r="AI37" s="1410"/>
      <c r="AJ37" s="1410"/>
      <c r="AK37" s="1410"/>
      <c r="AL37" s="1410"/>
      <c r="AM37" s="1410"/>
      <c r="AN37" s="1410"/>
      <c r="AO37" s="1410"/>
      <c r="AP37" s="1410"/>
      <c r="AQ37" s="1410"/>
      <c r="AR37" s="1410"/>
      <c r="AS37" s="1410"/>
      <c r="AT37" s="1410"/>
      <c r="AU37" s="1410"/>
      <c r="AV37" s="1410"/>
      <c r="AW37" s="1410"/>
      <c r="AX37" s="1410"/>
      <c r="AY37" s="1410"/>
      <c r="AZ37" s="1410"/>
      <c r="BA37" s="1410"/>
      <c r="BB37" s="1387"/>
      <c r="BC37" s="2360"/>
      <c r="BD37" s="466"/>
      <c r="BE37" s="466"/>
    </row>
    <row r="38" spans="2:57" s="522" customFormat="1" x14ac:dyDescent="0.3">
      <c r="B38" s="1437" t="s">
        <v>1558</v>
      </c>
      <c r="C38" s="1438"/>
      <c r="D38" s="1438"/>
      <c r="E38" s="1439"/>
      <c r="F38" s="1439"/>
      <c r="G38" s="1439"/>
      <c r="H38" s="122"/>
      <c r="I38" s="1440"/>
      <c r="J38" s="1441">
        <f>IF(ISTEXT(Notes!J11),Notes!J59/$B$1,J36)</f>
        <v>-0.97</v>
      </c>
      <c r="K38" s="1441">
        <f>IF(ISTEXT(Notes!K11),Notes!K59/$B$1,K36)</f>
        <v>-8.8047293999999994</v>
      </c>
      <c r="L38" s="1441">
        <f>IF(ISTEXT(Notes!L11),Notes!L59/$B$1,L36)</f>
        <v>-0.91691913400000002</v>
      </c>
      <c r="M38" s="1441">
        <f>IF(ISTEXT(Notes!M11),Notes!M59/$B$1,M36)</f>
        <v>-2.9769040059999998</v>
      </c>
      <c r="N38" s="1441">
        <f>IF(ISTEXT(Notes!N11),Notes!N59/$B$1,N36)</f>
        <v>-2.943295628</v>
      </c>
      <c r="O38" s="1441">
        <f>IF(ISTEXT(Notes!O11),Notes!O59/$B$1,O36)</f>
        <v>-3.252678806</v>
      </c>
      <c r="P38" s="1574">
        <f>IF(ISTEXT(Notes!P11),Notes!P59/$B$1,P36)</f>
        <v>-20.537201404000001</v>
      </c>
      <c r="Q38" s="1410"/>
      <c r="R38" s="1410"/>
      <c r="S38" s="1410"/>
      <c r="T38" s="1410"/>
      <c r="U38" s="1410"/>
      <c r="V38" s="1410"/>
      <c r="W38" s="1410"/>
      <c r="X38" s="1410"/>
      <c r="Y38" s="1410"/>
      <c r="Z38" s="1410"/>
      <c r="AA38" s="1410"/>
      <c r="AB38" s="1410"/>
      <c r="AC38" s="1410"/>
      <c r="AD38" s="1410"/>
      <c r="AE38" s="1410"/>
      <c r="AF38" s="1410"/>
      <c r="AG38" s="1410"/>
      <c r="AH38" s="1410"/>
      <c r="AI38" s="1410"/>
      <c r="AJ38" s="1410"/>
      <c r="AK38" s="1410"/>
      <c r="AL38" s="1410"/>
      <c r="AM38" s="1410"/>
      <c r="AN38" s="1410"/>
      <c r="AO38" s="1410"/>
      <c r="AP38" s="1410"/>
      <c r="AQ38" s="1410"/>
      <c r="AR38" s="1410"/>
      <c r="AS38" s="1410"/>
      <c r="AT38" s="1410"/>
      <c r="AU38" s="1410"/>
      <c r="AV38" s="1410"/>
      <c r="AW38" s="1410"/>
      <c r="AX38" s="1410"/>
      <c r="AY38" s="1410"/>
      <c r="AZ38" s="1410"/>
      <c r="BA38" s="1410"/>
      <c r="BB38" s="1387"/>
      <c r="BC38" s="1443"/>
      <c r="BD38" s="466"/>
      <c r="BE38" s="466"/>
    </row>
    <row r="39" spans="2:57" s="522" customFormat="1" x14ac:dyDescent="0.3">
      <c r="B39" s="1474" t="s">
        <v>1562</v>
      </c>
      <c r="C39" s="1453"/>
      <c r="D39" s="1453"/>
      <c r="E39" s="139"/>
      <c r="F39" s="139"/>
      <c r="G39" s="139"/>
      <c r="H39" s="139"/>
      <c r="I39" s="1454"/>
      <c r="J39" s="1455">
        <f>SUM(J34,J37,J38)</f>
        <v>178.88000000000002</v>
      </c>
      <c r="K39" s="1455">
        <f t="shared" ref="K39:P39" si="29">SUM(K34,K37,K38)</f>
        <v>206.43423747999998</v>
      </c>
      <c r="L39" s="1455">
        <f t="shared" si="29"/>
        <v>250.961285651</v>
      </c>
      <c r="M39" s="1455">
        <f t="shared" si="29"/>
        <v>293.13859826100003</v>
      </c>
      <c r="N39" s="1455">
        <f t="shared" si="29"/>
        <v>321.82623683200001</v>
      </c>
      <c r="O39" s="1455">
        <f t="shared" si="29"/>
        <v>353.99244132400003</v>
      </c>
      <c r="P39" s="1575">
        <f t="shared" si="29"/>
        <v>392.34747936200006</v>
      </c>
      <c r="Q39" s="1457">
        <f>SUM(Q34,Q37,Q38)</f>
        <v>491.03636607666579</v>
      </c>
      <c r="R39" s="1457">
        <f t="shared" ref="R39:Z39" si="30">SUM(R34,R37,R38)</f>
        <v>621.01442301418297</v>
      </c>
      <c r="S39" s="1457">
        <f t="shared" si="30"/>
        <v>758.00523816022758</v>
      </c>
      <c r="T39" s="1457">
        <f t="shared" si="30"/>
        <v>854.01898752528757</v>
      </c>
      <c r="U39" s="1457">
        <f t="shared" si="30"/>
        <v>948.13028370448012</v>
      </c>
      <c r="V39" s="1457">
        <f t="shared" si="30"/>
        <v>1050.9403114609263</v>
      </c>
      <c r="W39" s="1457">
        <f t="shared" si="30"/>
        <v>1163.2448176553039</v>
      </c>
      <c r="X39" s="1457">
        <f t="shared" si="30"/>
        <v>1283.7810043748391</v>
      </c>
      <c r="Y39" s="1457">
        <f t="shared" si="30"/>
        <v>1412.897430879151</v>
      </c>
      <c r="Z39" s="1457">
        <f t="shared" si="30"/>
        <v>1550.9745559708715</v>
      </c>
      <c r="AA39" s="1457"/>
      <c r="AB39" s="1457"/>
      <c r="AC39" s="1457"/>
      <c r="AD39" s="1457"/>
      <c r="AE39" s="1457"/>
      <c r="AF39" s="1457"/>
      <c r="AG39" s="1457"/>
      <c r="AH39" s="1457"/>
      <c r="AI39" s="1457"/>
      <c r="AJ39" s="1457"/>
      <c r="AK39" s="1457"/>
      <c r="AL39" s="1457"/>
      <c r="AM39" s="1457"/>
      <c r="AN39" s="1457"/>
      <c r="AO39" s="1457"/>
      <c r="AP39" s="1457"/>
      <c r="AQ39" s="1457"/>
      <c r="AR39" s="1457"/>
      <c r="AS39" s="1457"/>
      <c r="AT39" s="1457"/>
      <c r="AU39" s="1457"/>
      <c r="AV39" s="1457"/>
      <c r="AW39" s="1457"/>
      <c r="AX39" s="1457"/>
      <c r="AY39" s="1457"/>
      <c r="AZ39" s="1457"/>
      <c r="BA39" s="1457"/>
      <c r="BB39" s="1407"/>
      <c r="BC39" s="466"/>
      <c r="BD39" s="466"/>
      <c r="BE39" s="466"/>
    </row>
    <row r="40" spans="2:57" s="522" customFormat="1" x14ac:dyDescent="0.3">
      <c r="B40" s="1475" t="s">
        <v>1563</v>
      </c>
      <c r="C40" s="1438"/>
      <c r="D40" s="1438"/>
      <c r="E40" s="122"/>
      <c r="F40" s="122"/>
      <c r="G40" s="122"/>
      <c r="H40" s="122"/>
      <c r="I40" s="1440"/>
      <c r="J40" s="1441">
        <f>J23-J34</f>
        <v>68.64</v>
      </c>
      <c r="K40" s="1441">
        <f t="shared" ref="K40:Z40" si="31">K23-K34</f>
        <v>125.59423346100002</v>
      </c>
      <c r="L40" s="1441">
        <f t="shared" si="31"/>
        <v>182.48230903200002</v>
      </c>
      <c r="M40" s="1441">
        <f t="shared" si="31"/>
        <v>194.57522275199997</v>
      </c>
      <c r="N40" s="1441">
        <f t="shared" si="31"/>
        <v>167.900116088</v>
      </c>
      <c r="O40" s="1441">
        <f t="shared" si="31"/>
        <v>180.25860729599998</v>
      </c>
      <c r="P40" s="1574">
        <f t="shared" si="31"/>
        <v>186.89</v>
      </c>
      <c r="Q40" s="1442">
        <f t="shared" si="31"/>
        <v>186.67288747899988</v>
      </c>
      <c r="R40" s="1442">
        <f t="shared" si="31"/>
        <v>485.92606025099178</v>
      </c>
      <c r="S40" s="1442">
        <f t="shared" si="31"/>
        <v>668.83970554198891</v>
      </c>
      <c r="T40" s="1442">
        <f t="shared" si="31"/>
        <v>601.97647248121837</v>
      </c>
      <c r="U40" s="1442">
        <f t="shared" si="31"/>
        <v>585.25042115631379</v>
      </c>
      <c r="V40" s="1442">
        <f t="shared" si="31"/>
        <v>572.00304492844487</v>
      </c>
      <c r="W40" s="1442">
        <f t="shared" si="31"/>
        <v>556.18033294453448</v>
      </c>
      <c r="X40" s="1442">
        <f t="shared" si="31"/>
        <v>538.8206111294719</v>
      </c>
      <c r="Y40" s="1442">
        <f t="shared" si="31"/>
        <v>500.60122966151357</v>
      </c>
      <c r="Z40" s="1442">
        <f t="shared" si="31"/>
        <v>457.28720100496798</v>
      </c>
      <c r="AA40" s="1410"/>
      <c r="AB40" s="1410"/>
      <c r="AC40" s="1410"/>
      <c r="AD40" s="1410"/>
      <c r="AE40" s="1410"/>
      <c r="AF40" s="1410"/>
      <c r="AG40" s="1410"/>
      <c r="AH40" s="1410"/>
      <c r="AI40" s="1410"/>
      <c r="AJ40" s="1410"/>
      <c r="AK40" s="1410"/>
      <c r="AL40" s="1410"/>
      <c r="AM40" s="1410"/>
      <c r="AN40" s="1410"/>
      <c r="AO40" s="1410"/>
      <c r="AP40" s="1410"/>
      <c r="AQ40" s="1410"/>
      <c r="AR40" s="1410"/>
      <c r="AS40" s="1410"/>
      <c r="AT40" s="1410"/>
      <c r="AU40" s="1410"/>
      <c r="AV40" s="1410"/>
      <c r="AW40" s="1410"/>
      <c r="AX40" s="1410"/>
      <c r="AY40" s="1410"/>
      <c r="AZ40" s="1410"/>
      <c r="BA40" s="1410"/>
      <c r="BB40" s="1387"/>
      <c r="BC40" s="466"/>
      <c r="BD40" s="466"/>
      <c r="BE40" s="466"/>
    </row>
    <row r="41" spans="2:57" s="522" customFormat="1" x14ac:dyDescent="0.3">
      <c r="B41" s="1475" t="s">
        <v>1542</v>
      </c>
      <c r="C41" s="1438"/>
      <c r="D41" s="1438"/>
      <c r="E41" s="122"/>
      <c r="F41" s="122"/>
      <c r="G41" s="122"/>
      <c r="H41" s="122"/>
      <c r="I41" s="1440"/>
      <c r="J41" s="1441">
        <f>J28-J39</f>
        <v>125.58999999999995</v>
      </c>
      <c r="K41" s="1441">
        <f t="shared" ref="K41:Z41" si="32">K28-K39</f>
        <v>182.48230903200005</v>
      </c>
      <c r="L41" s="1441">
        <f t="shared" si="32"/>
        <v>194.57393710100004</v>
      </c>
      <c r="M41" s="1441">
        <f t="shared" si="32"/>
        <v>167.89812556299995</v>
      </c>
      <c r="N41" s="1441">
        <f t="shared" si="32"/>
        <v>180.25517910000002</v>
      </c>
      <c r="O41" s="1441">
        <f t="shared" si="32"/>
        <v>186.89107758699998</v>
      </c>
      <c r="P41" s="1574">
        <f t="shared" si="32"/>
        <v>186.67288747899988</v>
      </c>
      <c r="Q41" s="1442">
        <f t="shared" si="32"/>
        <v>485.92606025099178</v>
      </c>
      <c r="R41" s="1442">
        <f t="shared" si="32"/>
        <v>668.83970554198891</v>
      </c>
      <c r="S41" s="1442">
        <f t="shared" si="32"/>
        <v>601.97647248121837</v>
      </c>
      <c r="T41" s="1442">
        <f t="shared" si="32"/>
        <v>585.25042115631379</v>
      </c>
      <c r="U41" s="1442">
        <f t="shared" si="32"/>
        <v>572.00304492844487</v>
      </c>
      <c r="V41" s="1442">
        <f t="shared" si="32"/>
        <v>556.18033294453448</v>
      </c>
      <c r="W41" s="1442">
        <f t="shared" si="32"/>
        <v>538.8206111294719</v>
      </c>
      <c r="X41" s="1442">
        <f t="shared" si="32"/>
        <v>500.60122966151357</v>
      </c>
      <c r="Y41" s="1442">
        <f t="shared" si="32"/>
        <v>457.28720100496798</v>
      </c>
      <c r="Z41" s="1442">
        <f t="shared" si="32"/>
        <v>408.8170617873343</v>
      </c>
      <c r="AA41" s="1410"/>
      <c r="AB41" s="1410"/>
      <c r="AC41" s="1410"/>
      <c r="AD41" s="1410"/>
      <c r="AE41" s="1410"/>
      <c r="AF41" s="1410"/>
      <c r="AG41" s="1410"/>
      <c r="AH41" s="1410"/>
      <c r="AI41" s="1410"/>
      <c r="AJ41" s="1410"/>
      <c r="AK41" s="1410"/>
      <c r="AL41" s="1410"/>
      <c r="AM41" s="1410"/>
      <c r="AN41" s="1410"/>
      <c r="AO41" s="1410"/>
      <c r="AP41" s="1410"/>
      <c r="AQ41" s="1410"/>
      <c r="AR41" s="1410"/>
      <c r="AS41" s="1410"/>
      <c r="AT41" s="1410"/>
      <c r="AU41" s="1410"/>
      <c r="AV41" s="1410"/>
      <c r="AW41" s="1410"/>
      <c r="AX41" s="1410"/>
      <c r="AY41" s="1410"/>
      <c r="AZ41" s="1410"/>
      <c r="BA41" s="1410"/>
      <c r="BB41" s="1387"/>
      <c r="BC41" s="466"/>
      <c r="BD41" s="466"/>
      <c r="BE41" s="466"/>
    </row>
    <row r="42" spans="2:57" s="462" customFormat="1" x14ac:dyDescent="0.3">
      <c r="B42" s="1476" t="s">
        <v>1564</v>
      </c>
      <c r="C42" s="1476"/>
      <c r="D42" s="1476"/>
      <c r="E42" s="1477"/>
      <c r="F42" s="1477"/>
      <c r="G42" s="1477"/>
      <c r="H42" s="1477"/>
      <c r="I42" s="1469"/>
      <c r="J42" s="1469">
        <f>IF(ISTEXT(Notes!J11),J41-'BS Raw'!J51/$B$1,"Chưa có BCTC")</f>
        <v>-4.233461000055172E-3</v>
      </c>
      <c r="K42" s="1469">
        <f>IF(ISTEXT(Notes!K11),K41-'BS Raw'!K51/$B$1,"Chưa có BCTC")</f>
        <v>5.6843418860808015E-14</v>
      </c>
      <c r="L42" s="1469">
        <f>IF(ISTEXT(Notes!L11),L41-'BS Raw'!L51/$B$1,"Chưa có BCTC")</f>
        <v>2.8421709430404007E-14</v>
      </c>
      <c r="M42" s="1469">
        <f>IF(ISTEXT(Notes!M11),M41-'BS Raw'!M51/$B$1,"Chưa có BCTC")</f>
        <v>1.2856509999608079E-3</v>
      </c>
      <c r="N42" s="1469">
        <f>IF(ISTEXT(Notes!N11),N41-'BS Raw'!N51/$B$1,"Chưa có BCTC")</f>
        <v>-3.4281959999873379E-3</v>
      </c>
      <c r="O42" s="1469">
        <f>IF(ISTEXT(Notes!O11),O41-'BS Raw'!O51/$B$1,"Chưa có BCTC")</f>
        <v>-2.8421709430404007E-14</v>
      </c>
      <c r="P42" s="1580">
        <f>IF(ISTEXT(Notes!P11),P41-'BS Raw'!P51/$B$1,"Chưa có BCTC")</f>
        <v>-1.0775860001217552E-3</v>
      </c>
      <c r="Q42" s="1469" t="str">
        <f>IF(ISTEXT(Notes!Q11),Q41-'BS Raw'!Q51/$B$1,"Chưa có BCTC")</f>
        <v>Chưa có BCTC</v>
      </c>
      <c r="R42" s="1469" t="str">
        <f>IF(ISTEXT(Notes!R11),R41-'BS Raw'!R51/$B$1,"Chưa có BCTC")</f>
        <v>Chưa có BCTC</v>
      </c>
      <c r="S42" s="1469" t="str">
        <f>IF(ISTEXT(Notes!S11),S41-'BS Raw'!S51/$B$1,"Chưa có BCTC")</f>
        <v>Chưa có BCTC</v>
      </c>
      <c r="T42" s="1469" t="str">
        <f>IF(ISTEXT(Notes!T11),T41-'BS Raw'!T51/$B$1,"Chưa có BCTC")</f>
        <v>Chưa có BCTC</v>
      </c>
      <c r="U42" s="1469" t="str">
        <f>IF(ISTEXT(Notes!U11),U41-'BS Raw'!U51/$B$1,"Chưa có BCTC")</f>
        <v>Chưa có BCTC</v>
      </c>
      <c r="V42" s="1469" t="str">
        <f>IF(ISTEXT(Notes!V11),V41-'BS Raw'!V51/$B$1,"Chưa có BCTC")</f>
        <v>Chưa có BCTC</v>
      </c>
      <c r="W42" s="1469" t="str">
        <f>IF(ISTEXT(Notes!W11),W41-'BS Raw'!W51/$B$1,"Chưa có BCTC")</f>
        <v>Chưa có BCTC</v>
      </c>
      <c r="X42" s="1469" t="str">
        <f>IF(ISTEXT(Notes!X11),X41-'BS Raw'!X51/$B$1,"Chưa có BCTC")</f>
        <v>Chưa có BCTC</v>
      </c>
      <c r="Y42" s="1469" t="str">
        <f>IF(ISTEXT(Notes!Y11),Y41-'BS Raw'!Y51/$B$1,"Chưa có BCTC")</f>
        <v>Chưa có BCTC</v>
      </c>
      <c r="Z42" s="1469" t="str">
        <f>IF(ISTEXT(Notes!Z11),Z41-'BS Raw'!Z51/$B$1,"Chưa có BCTC")</f>
        <v>Chưa có BCTC</v>
      </c>
      <c r="AA42" s="1469" t="str">
        <f>IF(ISTEXT(Notes!AA11),AA41-'BS Raw'!AA51/$B$1,"Chưa có BCTC")</f>
        <v>Chưa có BCTC</v>
      </c>
      <c r="AB42" s="1469"/>
      <c r="AC42" s="1469"/>
      <c r="AD42" s="1469"/>
      <c r="AE42" s="1469"/>
      <c r="AF42" s="1469"/>
      <c r="AG42" s="1469"/>
      <c r="AH42" s="1469"/>
      <c r="AI42" s="1469"/>
      <c r="AJ42" s="1469"/>
      <c r="AK42" s="1469"/>
      <c r="AL42" s="1469"/>
      <c r="AM42" s="1469"/>
      <c r="AN42" s="1469"/>
      <c r="AO42" s="1469"/>
      <c r="AP42" s="1469"/>
      <c r="AQ42" s="1469"/>
      <c r="AR42" s="1469"/>
      <c r="AS42" s="1469"/>
      <c r="AT42" s="1469"/>
      <c r="AU42" s="1469"/>
      <c r="AV42" s="1469"/>
      <c r="AW42" s="1469"/>
      <c r="AX42" s="1469"/>
      <c r="AY42" s="1469"/>
      <c r="AZ42" s="1469"/>
      <c r="BA42" s="1469"/>
      <c r="BB42" s="1479"/>
      <c r="BC42" s="1480"/>
      <c r="BD42" s="1480"/>
      <c r="BE42" s="1480"/>
    </row>
    <row r="43" spans="2:57" s="522" customFormat="1" ht="14.4" x14ac:dyDescent="0.3">
      <c r="B43" s="1481" t="str">
        <f>"- Giá trị còn lại của tài sản đầu tư thêm năm "&amp;YEAR($P$3)</f>
        <v>- Giá trị còn lại của tài sản đầu tư thêm năm 2021</v>
      </c>
      <c r="C43" s="1482"/>
      <c r="D43" s="1482"/>
      <c r="E43" s="1483"/>
      <c r="F43" s="1483"/>
      <c r="G43" s="1483"/>
      <c r="H43" s="122"/>
      <c r="I43" s="1440"/>
      <c r="J43" s="1440"/>
      <c r="K43" s="1440"/>
      <c r="L43" s="1440"/>
      <c r="M43" s="1440"/>
      <c r="N43" s="1408"/>
      <c r="O43" s="1408"/>
      <c r="P43" s="1484">
        <f>P41</f>
        <v>186.67288747899988</v>
      </c>
      <c r="Q43" s="1442">
        <f>P43-Q230</f>
        <v>127.77820671299989</v>
      </c>
      <c r="R43" s="1442">
        <f>Q43-R230</f>
        <v>68.883525946999896</v>
      </c>
      <c r="S43" s="1442">
        <f>R43-S230</f>
        <v>9.9888451809998955</v>
      </c>
      <c r="T43" s="1442">
        <f>S43-T230</f>
        <v>0</v>
      </c>
      <c r="U43" s="1442">
        <f t="shared" ref="U43:Z43" si="33">T43-U230</f>
        <v>0</v>
      </c>
      <c r="V43" s="1442">
        <f t="shared" si="33"/>
        <v>0</v>
      </c>
      <c r="W43" s="1442">
        <f t="shared" si="33"/>
        <v>0</v>
      </c>
      <c r="X43" s="1442">
        <f t="shared" si="33"/>
        <v>0</v>
      </c>
      <c r="Y43" s="1442">
        <f t="shared" si="33"/>
        <v>0</v>
      </c>
      <c r="Z43" s="1442">
        <f t="shared" si="33"/>
        <v>0</v>
      </c>
      <c r="AA43" s="1442"/>
      <c r="AB43" s="1442"/>
      <c r="AC43" s="1410"/>
      <c r="AD43" s="1410"/>
      <c r="AE43" s="1410"/>
      <c r="AF43" s="1410"/>
      <c r="AG43" s="1410"/>
      <c r="AH43" s="1410"/>
      <c r="AI43" s="1410"/>
      <c r="AJ43" s="1410"/>
      <c r="AK43" s="1410"/>
      <c r="AL43" s="1410"/>
      <c r="AM43" s="1410"/>
      <c r="AN43" s="1410"/>
      <c r="AO43" s="1410"/>
      <c r="AP43" s="1410"/>
      <c r="AQ43" s="1410"/>
      <c r="AR43" s="1410"/>
      <c r="AS43" s="1410"/>
      <c r="AT43" s="1410"/>
      <c r="AU43" s="1410"/>
      <c r="AV43" s="1410"/>
      <c r="AW43" s="1410"/>
      <c r="AX43" s="1410"/>
      <c r="AY43" s="1410"/>
      <c r="AZ43" s="1410"/>
      <c r="BA43" s="1410"/>
      <c r="BB43" s="1387"/>
      <c r="BC43" s="466"/>
      <c r="BD43" s="466"/>
      <c r="BE43" s="466"/>
    </row>
    <row r="44" spans="2:57" s="522" customFormat="1" ht="27" customHeight="1" x14ac:dyDescent="0.3">
      <c r="B44" s="1481" t="str">
        <f>"- Giá trị còn lại của tài sản đầu tư thêm năm "&amp;YEAR($P$3)+1</f>
        <v>- Giá trị còn lại của tài sản đầu tư thêm năm 2022</v>
      </c>
      <c r="C44" s="1482"/>
      <c r="D44" s="1482"/>
      <c r="E44" s="1483"/>
      <c r="F44" s="1483"/>
      <c r="G44" s="1483"/>
      <c r="H44" s="122"/>
      <c r="I44" s="1440"/>
      <c r="J44" s="1440"/>
      <c r="K44" s="1440"/>
      <c r="L44" s="1440"/>
      <c r="M44" s="1440"/>
      <c r="N44" s="1485"/>
      <c r="O44" s="1485"/>
      <c r="P44" s="1486"/>
      <c r="Q44" s="1410">
        <f>(Q26+Q27)-Q231</f>
        <v>358.14785353799186</v>
      </c>
      <c r="R44" s="1410">
        <f t="shared" ref="R44:Z44" si="34">+Q44-R231</f>
        <v>318.3536475893261</v>
      </c>
      <c r="S44" s="1410">
        <f t="shared" si="34"/>
        <v>278.55944164066034</v>
      </c>
      <c r="T44" s="1410">
        <f t="shared" si="34"/>
        <v>238.76523569199458</v>
      </c>
      <c r="U44" s="1410">
        <f t="shared" si="34"/>
        <v>198.97102974332881</v>
      </c>
      <c r="V44" s="1410">
        <f t="shared" si="34"/>
        <v>159.17682379466305</v>
      </c>
      <c r="W44" s="1410">
        <f t="shared" si="34"/>
        <v>119.38261784599729</v>
      </c>
      <c r="X44" s="1410">
        <f t="shared" si="34"/>
        <v>79.588411897331525</v>
      </c>
      <c r="Y44" s="1410">
        <f t="shared" si="34"/>
        <v>39.794205948665763</v>
      </c>
      <c r="Z44" s="1410">
        <f t="shared" si="34"/>
        <v>0</v>
      </c>
      <c r="AA44" s="1410"/>
      <c r="AB44" s="1410"/>
      <c r="AC44" s="1410"/>
      <c r="AD44" s="1410"/>
      <c r="AE44" s="1410"/>
      <c r="AF44" s="1410"/>
      <c r="AG44" s="1410"/>
      <c r="AH44" s="1410"/>
      <c r="AI44" s="1410"/>
      <c r="AJ44" s="1410"/>
      <c r="AK44" s="1410"/>
      <c r="AL44" s="1410"/>
      <c r="AM44" s="1410"/>
      <c r="AN44" s="1410"/>
      <c r="AO44" s="1410"/>
      <c r="AP44" s="1410"/>
      <c r="AQ44" s="1410"/>
      <c r="AR44" s="1410"/>
      <c r="AS44" s="1410"/>
      <c r="AT44" s="1410"/>
      <c r="AU44" s="1410"/>
      <c r="AV44" s="1410"/>
      <c r="AW44" s="1410"/>
      <c r="AX44" s="1410"/>
      <c r="AY44" s="1410"/>
      <c r="AZ44" s="1410"/>
      <c r="BA44" s="1410"/>
      <c r="BB44" s="1387"/>
      <c r="BC44" s="466"/>
      <c r="BD44" s="466"/>
      <c r="BE44" s="466"/>
    </row>
    <row r="45" spans="2:57" s="522" customFormat="1" ht="24" customHeight="1" x14ac:dyDescent="0.3">
      <c r="B45" s="1481" t="str">
        <f>"- Giá trị còn lại của tài sản đầu tư thêm năm "&amp;YEAR($P$3)+2</f>
        <v>- Giá trị còn lại của tài sản đầu tư thêm năm 2023</v>
      </c>
      <c r="C45" s="1482"/>
      <c r="D45" s="1482"/>
      <c r="E45" s="1483"/>
      <c r="F45" s="1483"/>
      <c r="G45" s="1483"/>
      <c r="H45" s="122"/>
      <c r="I45" s="1440"/>
      <c r="J45" s="1440"/>
      <c r="K45" s="1440"/>
      <c r="L45" s="1440"/>
      <c r="M45" s="1440"/>
      <c r="N45" s="1485"/>
      <c r="O45" s="1485"/>
      <c r="P45" s="1486"/>
      <c r="Q45" s="1410"/>
      <c r="R45" s="1410">
        <f>(R26+R27-R232)</f>
        <v>281.60253200566291</v>
      </c>
      <c r="S45" s="1410">
        <f t="shared" ref="S45:Z45" si="35">+R45-S232</f>
        <v>250.31336178281148</v>
      </c>
      <c r="T45" s="1410">
        <f t="shared" si="35"/>
        <v>219.02419155996006</v>
      </c>
      <c r="U45" s="1410">
        <f t="shared" si="35"/>
        <v>187.73502133710863</v>
      </c>
      <c r="V45" s="1410">
        <f t="shared" si="35"/>
        <v>156.44585111425721</v>
      </c>
      <c r="W45" s="1410">
        <f t="shared" si="35"/>
        <v>125.15668089140577</v>
      </c>
      <c r="X45" s="1410">
        <f t="shared" si="35"/>
        <v>93.867510668554331</v>
      </c>
      <c r="Y45" s="1410">
        <f t="shared" si="35"/>
        <v>62.578340445702892</v>
      </c>
      <c r="Z45" s="1410">
        <f t="shared" si="35"/>
        <v>31.289170222851457</v>
      </c>
      <c r="AA45" s="1410"/>
      <c r="AB45" s="1410"/>
      <c r="AC45" s="1410"/>
      <c r="AD45" s="1410"/>
      <c r="AE45" s="1410"/>
      <c r="AF45" s="1410"/>
      <c r="AG45" s="1410"/>
      <c r="AH45" s="1410"/>
      <c r="AI45" s="1410"/>
      <c r="AJ45" s="1410"/>
      <c r="AK45" s="1410"/>
      <c r="AL45" s="1410"/>
      <c r="AM45" s="1410"/>
      <c r="AN45" s="1410"/>
      <c r="AO45" s="1410"/>
      <c r="AP45" s="1410"/>
      <c r="AQ45" s="1410"/>
      <c r="AR45" s="1410"/>
      <c r="AS45" s="1410"/>
      <c r="AT45" s="1410"/>
      <c r="AU45" s="1410"/>
      <c r="AV45" s="1410"/>
      <c r="AW45" s="1410"/>
      <c r="AX45" s="1410"/>
      <c r="AY45" s="1410"/>
      <c r="AZ45" s="1410"/>
      <c r="BA45" s="1410"/>
      <c r="BB45" s="1387"/>
      <c r="BC45" s="466"/>
      <c r="BD45" s="466"/>
      <c r="BE45" s="466"/>
    </row>
    <row r="46" spans="2:57" s="522" customFormat="1" ht="30" customHeight="1" x14ac:dyDescent="0.3">
      <c r="B46" s="1481" t="str">
        <f>"- Giá trị còn lại của tài sản đầu tư thêm năm "&amp;YEAR($P$3)+3</f>
        <v>- Giá trị còn lại của tài sản đầu tư thêm năm 2024</v>
      </c>
      <c r="C46" s="1482"/>
      <c r="D46" s="1482"/>
      <c r="E46" s="1483"/>
      <c r="F46" s="1483"/>
      <c r="G46" s="1483"/>
      <c r="H46" s="122"/>
      <c r="I46" s="1440"/>
      <c r="J46" s="1440"/>
      <c r="K46" s="1440"/>
      <c r="L46" s="1440"/>
      <c r="M46" s="1440"/>
      <c r="N46" s="1485"/>
      <c r="O46" s="1485"/>
      <c r="P46" s="1486"/>
      <c r="Q46" s="1410"/>
      <c r="R46" s="1410"/>
      <c r="S46" s="1410">
        <f>S26+S27-S233</f>
        <v>63.114823876746584</v>
      </c>
      <c r="T46" s="1410">
        <f t="shared" ref="T46:Z46" si="36">+S46-T233</f>
        <v>56.102065668219183</v>
      </c>
      <c r="U46" s="1410">
        <f t="shared" si="36"/>
        <v>49.089307459691781</v>
      </c>
      <c r="V46" s="1410">
        <f t="shared" si="36"/>
        <v>42.07654925116438</v>
      </c>
      <c r="W46" s="1410">
        <f t="shared" si="36"/>
        <v>35.063791042636979</v>
      </c>
      <c r="X46" s="1410">
        <f t="shared" si="36"/>
        <v>28.051032834109581</v>
      </c>
      <c r="Y46" s="1410">
        <f t="shared" si="36"/>
        <v>21.038274625582183</v>
      </c>
      <c r="Z46" s="1410">
        <f t="shared" si="36"/>
        <v>14.025516417054785</v>
      </c>
      <c r="AA46" s="1410"/>
      <c r="AB46" s="1410"/>
      <c r="AC46" s="1410"/>
      <c r="AD46" s="1410"/>
      <c r="AE46" s="1410"/>
      <c r="AF46" s="1410"/>
      <c r="AG46" s="1410"/>
      <c r="AH46" s="1410"/>
      <c r="AI46" s="1410"/>
      <c r="AJ46" s="1410"/>
      <c r="AK46" s="1410"/>
      <c r="AL46" s="1410"/>
      <c r="AM46" s="1410"/>
      <c r="AN46" s="1410"/>
      <c r="AO46" s="1410"/>
      <c r="AP46" s="1410"/>
      <c r="AQ46" s="1410"/>
      <c r="AR46" s="1410"/>
      <c r="AS46" s="1410"/>
      <c r="AT46" s="1410"/>
      <c r="AU46" s="1410"/>
      <c r="AV46" s="1410"/>
      <c r="AW46" s="1410"/>
      <c r="AX46" s="1410"/>
      <c r="AY46" s="1410"/>
      <c r="AZ46" s="1410"/>
      <c r="BA46" s="1410"/>
      <c r="BB46" s="1387"/>
      <c r="BC46" s="466"/>
      <c r="BD46" s="466"/>
      <c r="BE46" s="466"/>
    </row>
    <row r="47" spans="2:57" s="522" customFormat="1" ht="24.75" customHeight="1" x14ac:dyDescent="0.3">
      <c r="B47" s="1481" t="str">
        <f>"- Giá trị còn lại của tài sản đầu tư thêm năm "&amp;YEAR($P$3)+4</f>
        <v>- Giá trị còn lại của tài sản đầu tư thêm năm 2025</v>
      </c>
      <c r="C47" s="1482"/>
      <c r="D47" s="1482"/>
      <c r="E47" s="1483"/>
      <c r="F47" s="1483"/>
      <c r="G47" s="1483"/>
      <c r="H47" s="122"/>
      <c r="I47" s="1440"/>
      <c r="J47" s="1440"/>
      <c r="K47" s="1440"/>
      <c r="L47" s="1440"/>
      <c r="M47" s="1440"/>
      <c r="N47" s="1485"/>
      <c r="O47" s="1485"/>
      <c r="P47" s="1486"/>
      <c r="Q47" s="1410"/>
      <c r="R47" s="1410"/>
      <c r="S47" s="1410"/>
      <c r="T47" s="1410">
        <f>T26+T27-T234</f>
        <v>71.358928236139931</v>
      </c>
      <c r="U47" s="1410">
        <f t="shared" ref="U47:Z47" si="37">T47-U234</f>
        <v>63.430158432124387</v>
      </c>
      <c r="V47" s="1410">
        <f t="shared" si="37"/>
        <v>55.501388628108842</v>
      </c>
      <c r="W47" s="1410">
        <f t="shared" si="37"/>
        <v>47.572618824093297</v>
      </c>
      <c r="X47" s="1410">
        <f t="shared" si="37"/>
        <v>39.643849020077752</v>
      </c>
      <c r="Y47" s="1410">
        <f t="shared" si="37"/>
        <v>31.715079216062204</v>
      </c>
      <c r="Z47" s="1410">
        <f t="shared" si="37"/>
        <v>23.786309412046656</v>
      </c>
      <c r="AA47" s="1410"/>
      <c r="AB47" s="1410"/>
      <c r="AC47" s="1410"/>
      <c r="AD47" s="1410"/>
      <c r="AE47" s="1410"/>
      <c r="AF47" s="1410"/>
      <c r="AG47" s="1410"/>
      <c r="AH47" s="1410"/>
      <c r="AI47" s="1410"/>
      <c r="AJ47" s="1410"/>
      <c r="AK47" s="1410"/>
      <c r="AL47" s="1410"/>
      <c r="AM47" s="1410"/>
      <c r="AN47" s="1410"/>
      <c r="AO47" s="1410"/>
      <c r="AP47" s="1410"/>
      <c r="AQ47" s="1410"/>
      <c r="AR47" s="1410"/>
      <c r="AS47" s="1410"/>
      <c r="AT47" s="1410"/>
      <c r="AU47" s="1410"/>
      <c r="AV47" s="1410"/>
      <c r="AW47" s="1410"/>
      <c r="AX47" s="1410"/>
      <c r="AY47" s="1410"/>
      <c r="AZ47" s="1410"/>
      <c r="BA47" s="1410"/>
      <c r="BB47" s="1387"/>
      <c r="BC47" s="466"/>
      <c r="BD47" s="466"/>
      <c r="BE47" s="466"/>
    </row>
    <row r="48" spans="2:57" s="522" customFormat="1" ht="36.75" customHeight="1" x14ac:dyDescent="0.3">
      <c r="B48" s="1481" t="str">
        <f>"- Giá trị còn lại của tài sản đầu tư thêm năm "&amp;YEAR($P$3)+5</f>
        <v>- Giá trị còn lại của tài sản đầu tư thêm năm 2026</v>
      </c>
      <c r="C48" s="1482"/>
      <c r="D48" s="1482"/>
      <c r="E48" s="1483"/>
      <c r="F48" s="1483"/>
      <c r="G48" s="1483"/>
      <c r="H48" s="122"/>
      <c r="I48" s="1440"/>
      <c r="J48" s="1440"/>
      <c r="K48" s="1440"/>
      <c r="L48" s="1440"/>
      <c r="M48" s="1440"/>
      <c r="N48" s="1485"/>
      <c r="O48" s="1485"/>
      <c r="P48" s="1486"/>
      <c r="Q48" s="1410"/>
      <c r="R48" s="1410"/>
      <c r="S48" s="1410"/>
      <c r="T48" s="1410"/>
      <c r="U48" s="1410">
        <f>U26+U27-U235</f>
        <v>72.777527956191221</v>
      </c>
      <c r="V48" s="1410">
        <f>U48-V235</f>
        <v>64.691135961058862</v>
      </c>
      <c r="W48" s="1410">
        <f t="shared" ref="W48:Z48" si="38">V48-W235</f>
        <v>56.604743965926502</v>
      </c>
      <c r="X48" s="1410">
        <f t="shared" si="38"/>
        <v>48.518351970794143</v>
      </c>
      <c r="Y48" s="1410">
        <f t="shared" si="38"/>
        <v>40.431959975661783</v>
      </c>
      <c r="Z48" s="1410">
        <f t="shared" si="38"/>
        <v>32.345567980529424</v>
      </c>
      <c r="AA48" s="1410"/>
      <c r="AB48" s="1410"/>
      <c r="AC48" s="1410"/>
      <c r="AD48" s="1410"/>
      <c r="AE48" s="1410"/>
      <c r="AF48" s="1410"/>
      <c r="AG48" s="1410"/>
      <c r="AH48" s="1410"/>
      <c r="AI48" s="1410"/>
      <c r="AJ48" s="1410"/>
      <c r="AK48" s="1410"/>
      <c r="AL48" s="1410"/>
      <c r="AM48" s="1410"/>
      <c r="AN48" s="1410"/>
      <c r="AO48" s="1410"/>
      <c r="AP48" s="1410"/>
      <c r="AQ48" s="1410"/>
      <c r="AR48" s="1410"/>
      <c r="AS48" s="1410"/>
      <c r="AT48" s="1410"/>
      <c r="AU48" s="1410"/>
      <c r="AV48" s="1410"/>
      <c r="AW48" s="1410"/>
      <c r="AX48" s="1410"/>
      <c r="AY48" s="1410"/>
      <c r="AZ48" s="1410"/>
      <c r="BA48" s="1410"/>
      <c r="BB48" s="1387"/>
      <c r="BC48" s="466"/>
      <c r="BD48" s="466"/>
      <c r="BE48" s="466"/>
    </row>
    <row r="49" spans="2:57" s="522" customFormat="1" ht="20.25" customHeight="1" x14ac:dyDescent="0.3">
      <c r="B49" s="1481" t="str">
        <f>"- Giá trị còn lại của tài sản đầu tư thêm năm "&amp;YEAR($P$3)+6</f>
        <v>- Giá trị còn lại của tài sản đầu tư thêm năm 2027</v>
      </c>
      <c r="C49" s="1482"/>
      <c r="D49" s="1482"/>
      <c r="E49" s="1483"/>
      <c r="F49" s="1483"/>
      <c r="G49" s="1483"/>
      <c r="H49" s="122"/>
      <c r="I49" s="1440"/>
      <c r="J49" s="1440"/>
      <c r="K49" s="1440"/>
      <c r="L49" s="1440"/>
      <c r="M49" s="1440"/>
      <c r="N49" s="1440"/>
      <c r="O49" s="1440"/>
      <c r="P49" s="1473"/>
      <c r="Q49" s="1410"/>
      <c r="R49" s="1410"/>
      <c r="S49" s="1410"/>
      <c r="T49" s="1410"/>
      <c r="U49" s="1410"/>
      <c r="V49" s="1410">
        <f>V26+V27-V236</f>
        <v>78.288584195282183</v>
      </c>
      <c r="W49" s="1410">
        <f>V49-W236</f>
        <v>69.589852618028601</v>
      </c>
      <c r="X49" s="1410">
        <f t="shared" ref="X49:AH49" si="39">W49-X236</f>
        <v>60.891121040775026</v>
      </c>
      <c r="Y49" s="1410">
        <f t="shared" si="39"/>
        <v>52.192389463521451</v>
      </c>
      <c r="Z49" s="1410">
        <f t="shared" si="39"/>
        <v>43.493657886267876</v>
      </c>
      <c r="AA49" s="1410">
        <f t="shared" si="39"/>
        <v>43.493657886267876</v>
      </c>
      <c r="AB49" s="1410">
        <f t="shared" si="39"/>
        <v>43.493657886267876</v>
      </c>
      <c r="AC49" s="1410">
        <f t="shared" si="39"/>
        <v>43.493657886267876</v>
      </c>
      <c r="AD49" s="1410">
        <f t="shared" si="39"/>
        <v>43.493657886267876</v>
      </c>
      <c r="AE49" s="1410">
        <f t="shared" si="39"/>
        <v>43.493657886267876</v>
      </c>
      <c r="AF49" s="1410">
        <f t="shared" si="39"/>
        <v>43.493657886267876</v>
      </c>
      <c r="AG49" s="1410">
        <f t="shared" si="39"/>
        <v>43.493657886267876</v>
      </c>
      <c r="AH49" s="1410">
        <f t="shared" si="39"/>
        <v>43.493657886267876</v>
      </c>
      <c r="AI49" s="1410"/>
      <c r="AJ49" s="1410"/>
      <c r="AK49" s="1410"/>
      <c r="AL49" s="1410"/>
      <c r="AM49" s="1410"/>
      <c r="AN49" s="1410"/>
      <c r="AO49" s="1410"/>
      <c r="AP49" s="1410"/>
      <c r="AQ49" s="1410"/>
      <c r="AR49" s="1410"/>
      <c r="AS49" s="1410"/>
      <c r="AT49" s="1410"/>
      <c r="AU49" s="1410"/>
      <c r="AV49" s="1410"/>
      <c r="AW49" s="1410"/>
      <c r="AX49" s="1410"/>
      <c r="AY49" s="1410"/>
      <c r="AZ49" s="1410"/>
      <c r="BA49" s="1410"/>
      <c r="BB49" s="1387"/>
      <c r="BC49" s="466"/>
      <c r="BD49" s="466"/>
      <c r="BE49" s="466"/>
    </row>
    <row r="50" spans="2:57" s="522" customFormat="1" ht="24" customHeight="1" x14ac:dyDescent="0.3">
      <c r="B50" s="1481" t="str">
        <f>"- Giá trị còn lại của tài sản đầu tư thêm năm "&amp;YEAR($P$3)+7</f>
        <v>- Giá trị còn lại của tài sản đầu tư thêm năm 2028</v>
      </c>
      <c r="C50" s="1482"/>
      <c r="D50" s="1482"/>
      <c r="E50" s="1483"/>
      <c r="F50" s="1483"/>
      <c r="G50" s="1483"/>
      <c r="H50" s="122"/>
      <c r="I50" s="1440"/>
      <c r="J50" s="1440"/>
      <c r="K50" s="1440"/>
      <c r="L50" s="1440"/>
      <c r="M50" s="1440"/>
      <c r="N50" s="1440"/>
      <c r="O50" s="1440"/>
      <c r="P50" s="1473"/>
      <c r="Q50" s="1410"/>
      <c r="R50" s="1410"/>
      <c r="S50" s="1410"/>
      <c r="T50" s="1410"/>
      <c r="U50" s="1410"/>
      <c r="V50" s="1410"/>
      <c r="W50" s="1410">
        <f>W26+W27-W237</f>
        <v>85.450305941383476</v>
      </c>
      <c r="X50" s="1410">
        <f>W50-X237</f>
        <v>75.955827503451985</v>
      </c>
      <c r="Y50" s="1410">
        <f t="shared" ref="Y50:Z50" si="40">X50-Y237</f>
        <v>66.461349065520494</v>
      </c>
      <c r="Z50" s="1410">
        <f t="shared" si="40"/>
        <v>56.966870627588996</v>
      </c>
      <c r="AA50" s="1410"/>
      <c r="AB50" s="1410"/>
      <c r="AC50" s="1410"/>
      <c r="AD50" s="1410"/>
      <c r="AE50" s="1410"/>
      <c r="AF50" s="1410"/>
      <c r="AG50" s="1410"/>
      <c r="AH50" s="1410"/>
      <c r="AI50" s="1410"/>
      <c r="AJ50" s="1410"/>
      <c r="AK50" s="1410"/>
      <c r="AL50" s="1410"/>
      <c r="AM50" s="1410"/>
      <c r="AN50" s="1410"/>
      <c r="AO50" s="1410"/>
      <c r="AP50" s="1410"/>
      <c r="AQ50" s="1410"/>
      <c r="AR50" s="1410"/>
      <c r="AS50" s="1410"/>
      <c r="AT50" s="1410"/>
      <c r="AU50" s="1410"/>
      <c r="AV50" s="1410"/>
      <c r="AW50" s="1410"/>
      <c r="AX50" s="1410"/>
      <c r="AY50" s="1410"/>
      <c r="AZ50" s="1410"/>
      <c r="BA50" s="1410"/>
      <c r="BB50" s="1387"/>
      <c r="BC50" s="466"/>
      <c r="BD50" s="466"/>
      <c r="BE50" s="466"/>
    </row>
    <row r="51" spans="2:57" s="522" customFormat="1" ht="26.25" customHeight="1" x14ac:dyDescent="0.3">
      <c r="B51" s="1481" t="str">
        <f>"- Giá trị còn lại của tài sản đầu tư thêm năm "&amp;YEAR($P$3)+8</f>
        <v>- Giá trị còn lại của tài sản đầu tư thêm năm 2029</v>
      </c>
      <c r="C51" s="1482"/>
      <c r="D51" s="1482"/>
      <c r="E51" s="1483"/>
      <c r="F51" s="1483"/>
      <c r="G51" s="1483"/>
      <c r="H51" s="122"/>
      <c r="I51" s="1440"/>
      <c r="J51" s="1440"/>
      <c r="K51" s="1440"/>
      <c r="L51" s="1440"/>
      <c r="M51" s="1440"/>
      <c r="N51" s="1440"/>
      <c r="O51" s="1440"/>
      <c r="P51" s="1473"/>
      <c r="Q51" s="1410"/>
      <c r="R51" s="1410"/>
      <c r="S51" s="1410"/>
      <c r="T51" s="1410"/>
      <c r="U51" s="1410"/>
      <c r="V51" s="1410"/>
      <c r="W51" s="1410"/>
      <c r="X51" s="1410">
        <f>X26+X27-X238</f>
        <v>74.085124726419195</v>
      </c>
      <c r="Y51" s="1410">
        <f t="shared" ref="Y51:Z51" si="41">Y26+Y27-Y238</f>
        <v>77.570717322608672</v>
      </c>
      <c r="Z51" s="1410">
        <f t="shared" si="41"/>
        <v>81.375305348929217</v>
      </c>
      <c r="AA51" s="1410"/>
      <c r="AB51" s="1410"/>
      <c r="AC51" s="1410"/>
      <c r="AD51" s="1410"/>
      <c r="AE51" s="1410"/>
      <c r="AF51" s="1410"/>
      <c r="AG51" s="1410"/>
      <c r="AH51" s="1410"/>
      <c r="AI51" s="1410"/>
      <c r="AJ51" s="1410"/>
      <c r="AK51" s="1410"/>
      <c r="AL51" s="1410"/>
      <c r="AM51" s="1410"/>
      <c r="AN51" s="1410"/>
      <c r="AO51" s="1410"/>
      <c r="AP51" s="1410"/>
      <c r="AQ51" s="1410"/>
      <c r="AR51" s="1410"/>
      <c r="AS51" s="1410"/>
      <c r="AT51" s="1410"/>
      <c r="AU51" s="1410"/>
      <c r="AV51" s="1410"/>
      <c r="AW51" s="1410"/>
      <c r="AX51" s="1410"/>
      <c r="AY51" s="1410"/>
      <c r="AZ51" s="1410"/>
      <c r="BA51" s="1410"/>
      <c r="BB51" s="1387"/>
      <c r="BC51" s="466"/>
      <c r="BD51" s="466"/>
      <c r="BE51" s="466"/>
    </row>
    <row r="52" spans="2:57" s="522" customFormat="1" ht="24" customHeight="1" x14ac:dyDescent="0.3">
      <c r="B52" s="1481" t="str">
        <f>"- Giá trị còn lại của tài sản đầu tư thêm năm "&amp;YEAR($P$3)+9</f>
        <v>- Giá trị còn lại của tài sản đầu tư thêm năm 2030</v>
      </c>
      <c r="C52" s="1482"/>
      <c r="D52" s="1482"/>
      <c r="E52" s="1483"/>
      <c r="F52" s="1483"/>
      <c r="G52" s="1483"/>
      <c r="H52" s="122"/>
      <c r="I52" s="1440"/>
      <c r="J52" s="1440"/>
      <c r="K52" s="1440"/>
      <c r="L52" s="1440"/>
      <c r="M52" s="1440"/>
      <c r="N52" s="1440"/>
      <c r="O52" s="1440"/>
      <c r="P52" s="1473"/>
      <c r="Q52" s="1410"/>
      <c r="R52" s="1410"/>
      <c r="S52" s="1410"/>
      <c r="T52" s="1410"/>
      <c r="U52" s="1410"/>
      <c r="V52" s="1410"/>
      <c r="W52" s="1410"/>
      <c r="X52" s="1410"/>
      <c r="Y52" s="1410">
        <f>Y26+Y27-Y239</f>
        <v>77.22215806298972</v>
      </c>
      <c r="Z52" s="1410">
        <f>Y52-Z239</f>
        <v>68.641918278213083</v>
      </c>
      <c r="AA52" s="1410"/>
      <c r="AB52" s="1410"/>
      <c r="AC52" s="1410"/>
      <c r="AD52" s="1410"/>
      <c r="AE52" s="1410"/>
      <c r="AF52" s="1410"/>
      <c r="AG52" s="1410"/>
      <c r="AH52" s="1410"/>
      <c r="AI52" s="1410"/>
      <c r="AJ52" s="1410"/>
      <c r="AK52" s="1410"/>
      <c r="AL52" s="1410"/>
      <c r="AM52" s="1410"/>
      <c r="AN52" s="1410"/>
      <c r="AO52" s="1410"/>
      <c r="AP52" s="1410"/>
      <c r="AQ52" s="1410"/>
      <c r="AR52" s="1410"/>
      <c r="AS52" s="1410"/>
      <c r="AT52" s="1410"/>
      <c r="AU52" s="1410"/>
      <c r="AV52" s="1410"/>
      <c r="AW52" s="1410"/>
      <c r="AX52" s="1410"/>
      <c r="AY52" s="1410"/>
      <c r="AZ52" s="1410"/>
      <c r="BA52" s="1410"/>
      <c r="BB52" s="1387"/>
      <c r="BC52" s="466"/>
      <c r="BD52" s="466"/>
      <c r="BE52" s="466"/>
    </row>
    <row r="53" spans="2:57" s="522" customFormat="1" ht="29.25" customHeight="1" x14ac:dyDescent="0.3">
      <c r="B53" s="1481" t="str">
        <f>"- Giá trị còn lại của tài sản đầu tư thêm năm "&amp;YEAR($P$3)+10</f>
        <v>- Giá trị còn lại của tài sản đầu tư thêm năm 2031</v>
      </c>
      <c r="C53" s="1482"/>
      <c r="D53" s="1482"/>
      <c r="E53" s="1483"/>
      <c r="F53" s="1483"/>
      <c r="G53" s="1483"/>
      <c r="H53" s="122"/>
      <c r="I53" s="122"/>
      <c r="J53" s="122"/>
      <c r="K53" s="122"/>
      <c r="L53" s="122"/>
      <c r="M53" s="122"/>
      <c r="N53" s="122"/>
      <c r="O53" s="122"/>
      <c r="P53" s="1487"/>
      <c r="Q53" s="1363"/>
      <c r="R53" s="1363"/>
      <c r="S53" s="1363"/>
      <c r="T53" s="1363"/>
      <c r="U53" s="1363"/>
      <c r="V53" s="1363"/>
      <c r="W53" s="1410"/>
      <c r="X53" s="1410"/>
      <c r="Y53" s="1410"/>
      <c r="Z53" s="1410">
        <f>Z26+Z27-Z240</f>
        <v>80.646287286678216</v>
      </c>
      <c r="AA53" s="1410"/>
      <c r="AB53" s="1410"/>
      <c r="AC53" s="1410"/>
      <c r="AD53" s="1410"/>
      <c r="AE53" s="1410"/>
      <c r="AF53" s="1410"/>
      <c r="AG53" s="1410"/>
      <c r="AH53" s="1410"/>
      <c r="AI53" s="1410"/>
      <c r="AJ53" s="1410"/>
      <c r="AK53" s="1410"/>
      <c r="AL53" s="1410"/>
      <c r="AM53" s="1410"/>
      <c r="AN53" s="1410"/>
      <c r="AO53" s="1410"/>
      <c r="AP53" s="1410"/>
      <c r="AQ53" s="1410"/>
      <c r="AR53" s="1410"/>
      <c r="AS53" s="1410"/>
      <c r="AT53" s="1410"/>
      <c r="AU53" s="1410"/>
      <c r="AV53" s="1410"/>
      <c r="AW53" s="1410"/>
      <c r="AX53" s="1410"/>
      <c r="AY53" s="1410"/>
      <c r="AZ53" s="1410"/>
      <c r="BA53" s="1410"/>
      <c r="BB53" s="1387"/>
      <c r="BC53" s="466"/>
      <c r="BD53" s="466"/>
      <c r="BE53" s="466"/>
    </row>
    <row r="54" spans="2:57" s="522" customFormat="1" ht="27.75" customHeight="1" x14ac:dyDescent="0.3">
      <c r="B54" s="1481" t="str">
        <f>"- Giá trị còn lại của tài sản đầu tư thêm năm "&amp;YEAR($P$3)+11</f>
        <v>- Giá trị còn lại của tài sản đầu tư thêm năm 2032</v>
      </c>
      <c r="C54" s="1482"/>
      <c r="D54" s="1482"/>
      <c r="E54" s="1483"/>
      <c r="F54" s="1483"/>
      <c r="G54" s="1483"/>
      <c r="H54" s="122"/>
      <c r="I54" s="122"/>
      <c r="J54" s="122"/>
      <c r="K54" s="122"/>
      <c r="L54" s="122"/>
      <c r="M54" s="122"/>
      <c r="N54" s="122"/>
      <c r="O54" s="122"/>
      <c r="P54" s="1487"/>
      <c r="Q54" s="1363"/>
      <c r="R54" s="1363"/>
      <c r="S54" s="1363"/>
      <c r="T54" s="1363"/>
      <c r="U54" s="1363"/>
      <c r="V54" s="1363"/>
      <c r="W54" s="1410"/>
      <c r="X54" s="1410"/>
      <c r="Y54" s="1410"/>
      <c r="Z54" s="1410"/>
      <c r="AA54" s="1410"/>
      <c r="AB54" s="1410"/>
      <c r="AC54" s="1410"/>
      <c r="AD54" s="1410"/>
      <c r="AE54" s="1410"/>
      <c r="AF54" s="1410"/>
      <c r="AG54" s="1410"/>
      <c r="AH54" s="1410"/>
      <c r="AI54" s="1410"/>
      <c r="AJ54" s="1410"/>
      <c r="AK54" s="1410"/>
      <c r="AL54" s="1410"/>
      <c r="AM54" s="1410"/>
      <c r="AN54" s="1410"/>
      <c r="AO54" s="1410"/>
      <c r="AP54" s="1410"/>
      <c r="AQ54" s="1410"/>
      <c r="AR54" s="1410"/>
      <c r="AS54" s="1410"/>
      <c r="AT54" s="1410"/>
      <c r="AU54" s="1410"/>
      <c r="AV54" s="1410"/>
      <c r="AW54" s="1410"/>
      <c r="AX54" s="1410"/>
      <c r="AY54" s="1410"/>
      <c r="AZ54" s="1410"/>
      <c r="BA54" s="1410"/>
      <c r="BB54" s="1387"/>
      <c r="BC54" s="466"/>
      <c r="BD54" s="466"/>
      <c r="BE54" s="466"/>
    </row>
    <row r="55" spans="2:57" s="522" customFormat="1" ht="32.25" customHeight="1" x14ac:dyDescent="0.3">
      <c r="B55" s="1482"/>
      <c r="C55" s="1482"/>
      <c r="D55" s="1482"/>
      <c r="E55" s="1483"/>
      <c r="F55" s="1483"/>
      <c r="G55" s="1483"/>
      <c r="H55" s="122"/>
      <c r="I55" s="122"/>
      <c r="J55" s="122"/>
      <c r="K55" s="122"/>
      <c r="L55" s="122"/>
      <c r="M55" s="122"/>
      <c r="N55" s="122"/>
      <c r="O55" s="122"/>
      <c r="P55" s="1487"/>
      <c r="Q55" s="122"/>
      <c r="R55" s="122"/>
      <c r="S55" s="122"/>
      <c r="T55" s="122"/>
      <c r="U55" s="122"/>
      <c r="V55" s="122"/>
      <c r="W55" s="122"/>
      <c r="X55" s="122"/>
      <c r="Y55" s="122"/>
      <c r="Z55" s="122"/>
      <c r="AA55" s="122"/>
      <c r="AB55" s="122"/>
      <c r="AC55" s="122"/>
      <c r="AD55" s="122"/>
      <c r="AE55" s="122"/>
      <c r="AF55" s="122"/>
      <c r="AG55" s="122"/>
      <c r="AH55" s="122"/>
      <c r="AI55" s="122"/>
      <c r="AJ55" s="122"/>
      <c r="AK55" s="122"/>
      <c r="AL55" s="122"/>
      <c r="AM55" s="122"/>
      <c r="AN55" s="122"/>
      <c r="AO55" s="122"/>
      <c r="AP55" s="122"/>
      <c r="AQ55" s="122"/>
      <c r="AR55" s="122"/>
      <c r="AS55" s="122"/>
      <c r="AT55" s="122"/>
      <c r="AU55" s="122"/>
      <c r="AV55" s="122"/>
      <c r="AW55" s="122"/>
      <c r="AX55" s="122"/>
      <c r="AY55" s="122"/>
      <c r="AZ55" s="122"/>
      <c r="BA55" s="122"/>
      <c r="BB55" s="1387"/>
      <c r="BC55" s="466"/>
      <c r="BD55" s="466"/>
      <c r="BE55" s="466"/>
    </row>
    <row r="56" spans="2:57" s="1495" customFormat="1" x14ac:dyDescent="0.3">
      <c r="B56" s="1430" t="s">
        <v>1565</v>
      </c>
      <c r="C56" s="1488"/>
      <c r="D56" s="1488"/>
      <c r="E56" s="1489"/>
      <c r="F56" s="1489"/>
      <c r="G56" s="1489"/>
      <c r="H56" s="1490"/>
      <c r="I56" s="1490"/>
      <c r="J56" s="1490"/>
      <c r="K56" s="1490"/>
      <c r="L56" s="1490"/>
      <c r="M56" s="1491"/>
      <c r="N56" s="1491"/>
      <c r="O56" s="1491"/>
      <c r="P56" s="1492"/>
      <c r="Q56" s="1491"/>
      <c r="R56" s="1491"/>
      <c r="S56" s="1491"/>
      <c r="T56" s="1491"/>
      <c r="U56" s="1491"/>
      <c r="V56" s="1491"/>
      <c r="W56" s="1491"/>
      <c r="X56" s="1491"/>
      <c r="Y56" s="1491"/>
      <c r="Z56" s="1491"/>
      <c r="AA56" s="1491"/>
      <c r="AB56" s="1491"/>
      <c r="AC56" s="1491"/>
      <c r="AD56" s="1491"/>
      <c r="AE56" s="1491"/>
      <c r="AF56" s="1491"/>
      <c r="AG56" s="1491"/>
      <c r="AH56" s="1491"/>
      <c r="AI56" s="1491"/>
      <c r="AJ56" s="1491"/>
      <c r="AK56" s="1491"/>
      <c r="AL56" s="1491"/>
      <c r="AM56" s="1491"/>
      <c r="AN56" s="1491"/>
      <c r="AO56" s="1491"/>
      <c r="AP56" s="1491"/>
      <c r="AQ56" s="1491"/>
      <c r="AR56" s="1491"/>
      <c r="AS56" s="1491"/>
      <c r="AT56" s="1491"/>
      <c r="AU56" s="1491"/>
      <c r="AV56" s="1491"/>
      <c r="AW56" s="1491"/>
      <c r="AX56" s="1491"/>
      <c r="AY56" s="1491"/>
      <c r="AZ56" s="1491"/>
      <c r="BA56" s="1491"/>
      <c r="BB56" s="1493"/>
      <c r="BC56" s="1494"/>
      <c r="BD56" s="1494"/>
      <c r="BE56" s="1494"/>
    </row>
    <row r="57" spans="2:57" s="522" customFormat="1" x14ac:dyDescent="0.3">
      <c r="B57" s="1426" t="s">
        <v>1553</v>
      </c>
      <c r="C57" s="1426"/>
      <c r="D57" s="1426"/>
      <c r="E57" s="1434"/>
      <c r="F57" s="1434"/>
      <c r="G57" s="1434"/>
      <c r="H57" s="122"/>
      <c r="I57" s="122"/>
      <c r="J57" s="122"/>
      <c r="K57" s="122"/>
      <c r="L57" s="122"/>
      <c r="M57" s="122"/>
      <c r="N57" s="122"/>
      <c r="O57" s="122"/>
      <c r="P57" s="1487"/>
      <c r="Q57" s="122"/>
      <c r="R57" s="122"/>
      <c r="S57" s="122"/>
      <c r="T57" s="122"/>
      <c r="U57" s="122"/>
      <c r="V57" s="122"/>
      <c r="W57" s="122"/>
      <c r="X57" s="122"/>
      <c r="Y57" s="122"/>
      <c r="Z57" s="122"/>
      <c r="AA57" s="122"/>
      <c r="AB57" s="122"/>
      <c r="AC57" s="122"/>
      <c r="AD57" s="122"/>
      <c r="AE57" s="122"/>
      <c r="AF57" s="122"/>
      <c r="AG57" s="122"/>
      <c r="AH57" s="122"/>
      <c r="AI57" s="122"/>
      <c r="AJ57" s="122"/>
      <c r="AK57" s="122"/>
      <c r="AL57" s="122"/>
      <c r="AM57" s="122"/>
      <c r="AN57" s="122"/>
      <c r="AO57" s="122"/>
      <c r="AP57" s="122"/>
      <c r="AQ57" s="122"/>
      <c r="AR57" s="122"/>
      <c r="AS57" s="122"/>
      <c r="AT57" s="122"/>
      <c r="AU57" s="122"/>
      <c r="AV57" s="122"/>
      <c r="AW57" s="122"/>
      <c r="AX57" s="122"/>
      <c r="AY57" s="122"/>
      <c r="AZ57" s="122"/>
      <c r="BA57" s="122"/>
      <c r="BB57" s="1387"/>
      <c r="BC57" s="466"/>
      <c r="BD57" s="466"/>
      <c r="BE57" s="466"/>
    </row>
    <row r="58" spans="2:57" s="522" customFormat="1" x14ac:dyDescent="0.3">
      <c r="B58" s="1437" t="s">
        <v>1554</v>
      </c>
      <c r="C58" s="1438"/>
      <c r="D58" s="1438"/>
      <c r="E58" s="1439"/>
      <c r="F58" s="1439"/>
      <c r="G58" s="1439"/>
      <c r="H58" s="122"/>
      <c r="I58" s="1440"/>
      <c r="J58" s="1440">
        <f>Notes!J61/$B$1</f>
        <v>0</v>
      </c>
      <c r="K58" s="1440">
        <f>Notes!K61/$B$1</f>
        <v>0</v>
      </c>
      <c r="L58" s="1440">
        <f>Notes!L61/$B$1</f>
        <v>0</v>
      </c>
      <c r="M58" s="1440">
        <f>Notes!M61/$B$1</f>
        <v>0</v>
      </c>
      <c r="N58" s="1440">
        <f>Notes!N61/$B$1</f>
        <v>0</v>
      </c>
      <c r="O58" s="1440">
        <f>Notes!O61/$B$1</f>
        <v>0</v>
      </c>
      <c r="P58" s="1473">
        <f>Notes!P61/$B$1</f>
        <v>0</v>
      </c>
      <c r="Q58" s="1410">
        <f>P63</f>
        <v>0</v>
      </c>
      <c r="R58" s="1410">
        <f t="shared" ref="R58:Z58" si="42">Q63</f>
        <v>0</v>
      </c>
      <c r="S58" s="1410">
        <f t="shared" si="42"/>
        <v>0</v>
      </c>
      <c r="T58" s="1410">
        <f t="shared" si="42"/>
        <v>0</v>
      </c>
      <c r="U58" s="1410">
        <f t="shared" si="42"/>
        <v>0</v>
      </c>
      <c r="V58" s="1410">
        <f t="shared" si="42"/>
        <v>0</v>
      </c>
      <c r="W58" s="1410">
        <f t="shared" si="42"/>
        <v>0</v>
      </c>
      <c r="X58" s="1410">
        <f t="shared" si="42"/>
        <v>0</v>
      </c>
      <c r="Y58" s="1410">
        <f t="shared" si="42"/>
        <v>0</v>
      </c>
      <c r="Z58" s="1410">
        <f t="shared" si="42"/>
        <v>0</v>
      </c>
      <c r="AA58" s="1410"/>
      <c r="AB58" s="1410"/>
      <c r="AC58" s="1410"/>
      <c r="AD58" s="1410"/>
      <c r="AE58" s="1410"/>
      <c r="AF58" s="1410"/>
      <c r="AG58" s="1410"/>
      <c r="AH58" s="1410"/>
      <c r="AI58" s="1410"/>
      <c r="AJ58" s="1410"/>
      <c r="AK58" s="1410"/>
      <c r="AL58" s="1410"/>
      <c r="AM58" s="1410"/>
      <c r="AN58" s="1410"/>
      <c r="AO58" s="1410"/>
      <c r="AP58" s="1410"/>
      <c r="AQ58" s="1410"/>
      <c r="AR58" s="1410"/>
      <c r="AS58" s="1410"/>
      <c r="AT58" s="1410"/>
      <c r="AU58" s="1410"/>
      <c r="AV58" s="1410"/>
      <c r="AW58" s="1410"/>
      <c r="AX58" s="1410"/>
      <c r="AY58" s="1410"/>
      <c r="AZ58" s="1410"/>
      <c r="BA58" s="1410"/>
      <c r="BB58" s="1387"/>
      <c r="BC58" s="466"/>
      <c r="BD58" s="466"/>
      <c r="BE58" s="466"/>
    </row>
    <row r="59" spans="2:57" s="522" customFormat="1" x14ac:dyDescent="0.3">
      <c r="B59" s="1437" t="s">
        <v>1555</v>
      </c>
      <c r="C59" s="1438"/>
      <c r="D59" s="1438"/>
      <c r="E59" s="1439"/>
      <c r="F59" s="1439"/>
      <c r="G59" s="1439"/>
      <c r="H59" s="122"/>
      <c r="I59" s="1440"/>
      <c r="J59" s="1440"/>
      <c r="K59" s="1440"/>
      <c r="L59" s="1440"/>
      <c r="M59" s="1440"/>
      <c r="N59" s="1440"/>
      <c r="O59" s="1440"/>
      <c r="P59" s="1473"/>
      <c r="Q59" s="1410">
        <f>Q9*Q14</f>
        <v>0</v>
      </c>
      <c r="R59" s="1410">
        <f t="shared" ref="R59:Z59" si="43">R9*R14</f>
        <v>0</v>
      </c>
      <c r="S59" s="1410">
        <f t="shared" si="43"/>
        <v>0</v>
      </c>
      <c r="T59" s="1410">
        <f t="shared" si="43"/>
        <v>0</v>
      </c>
      <c r="U59" s="1410">
        <f t="shared" si="43"/>
        <v>0</v>
      </c>
      <c r="V59" s="1410">
        <f t="shared" si="43"/>
        <v>0</v>
      </c>
      <c r="W59" s="1410">
        <f t="shared" si="43"/>
        <v>0</v>
      </c>
      <c r="X59" s="1410">
        <f t="shared" si="43"/>
        <v>0</v>
      </c>
      <c r="Y59" s="1410">
        <f t="shared" si="43"/>
        <v>0</v>
      </c>
      <c r="Z59" s="1410">
        <f t="shared" si="43"/>
        <v>0</v>
      </c>
      <c r="AA59" s="1410"/>
      <c r="AB59" s="1410"/>
      <c r="AC59" s="1410"/>
      <c r="AD59" s="1410"/>
      <c r="AE59" s="1410"/>
      <c r="AF59" s="1410"/>
      <c r="AG59" s="1410"/>
      <c r="AH59" s="1410"/>
      <c r="AI59" s="1410"/>
      <c r="AJ59" s="1410"/>
      <c r="AK59" s="1410"/>
      <c r="AL59" s="1410"/>
      <c r="AM59" s="1410"/>
      <c r="AN59" s="1410"/>
      <c r="AO59" s="1410"/>
      <c r="AP59" s="1410"/>
      <c r="AQ59" s="1410"/>
      <c r="AR59" s="1410"/>
      <c r="AS59" s="1410"/>
      <c r="AT59" s="1410"/>
      <c r="AU59" s="1410"/>
      <c r="AV59" s="1410"/>
      <c r="AW59" s="1410"/>
      <c r="AX59" s="1410"/>
      <c r="AY59" s="1410"/>
      <c r="AZ59" s="1410"/>
      <c r="BA59" s="1410"/>
      <c r="BB59" s="1387"/>
      <c r="BC59" s="466"/>
      <c r="BD59" s="466"/>
      <c r="BE59" s="466"/>
    </row>
    <row r="60" spans="2:57" s="522" customFormat="1" x14ac:dyDescent="0.3">
      <c r="B60" s="1444" t="s">
        <v>1556</v>
      </c>
      <c r="C60" s="1445"/>
      <c r="D60" s="1445"/>
      <c r="E60" s="1446"/>
      <c r="F60" s="1446"/>
      <c r="G60" s="1446"/>
      <c r="H60" s="1447"/>
      <c r="I60" s="1448"/>
      <c r="J60" s="1448"/>
      <c r="K60" s="1448"/>
      <c r="L60" s="1448"/>
      <c r="M60" s="1448"/>
      <c r="N60" s="1448"/>
      <c r="O60" s="1448"/>
      <c r="P60" s="1496"/>
      <c r="Q60" s="1451"/>
      <c r="R60" s="1451"/>
      <c r="S60" s="1451"/>
      <c r="T60" s="1451"/>
      <c r="U60" s="1451"/>
      <c r="V60" s="1451"/>
      <c r="W60" s="1451"/>
      <c r="X60" s="1451"/>
      <c r="Y60" s="1451"/>
      <c r="Z60" s="1451"/>
      <c r="AA60" s="1451"/>
      <c r="AB60" s="1451"/>
      <c r="AC60" s="1451"/>
      <c r="AD60" s="1451"/>
      <c r="AE60" s="1451"/>
      <c r="AF60" s="1451"/>
      <c r="AG60" s="1451"/>
      <c r="AH60" s="1451"/>
      <c r="AI60" s="1451"/>
      <c r="AJ60" s="1451"/>
      <c r="AK60" s="1451"/>
      <c r="AL60" s="1451"/>
      <c r="AM60" s="1451"/>
      <c r="AN60" s="1451"/>
      <c r="AO60" s="1451"/>
      <c r="AP60" s="1451"/>
      <c r="AQ60" s="1451"/>
      <c r="AR60" s="1451"/>
      <c r="AS60" s="1451"/>
      <c r="AT60" s="1451"/>
      <c r="AU60" s="1451"/>
      <c r="AV60" s="1451"/>
      <c r="AW60" s="1451"/>
      <c r="AX60" s="1451"/>
      <c r="AY60" s="1451"/>
      <c r="AZ60" s="1451"/>
      <c r="BA60" s="1451"/>
      <c r="BB60" s="1387"/>
      <c r="BC60" s="466"/>
      <c r="BD60" s="466"/>
      <c r="BE60" s="466"/>
    </row>
    <row r="61" spans="2:57" s="522" customFormat="1" x14ac:dyDescent="0.3">
      <c r="B61" s="1437" t="s">
        <v>1557</v>
      </c>
      <c r="C61" s="1438"/>
      <c r="D61" s="1438"/>
      <c r="E61" s="1439"/>
      <c r="F61" s="1439"/>
      <c r="G61" s="1439"/>
      <c r="H61" s="122"/>
      <c r="I61" s="1440"/>
      <c r="J61" s="1440">
        <f>IF(ISTEXT(Notes!J11),Notes!J62/$B$1,J59)</f>
        <v>0</v>
      </c>
      <c r="K61" s="1440">
        <f>IF(ISTEXT(Notes!K11),Notes!K62/$B$1,K59)</f>
        <v>0</v>
      </c>
      <c r="L61" s="1440">
        <f>IF(ISTEXT(Notes!L11),Notes!L62/$B$1,L59)</f>
        <v>0</v>
      </c>
      <c r="M61" s="1440">
        <f>IF(ISTEXT(Notes!M11),Notes!M62/$B$1,M59)</f>
        <v>0</v>
      </c>
      <c r="N61" s="1440">
        <f>IF(ISTEXT(Notes!N11),Notes!N62/$B$1,N59)</f>
        <v>0</v>
      </c>
      <c r="O61" s="1440">
        <f>IF(ISTEXT(Notes!O11),Notes!O62/$B$1,O59)</f>
        <v>0</v>
      </c>
      <c r="P61" s="1581">
        <f>IF(ISTEXT(Notes!P11),Notes!P62/$B$1,P59)</f>
        <v>0</v>
      </c>
      <c r="Q61" s="1410">
        <f>Q59</f>
        <v>0</v>
      </c>
      <c r="R61" s="1410">
        <f t="shared" ref="R61:Z61" si="44">R59</f>
        <v>0</v>
      </c>
      <c r="S61" s="1410">
        <f t="shared" si="44"/>
        <v>0</v>
      </c>
      <c r="T61" s="1410">
        <f t="shared" si="44"/>
        <v>0</v>
      </c>
      <c r="U61" s="1410">
        <f t="shared" si="44"/>
        <v>0</v>
      </c>
      <c r="V61" s="1410">
        <f t="shared" si="44"/>
        <v>0</v>
      </c>
      <c r="W61" s="1410">
        <f t="shared" si="44"/>
        <v>0</v>
      </c>
      <c r="X61" s="1410">
        <f t="shared" si="44"/>
        <v>0</v>
      </c>
      <c r="Y61" s="1410">
        <f t="shared" si="44"/>
        <v>0</v>
      </c>
      <c r="Z61" s="1410">
        <f t="shared" si="44"/>
        <v>0</v>
      </c>
      <c r="AA61" s="1410"/>
      <c r="AB61" s="1410"/>
      <c r="AC61" s="1410"/>
      <c r="AD61" s="1410"/>
      <c r="AE61" s="1410"/>
      <c r="AF61" s="1410"/>
      <c r="AG61" s="1410"/>
      <c r="AH61" s="1410"/>
      <c r="AI61" s="1410"/>
      <c r="AJ61" s="1410"/>
      <c r="AK61" s="1410"/>
      <c r="AL61" s="1410"/>
      <c r="AM61" s="1410"/>
      <c r="AN61" s="1410"/>
      <c r="AO61" s="1410"/>
      <c r="AP61" s="1410"/>
      <c r="AQ61" s="1410"/>
      <c r="AR61" s="1410"/>
      <c r="AS61" s="1410"/>
      <c r="AT61" s="1410"/>
      <c r="AU61" s="1410"/>
      <c r="AV61" s="1410"/>
      <c r="AW61" s="1410"/>
      <c r="AX61" s="1410"/>
      <c r="AY61" s="1410"/>
      <c r="AZ61" s="1410"/>
      <c r="BA61" s="1410"/>
      <c r="BB61" s="1497"/>
      <c r="BC61" s="466"/>
      <c r="BD61" s="466"/>
      <c r="BE61" s="466"/>
    </row>
    <row r="62" spans="2:57" s="522" customFormat="1" ht="13.8" thickBot="1" x14ac:dyDescent="0.35">
      <c r="B62" s="1437" t="s">
        <v>1558</v>
      </c>
      <c r="C62" s="1438"/>
      <c r="D62" s="1438"/>
      <c r="E62" s="1439"/>
      <c r="F62" s="1439"/>
      <c r="G62" s="1439"/>
      <c r="H62" s="122"/>
      <c r="I62" s="1440"/>
      <c r="J62" s="1440">
        <f>IF(ISTEXT(Notes!J11),Notes!J63/$B$1,J59)</f>
        <v>0</v>
      </c>
      <c r="K62" s="1440">
        <f>IF(ISTEXT(Notes!K11),Notes!K63/$B$1,K59)</f>
        <v>0</v>
      </c>
      <c r="L62" s="1440">
        <f>IF(ISTEXT(Notes!L11),Notes!L63/$B$1,L59)</f>
        <v>0</v>
      </c>
      <c r="M62" s="1440">
        <f>IF(ISTEXT(Notes!M11),Notes!M63/$B$1,M59)</f>
        <v>0</v>
      </c>
      <c r="N62" s="1440">
        <f>IF(ISTEXT(Notes!N11),Notes!N63/$B$1,N59)</f>
        <v>0</v>
      </c>
      <c r="O62" s="1440">
        <f>IF(ISTEXT(Notes!O11),Notes!O63/$B$1,O59)</f>
        <v>0</v>
      </c>
      <c r="P62" s="1473">
        <f>IF(ISTEXT(Notes!P11),Notes!P63/$B$1,P59)</f>
        <v>0</v>
      </c>
      <c r="Q62" s="1410">
        <v>0</v>
      </c>
      <c r="R62" s="1410">
        <f>Q62</f>
        <v>0</v>
      </c>
      <c r="S62" s="1410">
        <f t="shared" ref="S62:Z62" si="45">R62</f>
        <v>0</v>
      </c>
      <c r="T62" s="1410">
        <f t="shared" si="45"/>
        <v>0</v>
      </c>
      <c r="U62" s="1410">
        <f t="shared" si="45"/>
        <v>0</v>
      </c>
      <c r="V62" s="1410">
        <f t="shared" si="45"/>
        <v>0</v>
      </c>
      <c r="W62" s="1410">
        <f t="shared" si="45"/>
        <v>0</v>
      </c>
      <c r="X62" s="1410">
        <f t="shared" si="45"/>
        <v>0</v>
      </c>
      <c r="Y62" s="1410">
        <f t="shared" si="45"/>
        <v>0</v>
      </c>
      <c r="Z62" s="1410">
        <f t="shared" si="45"/>
        <v>0</v>
      </c>
      <c r="AA62" s="1410"/>
      <c r="AB62" s="1410"/>
      <c r="AC62" s="1410"/>
      <c r="AD62" s="1410"/>
      <c r="AE62" s="1410"/>
      <c r="AF62" s="1410"/>
      <c r="AG62" s="1410"/>
      <c r="AH62" s="1410"/>
      <c r="AI62" s="1410"/>
      <c r="AJ62" s="1410"/>
      <c r="AK62" s="1410"/>
      <c r="AL62" s="1410"/>
      <c r="AM62" s="1410"/>
      <c r="AN62" s="1410"/>
      <c r="AO62" s="1410"/>
      <c r="AP62" s="1410"/>
      <c r="AQ62" s="1410"/>
      <c r="AR62" s="1410"/>
      <c r="AS62" s="1410"/>
      <c r="AT62" s="1410"/>
      <c r="AU62" s="1410"/>
      <c r="AV62" s="1410"/>
      <c r="AW62" s="1410"/>
      <c r="AX62" s="1410"/>
      <c r="AY62" s="1410"/>
      <c r="AZ62" s="1410"/>
      <c r="BA62" s="1410"/>
      <c r="BB62" s="1387"/>
      <c r="BC62" s="466"/>
      <c r="BD62" s="466"/>
      <c r="BE62" s="466"/>
    </row>
    <row r="63" spans="2:57" s="522" customFormat="1" ht="13.8" thickBot="1" x14ac:dyDescent="0.35">
      <c r="B63" s="1452" t="s">
        <v>1541</v>
      </c>
      <c r="C63" s="1453"/>
      <c r="D63" s="1453"/>
      <c r="E63" s="139"/>
      <c r="F63" s="139"/>
      <c r="G63" s="139"/>
      <c r="H63" s="139"/>
      <c r="I63" s="1454"/>
      <c r="J63" s="1454">
        <f>SUM(J58,J61,J62)</f>
        <v>0</v>
      </c>
      <c r="K63" s="1454">
        <f t="shared" ref="K63:Z63" si="46">SUM(K58,K61,K62)</f>
        <v>0</v>
      </c>
      <c r="L63" s="1454">
        <f t="shared" si="46"/>
        <v>0</v>
      </c>
      <c r="M63" s="1454">
        <f t="shared" si="46"/>
        <v>0</v>
      </c>
      <c r="N63" s="1454">
        <f t="shared" si="46"/>
        <v>0</v>
      </c>
      <c r="O63" s="1454">
        <f t="shared" si="46"/>
        <v>0</v>
      </c>
      <c r="P63" s="1582">
        <f t="shared" si="46"/>
        <v>0</v>
      </c>
      <c r="Q63" s="1454">
        <f t="shared" si="46"/>
        <v>0</v>
      </c>
      <c r="R63" s="1454">
        <f t="shared" si="46"/>
        <v>0</v>
      </c>
      <c r="S63" s="1454">
        <f t="shared" si="46"/>
        <v>0</v>
      </c>
      <c r="T63" s="1454">
        <f t="shared" si="46"/>
        <v>0</v>
      </c>
      <c r="U63" s="1454">
        <f t="shared" si="46"/>
        <v>0</v>
      </c>
      <c r="V63" s="1454">
        <f t="shared" si="46"/>
        <v>0</v>
      </c>
      <c r="W63" s="1454">
        <f t="shared" si="46"/>
        <v>0</v>
      </c>
      <c r="X63" s="1454">
        <f t="shared" si="46"/>
        <v>0</v>
      </c>
      <c r="Y63" s="1454">
        <f t="shared" si="46"/>
        <v>0</v>
      </c>
      <c r="Z63" s="1454">
        <f t="shared" si="46"/>
        <v>0</v>
      </c>
      <c r="AA63" s="1457"/>
      <c r="AB63" s="1457"/>
      <c r="AC63" s="1457"/>
      <c r="AD63" s="1457"/>
      <c r="AE63" s="1457"/>
      <c r="AF63" s="1457"/>
      <c r="AG63" s="1457"/>
      <c r="AH63" s="1457"/>
      <c r="AI63" s="1457"/>
      <c r="AJ63" s="1457"/>
      <c r="AK63" s="1457"/>
      <c r="AL63" s="1457"/>
      <c r="AM63" s="1457"/>
      <c r="AN63" s="1457"/>
      <c r="AO63" s="1457"/>
      <c r="AP63" s="1457"/>
      <c r="AQ63" s="1457"/>
      <c r="AR63" s="1457"/>
      <c r="AS63" s="1457"/>
      <c r="AT63" s="1457"/>
      <c r="AU63" s="1457"/>
      <c r="AV63" s="1457"/>
      <c r="AW63" s="1457"/>
      <c r="AX63" s="1457"/>
      <c r="AY63" s="1457"/>
      <c r="AZ63" s="1457"/>
      <c r="BA63" s="1457"/>
      <c r="BB63" s="1407"/>
      <c r="BC63" s="466"/>
      <c r="BD63" s="466"/>
      <c r="BE63" s="466"/>
    </row>
    <row r="64" spans="2:57" s="1458" customFormat="1" x14ac:dyDescent="0.3">
      <c r="B64" s="1459" t="s">
        <v>1559</v>
      </c>
      <c r="C64" s="1459"/>
      <c r="D64" s="1459"/>
      <c r="E64" s="1460"/>
      <c r="F64" s="1460"/>
      <c r="G64" s="1460"/>
      <c r="H64" s="1460"/>
      <c r="I64" s="1461"/>
      <c r="J64" s="1461"/>
      <c r="K64" s="1461"/>
      <c r="L64" s="1461"/>
      <c r="M64" s="1461"/>
      <c r="N64" s="1461"/>
      <c r="O64" s="1461"/>
      <c r="P64" s="1472"/>
      <c r="Q64" s="1464"/>
      <c r="R64" s="1464"/>
      <c r="S64" s="1464"/>
      <c r="T64" s="1464"/>
      <c r="U64" s="1464"/>
      <c r="V64" s="1464"/>
      <c r="W64" s="1464"/>
      <c r="X64" s="1464"/>
      <c r="Y64" s="1464"/>
      <c r="Z64" s="1464"/>
      <c r="AA64" s="1464"/>
      <c r="AB64" s="1464"/>
      <c r="AC64" s="1464"/>
      <c r="AD64" s="1464"/>
      <c r="AE64" s="1464"/>
      <c r="AF64" s="1464"/>
      <c r="AG64" s="1464"/>
      <c r="AH64" s="1464"/>
      <c r="AI64" s="1464"/>
      <c r="AJ64" s="1464"/>
      <c r="AK64" s="1464"/>
      <c r="AL64" s="1464"/>
      <c r="AM64" s="1464"/>
      <c r="AN64" s="1464"/>
      <c r="AO64" s="1464"/>
      <c r="AP64" s="1464"/>
      <c r="AQ64" s="1464"/>
      <c r="AR64" s="1464"/>
      <c r="AS64" s="1464"/>
      <c r="AT64" s="1464"/>
      <c r="AU64" s="1464"/>
      <c r="AV64" s="1464"/>
      <c r="AW64" s="1464"/>
      <c r="AX64" s="1464"/>
      <c r="AY64" s="1464"/>
      <c r="AZ64" s="1464"/>
      <c r="BA64" s="1464"/>
      <c r="BB64" s="1465"/>
      <c r="BC64" s="1466"/>
      <c r="BD64" s="1466"/>
      <c r="BE64" s="1466"/>
    </row>
    <row r="65" spans="2:57" s="1458" customFormat="1" x14ac:dyDescent="0.3">
      <c r="B65" s="1476" t="s">
        <v>1560</v>
      </c>
      <c r="C65" s="1459"/>
      <c r="D65" s="1459"/>
      <c r="E65" s="1460"/>
      <c r="F65" s="1460"/>
      <c r="G65" s="1460"/>
      <c r="H65" s="1460"/>
      <c r="I65" s="1469"/>
      <c r="J65" s="1469">
        <f>IF(ISTEXT(Notes!J11),J63-'BS Raw'!J55/$B$1,"Chưa có BCTC")</f>
        <v>0</v>
      </c>
      <c r="K65" s="1469">
        <f>IF(ISTEXT(Notes!K11),K63-'BS Raw'!K55/$B$1,"Chưa có BCTC")</f>
        <v>0</v>
      </c>
      <c r="L65" s="1469">
        <f>IF(ISTEXT(Notes!L11),L63-'BS Raw'!L55/$B$1,"Chưa có BCTC")</f>
        <v>0</v>
      </c>
      <c r="M65" s="1469">
        <f>IF(ISTEXT(Notes!M11),M63-'BS Raw'!M55/$B$1,"Chưa có BCTC")</f>
        <v>0</v>
      </c>
      <c r="N65" s="1469">
        <f>IF(ISTEXT(Notes!N11),N63-'BS Raw'!N55/$B$1,"Chưa có BCTC")</f>
        <v>0</v>
      </c>
      <c r="O65" s="1469">
        <f>IF(ISTEXT(Notes!O11),O63-'BS Raw'!O55/$B$1,"Chưa có BCTC")</f>
        <v>0</v>
      </c>
      <c r="P65" s="1583">
        <f>IF(ISTEXT(Notes!P11),P63-'BS Raw'!P55/$B$1,"Chưa có BCTC")</f>
        <v>0</v>
      </c>
      <c r="Q65" s="1469" t="str">
        <f>IF(ISTEXT(Notes!Q11),Q63-'BS Raw'!Q55/$B$1,"Chưa có BCTC")</f>
        <v>Chưa có BCTC</v>
      </c>
      <c r="R65" s="1469" t="str">
        <f>IF(ISTEXT(Notes!R11),R63-'BS Raw'!R55/$B$1,"Chưa có BCTC")</f>
        <v>Chưa có BCTC</v>
      </c>
      <c r="S65" s="1469" t="str">
        <f>IF(ISTEXT(Notes!S11),S63-'BS Raw'!S55/$B$1,"Chưa có BCTC")</f>
        <v>Chưa có BCTC</v>
      </c>
      <c r="T65" s="1469" t="str">
        <f>IF(ISTEXT(Notes!T11),T63-'BS Raw'!T55/$B$1,"Chưa có BCTC")</f>
        <v>Chưa có BCTC</v>
      </c>
      <c r="U65" s="1469" t="str">
        <f>IF(ISTEXT(Notes!U11),U63-'BS Raw'!U55/$B$1,"Chưa có BCTC")</f>
        <v>Chưa có BCTC</v>
      </c>
      <c r="V65" s="1469" t="str">
        <f>IF(ISTEXT(Notes!V11),V63-'BS Raw'!V55/$B$1,"Chưa có BCTC")</f>
        <v>Chưa có BCTC</v>
      </c>
      <c r="W65" s="1469" t="str">
        <f>IF(ISTEXT(Notes!W11),W63-'BS Raw'!W55/$B$1,"Chưa có BCTC")</f>
        <v>Chưa có BCTC</v>
      </c>
      <c r="X65" s="1469" t="str">
        <f>IF(ISTEXT(Notes!X11),X63-'BS Raw'!X55/$B$1,"Chưa có BCTC")</f>
        <v>Chưa có BCTC</v>
      </c>
      <c r="Y65" s="1469" t="str">
        <f>IF(ISTEXT(Notes!Y11),Y63-'BS Raw'!Y55/$B$1,"Chưa có BCTC")</f>
        <v>Chưa có BCTC</v>
      </c>
      <c r="Z65" s="1469" t="str">
        <f>IF(ISTEXT(Notes!Z11),Z63-'BS Raw'!Z55/$B$1,"Chưa có BCTC")</f>
        <v>Chưa có BCTC</v>
      </c>
      <c r="AA65" s="1469" t="str">
        <f>IF(ISTEXT(Notes!AA11),AA63-'BS Raw'!AA55/$B$1,"Chưa có BCTC")</f>
        <v>Chưa có BCTC</v>
      </c>
      <c r="AB65" s="1469"/>
      <c r="AC65" s="1469"/>
      <c r="AD65" s="1469"/>
      <c r="AE65" s="1469"/>
      <c r="AF65" s="1469"/>
      <c r="AG65" s="1469"/>
      <c r="AH65" s="1469"/>
      <c r="AI65" s="1469"/>
      <c r="AJ65" s="1469"/>
      <c r="AK65" s="1469"/>
      <c r="AL65" s="1469"/>
      <c r="AM65" s="1469"/>
      <c r="AN65" s="1469"/>
      <c r="AO65" s="1469"/>
      <c r="AP65" s="1469"/>
      <c r="AQ65" s="1469"/>
      <c r="AR65" s="1469"/>
      <c r="AS65" s="1469"/>
      <c r="AT65" s="1469"/>
      <c r="AU65" s="1469"/>
      <c r="AV65" s="1469"/>
      <c r="AW65" s="1469"/>
      <c r="AX65" s="1469"/>
      <c r="AY65" s="1469"/>
      <c r="AZ65" s="1469"/>
      <c r="BA65" s="1469"/>
      <c r="BB65" s="1465"/>
      <c r="BC65" s="1466"/>
      <c r="BD65" s="1466"/>
      <c r="BE65" s="1466"/>
    </row>
    <row r="66" spans="2:57" s="1458" customFormat="1" ht="13.8" x14ac:dyDescent="0.3">
      <c r="B66" s="1459"/>
      <c r="C66" s="1459"/>
      <c r="D66" s="1459"/>
      <c r="E66" s="1460"/>
      <c r="F66" s="1460"/>
      <c r="G66" s="1460"/>
      <c r="H66" s="1460"/>
      <c r="I66" s="1460"/>
      <c r="J66" s="1460"/>
      <c r="K66" s="1460"/>
      <c r="L66" s="1460"/>
      <c r="M66" s="1460"/>
      <c r="N66" s="1498"/>
      <c r="O66" s="1499"/>
      <c r="P66" s="1500"/>
      <c r="Q66" s="1460"/>
      <c r="R66" s="1460"/>
      <c r="S66" s="1460"/>
      <c r="T66" s="1460"/>
      <c r="U66" s="1460"/>
      <c r="V66" s="1460"/>
      <c r="W66" s="1460"/>
      <c r="X66" s="1460"/>
      <c r="Y66" s="1460"/>
      <c r="Z66" s="1460"/>
      <c r="AA66" s="1460"/>
      <c r="AB66" s="1460"/>
      <c r="AC66" s="1460"/>
      <c r="AD66" s="1460"/>
      <c r="AE66" s="1460"/>
      <c r="AF66" s="1460"/>
      <c r="AG66" s="1460"/>
      <c r="AH66" s="1460"/>
      <c r="AI66" s="1460"/>
      <c r="AJ66" s="1460"/>
      <c r="AK66" s="1460"/>
      <c r="AL66" s="1460"/>
      <c r="AM66" s="1460"/>
      <c r="AN66" s="1460"/>
      <c r="AO66" s="1460"/>
      <c r="AP66" s="1460"/>
      <c r="AQ66" s="1460"/>
      <c r="AR66" s="1460"/>
      <c r="AS66" s="1460"/>
      <c r="AT66" s="1460"/>
      <c r="AU66" s="1460"/>
      <c r="AV66" s="1460"/>
      <c r="AW66" s="1460"/>
      <c r="AX66" s="1460"/>
      <c r="AY66" s="1460"/>
      <c r="AZ66" s="1460"/>
      <c r="BA66" s="1460"/>
      <c r="BB66" s="1465"/>
      <c r="BC66" s="1466"/>
      <c r="BD66" s="1466"/>
      <c r="BE66" s="1466"/>
    </row>
    <row r="67" spans="2:57" s="522" customFormat="1" x14ac:dyDescent="0.3">
      <c r="B67" s="1426" t="s">
        <v>1561</v>
      </c>
      <c r="C67" s="1426"/>
      <c r="D67" s="1426"/>
      <c r="E67" s="1434"/>
      <c r="F67" s="1434"/>
      <c r="G67" s="1434"/>
      <c r="H67" s="122"/>
      <c r="I67" s="122"/>
      <c r="J67" s="122"/>
      <c r="K67" s="122"/>
      <c r="L67" s="122"/>
      <c r="M67" s="122"/>
      <c r="N67" s="122"/>
      <c r="O67" s="122"/>
      <c r="P67" s="1487"/>
      <c r="Q67" s="1363"/>
      <c r="R67" s="1363"/>
      <c r="S67" s="1363"/>
      <c r="T67" s="1363"/>
      <c r="U67" s="1363"/>
      <c r="V67" s="1363"/>
      <c r="W67" s="1363"/>
      <c r="X67" s="1363"/>
      <c r="Y67" s="1363"/>
      <c r="Z67" s="1363"/>
      <c r="AA67" s="1363"/>
      <c r="AB67" s="1363"/>
      <c r="AC67" s="1363"/>
      <c r="AD67" s="1363"/>
      <c r="AE67" s="1363"/>
      <c r="AF67" s="1363"/>
      <c r="AG67" s="1363"/>
      <c r="AH67" s="1363"/>
      <c r="AI67" s="1363"/>
      <c r="AJ67" s="1363"/>
      <c r="AK67" s="1363"/>
      <c r="AL67" s="1363"/>
      <c r="AM67" s="1363"/>
      <c r="AN67" s="1363"/>
      <c r="AO67" s="1363"/>
      <c r="AP67" s="1363"/>
      <c r="AQ67" s="1363"/>
      <c r="AR67" s="1363"/>
      <c r="AS67" s="1363"/>
      <c r="AT67" s="1363"/>
      <c r="AU67" s="1363"/>
      <c r="AV67" s="1363"/>
      <c r="AW67" s="1363"/>
      <c r="AX67" s="1363"/>
      <c r="AY67" s="1363"/>
      <c r="AZ67" s="1363"/>
      <c r="BA67" s="1363"/>
      <c r="BB67" s="1387"/>
      <c r="BC67" s="466"/>
      <c r="BD67" s="466"/>
      <c r="BE67" s="466"/>
    </row>
    <row r="68" spans="2:57" s="522" customFormat="1" x14ac:dyDescent="0.3">
      <c r="B68" s="1437" t="s">
        <v>1554</v>
      </c>
      <c r="C68" s="1438"/>
      <c r="D68" s="1438"/>
      <c r="E68" s="1439"/>
      <c r="F68" s="1439"/>
      <c r="G68" s="1439"/>
      <c r="H68" s="122"/>
      <c r="I68" s="1440"/>
      <c r="J68" s="1440">
        <f>Notes!J65/$B$1</f>
        <v>0</v>
      </c>
      <c r="K68" s="1440">
        <f>Notes!K65/$B$1</f>
        <v>0</v>
      </c>
      <c r="L68" s="1440">
        <f>Notes!L65/$B$1</f>
        <v>0</v>
      </c>
      <c r="M68" s="1440">
        <f>Notes!M65/$B$1</f>
        <v>0</v>
      </c>
      <c r="N68" s="1440">
        <f>Notes!N65/$B$1</f>
        <v>0</v>
      </c>
      <c r="O68" s="1440">
        <f>Notes!O65/$B$1</f>
        <v>0</v>
      </c>
      <c r="P68" s="1473">
        <f>Notes!P65/$B$1</f>
        <v>0</v>
      </c>
      <c r="Q68" s="1410">
        <f>P73</f>
        <v>0</v>
      </c>
      <c r="R68" s="1410">
        <f t="shared" ref="R68:Z68" si="47">Q73</f>
        <v>0</v>
      </c>
      <c r="S68" s="1410">
        <f t="shared" si="47"/>
        <v>0</v>
      </c>
      <c r="T68" s="1410">
        <f t="shared" si="47"/>
        <v>0</v>
      </c>
      <c r="U68" s="1410">
        <f t="shared" si="47"/>
        <v>0</v>
      </c>
      <c r="V68" s="1410">
        <f t="shared" si="47"/>
        <v>0</v>
      </c>
      <c r="W68" s="1410">
        <f t="shared" si="47"/>
        <v>0</v>
      </c>
      <c r="X68" s="1410">
        <f t="shared" si="47"/>
        <v>0</v>
      </c>
      <c r="Y68" s="1410">
        <f t="shared" si="47"/>
        <v>0</v>
      </c>
      <c r="Z68" s="1410">
        <f t="shared" si="47"/>
        <v>0</v>
      </c>
      <c r="AA68" s="1410"/>
      <c r="AB68" s="1410"/>
      <c r="AC68" s="1410"/>
      <c r="AD68" s="1410"/>
      <c r="AE68" s="1410"/>
      <c r="AF68" s="1410"/>
      <c r="AG68" s="1410"/>
      <c r="AH68" s="1410"/>
      <c r="AI68" s="1410"/>
      <c r="AJ68" s="1410"/>
      <c r="AK68" s="1410"/>
      <c r="AL68" s="1410"/>
      <c r="AM68" s="1410"/>
      <c r="AN68" s="1410"/>
      <c r="AO68" s="1410"/>
      <c r="AP68" s="1410"/>
      <c r="AQ68" s="1410"/>
      <c r="AR68" s="1410"/>
      <c r="AS68" s="1410"/>
      <c r="AT68" s="1410"/>
      <c r="AU68" s="1410"/>
      <c r="AV68" s="1410"/>
      <c r="AW68" s="1410"/>
      <c r="AX68" s="1410"/>
      <c r="AY68" s="1410"/>
      <c r="AZ68" s="1410"/>
      <c r="BA68" s="1410"/>
      <c r="BB68" s="1387"/>
      <c r="BC68" s="466"/>
      <c r="BD68" s="466"/>
      <c r="BE68" s="466"/>
    </row>
    <row r="69" spans="2:57" s="522" customFormat="1" x14ac:dyDescent="0.3">
      <c r="B69" s="1437" t="s">
        <v>1555</v>
      </c>
      <c r="C69" s="1438"/>
      <c r="D69" s="1438"/>
      <c r="E69" s="1439"/>
      <c r="F69" s="1439"/>
      <c r="G69" s="1439"/>
      <c r="H69" s="122"/>
      <c r="I69" s="1440"/>
      <c r="J69" s="1440"/>
      <c r="K69" s="1440"/>
      <c r="L69" s="1440"/>
      <c r="M69" s="1440"/>
      <c r="N69" s="1440"/>
      <c r="O69" s="1440"/>
      <c r="P69" s="1473"/>
      <c r="Q69" s="1442">
        <f>Q257</f>
        <v>0</v>
      </c>
      <c r="R69" s="1442">
        <f t="shared" ref="R69:Z69" si="48">R257</f>
        <v>0</v>
      </c>
      <c r="S69" s="1442">
        <f t="shared" si="48"/>
        <v>0</v>
      </c>
      <c r="T69" s="1442">
        <f t="shared" si="48"/>
        <v>0</v>
      </c>
      <c r="U69" s="1442">
        <f t="shared" si="48"/>
        <v>0</v>
      </c>
      <c r="V69" s="1442">
        <f t="shared" si="48"/>
        <v>0</v>
      </c>
      <c r="W69" s="1442">
        <f t="shared" si="48"/>
        <v>0</v>
      </c>
      <c r="X69" s="1442">
        <f t="shared" si="48"/>
        <v>0</v>
      </c>
      <c r="Y69" s="1442">
        <f t="shared" si="48"/>
        <v>0</v>
      </c>
      <c r="Z69" s="1442">
        <f t="shared" si="48"/>
        <v>0</v>
      </c>
      <c r="AA69" s="1442"/>
      <c r="AB69" s="1442"/>
      <c r="AC69" s="1442"/>
      <c r="AD69" s="1442"/>
      <c r="AE69" s="1442"/>
      <c r="AF69" s="1442"/>
      <c r="AG69" s="1442"/>
      <c r="AH69" s="1442"/>
      <c r="AI69" s="1442"/>
      <c r="AJ69" s="1442"/>
      <c r="AK69" s="1442"/>
      <c r="AL69" s="1442"/>
      <c r="AM69" s="1442"/>
      <c r="AN69" s="1442"/>
      <c r="AO69" s="1442"/>
      <c r="AP69" s="1442"/>
      <c r="AQ69" s="1442"/>
      <c r="AR69" s="1442"/>
      <c r="AS69" s="1442"/>
      <c r="AT69" s="1442"/>
      <c r="AU69" s="1442"/>
      <c r="AV69" s="1442"/>
      <c r="AW69" s="1442"/>
      <c r="AX69" s="1442"/>
      <c r="AY69" s="1442"/>
      <c r="AZ69" s="1442"/>
      <c r="BA69" s="1410"/>
      <c r="BB69" s="1387"/>
      <c r="BC69" s="466"/>
      <c r="BD69" s="466"/>
      <c r="BE69" s="466"/>
    </row>
    <row r="70" spans="2:57" s="522" customFormat="1" x14ac:dyDescent="0.3">
      <c r="B70" s="1444" t="s">
        <v>1556</v>
      </c>
      <c r="C70" s="1445"/>
      <c r="D70" s="1445"/>
      <c r="E70" s="1446"/>
      <c r="F70" s="1446"/>
      <c r="G70" s="1446"/>
      <c r="H70" s="1447"/>
      <c r="I70" s="1448"/>
      <c r="J70" s="1448"/>
      <c r="K70" s="1448"/>
      <c r="L70" s="1448"/>
      <c r="M70" s="1448"/>
      <c r="N70" s="1448"/>
      <c r="O70" s="1448"/>
      <c r="P70" s="1496"/>
      <c r="Q70" s="1451"/>
      <c r="R70" s="1451"/>
      <c r="S70" s="1451"/>
      <c r="T70" s="1451"/>
      <c r="U70" s="1451"/>
      <c r="V70" s="1451"/>
      <c r="W70" s="1451"/>
      <c r="X70" s="1451"/>
      <c r="Y70" s="1451"/>
      <c r="Z70" s="1451"/>
      <c r="AA70" s="1451"/>
      <c r="AB70" s="1451"/>
      <c r="AC70" s="1451"/>
      <c r="AD70" s="1451"/>
      <c r="AE70" s="1451"/>
      <c r="AF70" s="1451"/>
      <c r="AG70" s="1451"/>
      <c r="AH70" s="1451"/>
      <c r="AI70" s="1451"/>
      <c r="AJ70" s="1451"/>
      <c r="AK70" s="1451"/>
      <c r="AL70" s="1451"/>
      <c r="AM70" s="1451"/>
      <c r="AN70" s="1451"/>
      <c r="AO70" s="1451"/>
      <c r="AP70" s="1451"/>
      <c r="AQ70" s="1451"/>
      <c r="AR70" s="1451"/>
      <c r="AS70" s="1451"/>
      <c r="AT70" s="1451"/>
      <c r="AU70" s="1451"/>
      <c r="AV70" s="1451"/>
      <c r="AW70" s="1451"/>
      <c r="AX70" s="1451"/>
      <c r="AY70" s="1451"/>
      <c r="AZ70" s="1451"/>
      <c r="BA70" s="1451"/>
      <c r="BB70" s="1387"/>
      <c r="BC70" s="466"/>
      <c r="BD70" s="466"/>
      <c r="BE70" s="466"/>
    </row>
    <row r="71" spans="2:57" s="522" customFormat="1" x14ac:dyDescent="0.3">
      <c r="B71" s="1437" t="s">
        <v>1557</v>
      </c>
      <c r="C71" s="1438"/>
      <c r="D71" s="1438"/>
      <c r="E71" s="1439"/>
      <c r="F71" s="1439"/>
      <c r="G71" s="1439"/>
      <c r="H71" s="122"/>
      <c r="I71" s="1440"/>
      <c r="J71" s="1440">
        <f>IF(ISTEXT(Notes!J11),Notes!J66/$B$1,J69)</f>
        <v>0</v>
      </c>
      <c r="K71" s="1440">
        <f>IF(ISTEXT(Notes!K11),Notes!K66/$B$1,K69)</f>
        <v>0</v>
      </c>
      <c r="L71" s="1440">
        <f>IF(ISTEXT(Notes!L11),Notes!L66/$B$1,L69)</f>
        <v>0</v>
      </c>
      <c r="M71" s="1440">
        <f>IF(ISTEXT(Notes!M11),Notes!M66/$B$1,M69)</f>
        <v>0</v>
      </c>
      <c r="N71" s="1440">
        <f>IF(ISTEXT(Notes!N11),Notes!N66/$B$1,N69)</f>
        <v>0</v>
      </c>
      <c r="O71" s="1440">
        <f>IF(ISTEXT(Notes!O11),Notes!O66/$B$1,O69)</f>
        <v>0</v>
      </c>
      <c r="P71" s="1473">
        <f>IF(ISTEXT(Notes!P11),Notes!P66/$B$1,P69)</f>
        <v>0</v>
      </c>
      <c r="Q71" s="1442">
        <f>Q69</f>
        <v>0</v>
      </c>
      <c r="R71" s="1442">
        <f t="shared" ref="R71:Z71" si="49">R69</f>
        <v>0</v>
      </c>
      <c r="S71" s="1442">
        <f t="shared" si="49"/>
        <v>0</v>
      </c>
      <c r="T71" s="1442">
        <f t="shared" si="49"/>
        <v>0</v>
      </c>
      <c r="U71" s="1442">
        <f t="shared" si="49"/>
        <v>0</v>
      </c>
      <c r="V71" s="1442">
        <f t="shared" si="49"/>
        <v>0</v>
      </c>
      <c r="W71" s="1442">
        <f t="shared" si="49"/>
        <v>0</v>
      </c>
      <c r="X71" s="1442">
        <f t="shared" si="49"/>
        <v>0</v>
      </c>
      <c r="Y71" s="1442">
        <f t="shared" si="49"/>
        <v>0</v>
      </c>
      <c r="Z71" s="1442">
        <f t="shared" si="49"/>
        <v>0</v>
      </c>
      <c r="AA71" s="1442"/>
      <c r="AB71" s="1442"/>
      <c r="AC71" s="1442"/>
      <c r="AD71" s="1442"/>
      <c r="AE71" s="1442"/>
      <c r="AF71" s="1442"/>
      <c r="AG71" s="1442"/>
      <c r="AH71" s="1442"/>
      <c r="AI71" s="1442"/>
      <c r="AJ71" s="1442"/>
      <c r="AK71" s="1442"/>
      <c r="AL71" s="1442"/>
      <c r="AM71" s="1442"/>
      <c r="AN71" s="1442"/>
      <c r="AO71" s="1442"/>
      <c r="AP71" s="1442"/>
      <c r="AQ71" s="1442"/>
      <c r="AR71" s="1442"/>
      <c r="AS71" s="1442"/>
      <c r="AT71" s="1442"/>
      <c r="AU71" s="1442"/>
      <c r="AV71" s="1410"/>
      <c r="AW71" s="1410"/>
      <c r="AX71" s="1410"/>
      <c r="AY71" s="1410"/>
      <c r="AZ71" s="1410"/>
      <c r="BA71" s="1410"/>
      <c r="BB71" s="1387"/>
      <c r="BC71" s="466"/>
      <c r="BD71" s="466"/>
      <c r="BE71" s="466"/>
    </row>
    <row r="72" spans="2:57" s="522" customFormat="1" x14ac:dyDescent="0.3">
      <c r="B72" s="1437" t="s">
        <v>1558</v>
      </c>
      <c r="C72" s="1438"/>
      <c r="D72" s="1438"/>
      <c r="E72" s="1439"/>
      <c r="F72" s="1439"/>
      <c r="G72" s="1439"/>
      <c r="H72" s="122"/>
      <c r="I72" s="1440"/>
      <c r="J72" s="1440">
        <f>IF(ISTEXT(Notes!J11),Notes!J67/$B$1,J70)</f>
        <v>0</v>
      </c>
      <c r="K72" s="1440">
        <f>IF(ISTEXT(Notes!K11),Notes!K67/$B$1,K70)</f>
        <v>0</v>
      </c>
      <c r="L72" s="1440">
        <f>IF(ISTEXT(Notes!L11),Notes!L67/$B$1,L70)</f>
        <v>0</v>
      </c>
      <c r="M72" s="1440">
        <f>IF(ISTEXT(Notes!M11),Notes!M67/$B$1,M70)</f>
        <v>0</v>
      </c>
      <c r="N72" s="1440">
        <f>IF(ISTEXT(Notes!N11),Notes!N67/$B$1,N70)</f>
        <v>0</v>
      </c>
      <c r="O72" s="1440">
        <f>IF(ISTEXT(Notes!O11),Notes!O67/$B$1,O70)</f>
        <v>0</v>
      </c>
      <c r="P72" s="1473">
        <f>IF(ISTEXT(Notes!P11),Notes!P67/$B$1,P70)</f>
        <v>0</v>
      </c>
      <c r="Q72" s="1442"/>
      <c r="R72" s="1410"/>
      <c r="S72" s="1410"/>
      <c r="T72" s="1410"/>
      <c r="U72" s="1410"/>
      <c r="V72" s="1410"/>
      <c r="W72" s="1410"/>
      <c r="X72" s="1410"/>
      <c r="Y72" s="1410"/>
      <c r="Z72" s="1410"/>
      <c r="AA72" s="1410"/>
      <c r="AB72" s="1410"/>
      <c r="AC72" s="1410"/>
      <c r="AD72" s="1410"/>
      <c r="AE72" s="1410"/>
      <c r="AF72" s="1410"/>
      <c r="AG72" s="1410"/>
      <c r="AH72" s="1410"/>
      <c r="AI72" s="1410"/>
      <c r="AJ72" s="1410"/>
      <c r="AK72" s="1410"/>
      <c r="AL72" s="1410"/>
      <c r="AM72" s="1410"/>
      <c r="AN72" s="1410"/>
      <c r="AO72" s="1410"/>
      <c r="AP72" s="1410"/>
      <c r="AQ72" s="1410"/>
      <c r="AR72" s="1410"/>
      <c r="AS72" s="1410"/>
      <c r="AT72" s="1410"/>
      <c r="AU72" s="1410"/>
      <c r="AV72" s="1410"/>
      <c r="AW72" s="1410"/>
      <c r="AX72" s="1410"/>
      <c r="AY72" s="1410"/>
      <c r="AZ72" s="1410"/>
      <c r="BA72" s="1410"/>
      <c r="BB72" s="1387"/>
      <c r="BC72" s="466"/>
      <c r="BD72" s="466"/>
      <c r="BE72" s="466"/>
    </row>
    <row r="73" spans="2:57" s="522" customFormat="1" x14ac:dyDescent="0.3">
      <c r="B73" s="1474" t="s">
        <v>1562</v>
      </c>
      <c r="C73" s="1453"/>
      <c r="D73" s="1453"/>
      <c r="E73" s="139"/>
      <c r="F73" s="139"/>
      <c r="G73" s="139"/>
      <c r="H73" s="139"/>
      <c r="I73" s="1454"/>
      <c r="J73" s="1454">
        <f>SUM(J68,J71,J72)</f>
        <v>0</v>
      </c>
      <c r="K73" s="1454">
        <f t="shared" ref="K73:P73" si="50">SUM(K68,K71,K72)</f>
        <v>0</v>
      </c>
      <c r="L73" s="1454">
        <f t="shared" si="50"/>
        <v>0</v>
      </c>
      <c r="M73" s="1454">
        <f t="shared" si="50"/>
        <v>0</v>
      </c>
      <c r="N73" s="1454">
        <f t="shared" si="50"/>
        <v>0</v>
      </c>
      <c r="O73" s="1454">
        <f t="shared" si="50"/>
        <v>0</v>
      </c>
      <c r="P73" s="1582">
        <f t="shared" si="50"/>
        <v>0</v>
      </c>
      <c r="Q73" s="1457">
        <f>Q68+Q71+Q72</f>
        <v>0</v>
      </c>
      <c r="R73" s="1457">
        <f t="shared" ref="R73:Z73" si="51">R68+R71+R72</f>
        <v>0</v>
      </c>
      <c r="S73" s="1457">
        <f t="shared" si="51"/>
        <v>0</v>
      </c>
      <c r="T73" s="1457">
        <f t="shared" si="51"/>
        <v>0</v>
      </c>
      <c r="U73" s="1457">
        <f t="shared" si="51"/>
        <v>0</v>
      </c>
      <c r="V73" s="1457">
        <f t="shared" si="51"/>
        <v>0</v>
      </c>
      <c r="W73" s="1457">
        <f t="shared" si="51"/>
        <v>0</v>
      </c>
      <c r="X73" s="1457">
        <f t="shared" si="51"/>
        <v>0</v>
      </c>
      <c r="Y73" s="1457">
        <f t="shared" si="51"/>
        <v>0</v>
      </c>
      <c r="Z73" s="1457">
        <f t="shared" si="51"/>
        <v>0</v>
      </c>
      <c r="AA73" s="1457"/>
      <c r="AB73" s="1457"/>
      <c r="AC73" s="1457"/>
      <c r="AD73" s="1457"/>
      <c r="AE73" s="1457"/>
      <c r="AF73" s="1457"/>
      <c r="AG73" s="1457"/>
      <c r="AH73" s="1457"/>
      <c r="AI73" s="1457"/>
      <c r="AJ73" s="1457"/>
      <c r="AK73" s="1457"/>
      <c r="AL73" s="1457"/>
      <c r="AM73" s="1457"/>
      <c r="AN73" s="1457"/>
      <c r="AO73" s="1457"/>
      <c r="AP73" s="1457"/>
      <c r="AQ73" s="1457"/>
      <c r="AR73" s="1457"/>
      <c r="AS73" s="1457"/>
      <c r="AT73" s="1457"/>
      <c r="AU73" s="1457"/>
      <c r="AV73" s="1457"/>
      <c r="AW73" s="1457"/>
      <c r="AX73" s="1457"/>
      <c r="AY73" s="1457"/>
      <c r="AZ73" s="1457"/>
      <c r="BA73" s="1457"/>
      <c r="BB73" s="1407"/>
      <c r="BC73" s="466"/>
      <c r="BD73" s="466"/>
      <c r="BE73" s="466"/>
    </row>
    <row r="74" spans="2:57" s="522" customFormat="1" x14ac:dyDescent="0.3">
      <c r="B74" s="1475" t="s">
        <v>1563</v>
      </c>
      <c r="C74" s="1438"/>
      <c r="D74" s="1438"/>
      <c r="E74" s="122"/>
      <c r="F74" s="122"/>
      <c r="G74" s="122"/>
      <c r="H74" s="122"/>
      <c r="I74" s="1440"/>
      <c r="J74" s="1440">
        <f>J58-J68</f>
        <v>0</v>
      </c>
      <c r="K74" s="1440">
        <f t="shared" ref="K74:Z74" si="52">K58-K68</f>
        <v>0</v>
      </c>
      <c r="L74" s="1440">
        <f t="shared" si="52"/>
        <v>0</v>
      </c>
      <c r="M74" s="1440">
        <f t="shared" si="52"/>
        <v>0</v>
      </c>
      <c r="N74" s="1440">
        <f t="shared" si="52"/>
        <v>0</v>
      </c>
      <c r="O74" s="1440">
        <f t="shared" si="52"/>
        <v>0</v>
      </c>
      <c r="P74" s="1473">
        <f t="shared" si="52"/>
        <v>0</v>
      </c>
      <c r="Q74" s="1410">
        <f t="shared" si="52"/>
        <v>0</v>
      </c>
      <c r="R74" s="1410">
        <f t="shared" si="52"/>
        <v>0</v>
      </c>
      <c r="S74" s="1410">
        <f t="shared" si="52"/>
        <v>0</v>
      </c>
      <c r="T74" s="1410">
        <f t="shared" si="52"/>
        <v>0</v>
      </c>
      <c r="U74" s="1410">
        <f t="shared" si="52"/>
        <v>0</v>
      </c>
      <c r="V74" s="1410">
        <f t="shared" si="52"/>
        <v>0</v>
      </c>
      <c r="W74" s="1410">
        <f t="shared" si="52"/>
        <v>0</v>
      </c>
      <c r="X74" s="1410">
        <f t="shared" si="52"/>
        <v>0</v>
      </c>
      <c r="Y74" s="1410">
        <f t="shared" si="52"/>
        <v>0</v>
      </c>
      <c r="Z74" s="1410">
        <f t="shared" si="52"/>
        <v>0</v>
      </c>
      <c r="AA74" s="1410"/>
      <c r="AB74" s="1410"/>
      <c r="AC74" s="1410"/>
      <c r="AD74" s="1410"/>
      <c r="AE74" s="1410"/>
      <c r="AF74" s="1410"/>
      <c r="AG74" s="1410"/>
      <c r="AH74" s="1410"/>
      <c r="AI74" s="1410"/>
      <c r="AJ74" s="1410"/>
      <c r="AK74" s="1410"/>
      <c r="AL74" s="1410"/>
      <c r="AM74" s="1410"/>
      <c r="AN74" s="1410"/>
      <c r="AO74" s="1410"/>
      <c r="AP74" s="1410"/>
      <c r="AQ74" s="1410"/>
      <c r="AR74" s="1410"/>
      <c r="AS74" s="1410"/>
      <c r="AT74" s="1410"/>
      <c r="AU74" s="1410"/>
      <c r="AV74" s="1410"/>
      <c r="AW74" s="1410"/>
      <c r="AX74" s="1410"/>
      <c r="AY74" s="1410"/>
      <c r="AZ74" s="1410"/>
      <c r="BA74" s="1410"/>
      <c r="BB74" s="1387"/>
      <c r="BC74" s="466"/>
      <c r="BD74" s="466"/>
      <c r="BE74" s="466"/>
    </row>
    <row r="75" spans="2:57" s="522" customFormat="1" x14ac:dyDescent="0.3">
      <c r="B75" s="1475" t="s">
        <v>1542</v>
      </c>
      <c r="C75" s="1438"/>
      <c r="D75" s="1438"/>
      <c r="E75" s="122"/>
      <c r="F75" s="122"/>
      <c r="G75" s="122"/>
      <c r="H75" s="122"/>
      <c r="I75" s="1440"/>
      <c r="J75" s="1440">
        <f>J63-J73</f>
        <v>0</v>
      </c>
      <c r="K75" s="1440">
        <f t="shared" ref="K75:Z75" si="53">K63-K73</f>
        <v>0</v>
      </c>
      <c r="L75" s="1440">
        <f t="shared" si="53"/>
        <v>0</v>
      </c>
      <c r="M75" s="1440">
        <f t="shared" si="53"/>
        <v>0</v>
      </c>
      <c r="N75" s="1440">
        <f t="shared" si="53"/>
        <v>0</v>
      </c>
      <c r="O75" s="1440">
        <f t="shared" si="53"/>
        <v>0</v>
      </c>
      <c r="P75" s="1473">
        <f t="shared" si="53"/>
        <v>0</v>
      </c>
      <c r="Q75" s="1410">
        <f t="shared" si="53"/>
        <v>0</v>
      </c>
      <c r="R75" s="1410">
        <f t="shared" si="53"/>
        <v>0</v>
      </c>
      <c r="S75" s="1410">
        <f t="shared" si="53"/>
        <v>0</v>
      </c>
      <c r="T75" s="1410">
        <f t="shared" si="53"/>
        <v>0</v>
      </c>
      <c r="U75" s="1410">
        <f t="shared" si="53"/>
        <v>0</v>
      </c>
      <c r="V75" s="1410">
        <f t="shared" si="53"/>
        <v>0</v>
      </c>
      <c r="W75" s="1410">
        <f t="shared" si="53"/>
        <v>0</v>
      </c>
      <c r="X75" s="1410">
        <f t="shared" si="53"/>
        <v>0</v>
      </c>
      <c r="Y75" s="1410">
        <f t="shared" si="53"/>
        <v>0</v>
      </c>
      <c r="Z75" s="1410">
        <f t="shared" si="53"/>
        <v>0</v>
      </c>
      <c r="AA75" s="1410"/>
      <c r="AB75" s="1410"/>
      <c r="AC75" s="1410"/>
      <c r="AD75" s="1410"/>
      <c r="AE75" s="1410"/>
      <c r="AF75" s="1410"/>
      <c r="AG75" s="1410"/>
      <c r="AH75" s="1410"/>
      <c r="AI75" s="1410"/>
      <c r="AJ75" s="1410"/>
      <c r="AK75" s="1410"/>
      <c r="AL75" s="1410"/>
      <c r="AM75" s="1410"/>
      <c r="AN75" s="1410"/>
      <c r="AO75" s="1410"/>
      <c r="AP75" s="1410"/>
      <c r="AQ75" s="1410"/>
      <c r="AR75" s="1410"/>
      <c r="AS75" s="1410"/>
      <c r="AT75" s="1410"/>
      <c r="AU75" s="1410"/>
      <c r="AV75" s="1410"/>
      <c r="AW75" s="1410"/>
      <c r="AX75" s="1410"/>
      <c r="AY75" s="1410"/>
      <c r="AZ75" s="1410"/>
      <c r="BA75" s="1410"/>
      <c r="BB75" s="1387"/>
      <c r="BC75" s="466"/>
      <c r="BD75" s="466"/>
      <c r="BE75" s="466"/>
    </row>
    <row r="76" spans="2:57" s="1458" customFormat="1" x14ac:dyDescent="0.3">
      <c r="B76" s="1476" t="s">
        <v>1564</v>
      </c>
      <c r="C76" s="1459"/>
      <c r="D76" s="1459"/>
      <c r="E76" s="1460"/>
      <c r="F76" s="1460"/>
      <c r="G76" s="1460"/>
      <c r="H76" s="1460"/>
      <c r="I76" s="1469"/>
      <c r="J76" s="1469">
        <f>IF(ISTEXT(Notes!J11),J75-'BS Raw'!J54/$B$1,"Chưa có BCTC")</f>
        <v>0</v>
      </c>
      <c r="K76" s="1469">
        <f>IF(ISTEXT(Notes!K11),K75-'BS Raw'!K54/$B$1,"Chưa có BCTC")</f>
        <v>0</v>
      </c>
      <c r="L76" s="1469">
        <f>IF(ISTEXT(Notes!L11),L75-'BS Raw'!L54/$B$1,"Chưa có BCTC")</f>
        <v>0</v>
      </c>
      <c r="M76" s="1469">
        <f>IF(ISTEXT(Notes!M11),M75-'BS Raw'!M54/$B$1,"Chưa có BCTC")</f>
        <v>0</v>
      </c>
      <c r="N76" s="1469">
        <f>IF(ISTEXT(Notes!N11),N75-'BS Raw'!N54/$B$1,"Chưa có BCTC")</f>
        <v>0</v>
      </c>
      <c r="O76" s="1469">
        <f>IF(ISTEXT(Notes!O11),O75-'BS Raw'!O54/$B$1,"Chưa có BCTC")</f>
        <v>0</v>
      </c>
      <c r="P76" s="1583">
        <f>IF(ISTEXT(Notes!P11),P75-'BS Raw'!P54/$B$1,"Chưa có BCTC")</f>
        <v>0</v>
      </c>
      <c r="Q76" s="1478" t="str">
        <f>IF(ISTEXT(Notes!Q11),Q75-'BS Raw'!Q54/$B$1,"Chưa có BCTC")</f>
        <v>Chưa có BCTC</v>
      </c>
      <c r="R76" s="1478" t="str">
        <f>IF(ISTEXT(Notes!R11),R75-'BS Raw'!R54/$B$1,"Chưa có BCTC")</f>
        <v>Chưa có BCTC</v>
      </c>
      <c r="S76" s="1478" t="str">
        <f>IF(ISTEXT(Notes!S11),S75-'BS Raw'!S54/$B$1,"Chưa có BCTC")</f>
        <v>Chưa có BCTC</v>
      </c>
      <c r="T76" s="1478" t="str">
        <f>IF(ISTEXT(Notes!T11),T75-'BS Raw'!T54/$B$1,"Chưa có BCTC")</f>
        <v>Chưa có BCTC</v>
      </c>
      <c r="U76" s="1478" t="str">
        <f>IF(ISTEXT(Notes!U11),U75-'BS Raw'!U54/$B$1,"Chưa có BCTC")</f>
        <v>Chưa có BCTC</v>
      </c>
      <c r="V76" s="1478" t="str">
        <f>IF(ISTEXT(Notes!V11),V75-'BS Raw'!V54/$B$1,"Chưa có BCTC")</f>
        <v>Chưa có BCTC</v>
      </c>
      <c r="W76" s="1478" t="str">
        <f>IF(ISTEXT(Notes!W11),W75-'BS Raw'!W54/$B$1,"Chưa có BCTC")</f>
        <v>Chưa có BCTC</v>
      </c>
      <c r="X76" s="1478" t="str">
        <f>IF(ISTEXT(Notes!X11),X75-'BS Raw'!X54/$B$1,"Chưa có BCTC")</f>
        <v>Chưa có BCTC</v>
      </c>
      <c r="Y76" s="1478" t="str">
        <f>IF(ISTEXT(Notes!Y11),Y75-'BS Raw'!Y54/$B$1,"Chưa có BCTC")</f>
        <v>Chưa có BCTC</v>
      </c>
      <c r="Z76" s="1478" t="str">
        <f>IF(ISTEXT(Notes!Z11),Z75-'BS Raw'!Z54/$B$1,"Chưa có BCTC")</f>
        <v>Chưa có BCTC</v>
      </c>
      <c r="AA76" s="1478"/>
      <c r="AB76" s="1478"/>
      <c r="AC76" s="1478"/>
      <c r="AD76" s="1478"/>
      <c r="AE76" s="1478"/>
      <c r="AF76" s="1478"/>
      <c r="AG76" s="1478"/>
      <c r="AH76" s="1478"/>
      <c r="AI76" s="1478"/>
      <c r="AJ76" s="1478"/>
      <c r="AK76" s="1478"/>
      <c r="AL76" s="1478"/>
      <c r="AM76" s="1478"/>
      <c r="AN76" s="1478"/>
      <c r="AO76" s="1478"/>
      <c r="AP76" s="1478"/>
      <c r="AQ76" s="1478"/>
      <c r="AR76" s="1478"/>
      <c r="AS76" s="1478"/>
      <c r="AT76" s="1478"/>
      <c r="AU76" s="1478"/>
      <c r="AV76" s="1478"/>
      <c r="AW76" s="1478"/>
      <c r="AX76" s="1478"/>
      <c r="AY76" s="1478"/>
      <c r="AZ76" s="1478"/>
      <c r="BA76" s="1478"/>
      <c r="BB76" s="1465"/>
      <c r="BC76" s="1466"/>
      <c r="BD76" s="1466"/>
      <c r="BE76" s="1466"/>
    </row>
    <row r="77" spans="2:57" s="1458" customFormat="1" ht="26.4" customHeight="1" x14ac:dyDescent="0.3">
      <c r="B77" s="1481" t="str">
        <f>"- Giá trị còn lại của tài sản đầu tư thêm năm "&amp;YEAR($P$3)</f>
        <v>- Giá trị còn lại của tài sản đầu tư thêm năm 2021</v>
      </c>
      <c r="C77" s="1459"/>
      <c r="D77" s="1459"/>
      <c r="E77" s="1460"/>
      <c r="F77" s="1460"/>
      <c r="G77" s="1460"/>
      <c r="H77" s="1460"/>
      <c r="I77" s="1461"/>
      <c r="J77" s="1461"/>
      <c r="K77" s="1461"/>
      <c r="L77" s="1461"/>
      <c r="M77" s="1461"/>
      <c r="N77" s="1461"/>
      <c r="O77" s="1461"/>
      <c r="P77" s="1501">
        <f>P75</f>
        <v>0</v>
      </c>
      <c r="Q77" s="1502">
        <f>P77-Q245</f>
        <v>0</v>
      </c>
      <c r="R77" s="1502">
        <f>Q77-R245</f>
        <v>0</v>
      </c>
      <c r="S77" s="1502">
        <f t="shared" ref="S77:Z77" si="54">R77-S245</f>
        <v>0</v>
      </c>
      <c r="T77" s="1502">
        <f t="shared" si="54"/>
        <v>0</v>
      </c>
      <c r="U77" s="1502">
        <f t="shared" si="54"/>
        <v>0</v>
      </c>
      <c r="V77" s="1502">
        <f t="shared" si="54"/>
        <v>0</v>
      </c>
      <c r="W77" s="1502">
        <f t="shared" si="54"/>
        <v>0</v>
      </c>
      <c r="X77" s="1502">
        <f t="shared" si="54"/>
        <v>0</v>
      </c>
      <c r="Y77" s="1502">
        <f t="shared" si="54"/>
        <v>0</v>
      </c>
      <c r="Z77" s="1502">
        <f t="shared" si="54"/>
        <v>0</v>
      </c>
      <c r="AA77" s="1502"/>
      <c r="AB77" s="1502"/>
      <c r="AC77" s="1502"/>
      <c r="AD77" s="1502"/>
      <c r="AE77" s="1502"/>
      <c r="AF77" s="1502"/>
      <c r="AG77" s="1502"/>
      <c r="AH77" s="1502"/>
      <c r="AI77" s="1502"/>
      <c r="AJ77" s="1502"/>
      <c r="AK77" s="1502"/>
      <c r="AL77" s="1502"/>
      <c r="AM77" s="1502"/>
      <c r="AN77" s="1502"/>
      <c r="AO77" s="1502"/>
      <c r="AP77" s="1502"/>
      <c r="AQ77" s="1502"/>
      <c r="AR77" s="1502"/>
      <c r="AS77" s="1502"/>
      <c r="AT77" s="1502"/>
      <c r="AU77" s="1502"/>
      <c r="AV77" s="1502"/>
      <c r="AW77" s="1502"/>
      <c r="AX77" s="1502"/>
      <c r="AY77" s="1502"/>
      <c r="AZ77" s="1464"/>
      <c r="BA77" s="1464"/>
      <c r="BB77" s="1465"/>
      <c r="BC77" s="1466"/>
      <c r="BD77" s="1466"/>
      <c r="BE77" s="1466"/>
    </row>
    <row r="78" spans="2:57" s="1458" customFormat="1" ht="25.2" customHeight="1" x14ac:dyDescent="0.3">
      <c r="B78" s="1481" t="str">
        <f>"- Giá trị còn lại của tài sản đầu tư thêm năm "&amp;YEAR($P$3)+1</f>
        <v>- Giá trị còn lại của tài sản đầu tư thêm năm 2022</v>
      </c>
      <c r="C78" s="1459"/>
      <c r="D78" s="1459"/>
      <c r="E78" s="1460"/>
      <c r="F78" s="1460"/>
      <c r="G78" s="1460"/>
      <c r="H78" s="1460"/>
      <c r="I78" s="1461"/>
      <c r="J78" s="1461"/>
      <c r="K78" s="1461"/>
      <c r="L78" s="1461"/>
      <c r="M78" s="1461"/>
      <c r="N78" s="1461"/>
      <c r="O78" s="1461"/>
      <c r="P78" s="1472"/>
      <c r="Q78" s="1502">
        <f>Q61+Q62-Q246</f>
        <v>0</v>
      </c>
      <c r="R78" s="1502">
        <f>Q78-R246</f>
        <v>0</v>
      </c>
      <c r="S78" s="1502">
        <f t="shared" ref="S78:Z78" si="55">R78-S246</f>
        <v>0</v>
      </c>
      <c r="T78" s="1502">
        <f t="shared" si="55"/>
        <v>0</v>
      </c>
      <c r="U78" s="1502">
        <f t="shared" si="55"/>
        <v>0</v>
      </c>
      <c r="V78" s="1502">
        <f t="shared" si="55"/>
        <v>0</v>
      </c>
      <c r="W78" s="1502">
        <f t="shared" si="55"/>
        <v>0</v>
      </c>
      <c r="X78" s="1502">
        <f t="shared" si="55"/>
        <v>0</v>
      </c>
      <c r="Y78" s="1502">
        <f t="shared" si="55"/>
        <v>0</v>
      </c>
      <c r="Z78" s="1502">
        <f t="shared" si="55"/>
        <v>0</v>
      </c>
      <c r="AA78" s="1502"/>
      <c r="AB78" s="1502"/>
      <c r="AC78" s="1502"/>
      <c r="AD78" s="1502"/>
      <c r="AE78" s="1502"/>
      <c r="AF78" s="1502"/>
      <c r="AG78" s="1502"/>
      <c r="AH78" s="1502"/>
      <c r="AI78" s="1502"/>
      <c r="AJ78" s="1502"/>
      <c r="AK78" s="1502"/>
      <c r="AL78" s="1502"/>
      <c r="AM78" s="1502"/>
      <c r="AN78" s="1502"/>
      <c r="AO78" s="1502"/>
      <c r="AP78" s="1502"/>
      <c r="AQ78" s="1502"/>
      <c r="AR78" s="1502"/>
      <c r="AS78" s="1502"/>
      <c r="AT78" s="1502"/>
      <c r="AU78" s="1502"/>
      <c r="AV78" s="1502"/>
      <c r="AW78" s="1502"/>
      <c r="AX78" s="1502"/>
      <c r="AY78" s="1502"/>
      <c r="AZ78" s="1502"/>
      <c r="BA78" s="1502"/>
      <c r="BB78" s="1465"/>
      <c r="BC78" s="1466"/>
      <c r="BD78" s="1466"/>
      <c r="BE78" s="1466"/>
    </row>
    <row r="79" spans="2:57" s="1458" customFormat="1" ht="24" customHeight="1" x14ac:dyDescent="0.3">
      <c r="B79" s="1481" t="str">
        <f>"- Giá trị còn lại của tài sản đầu tư thêm năm "&amp;YEAR($P$3)+2</f>
        <v>- Giá trị còn lại của tài sản đầu tư thêm năm 2023</v>
      </c>
      <c r="C79" s="1459"/>
      <c r="D79" s="1459"/>
      <c r="E79" s="1460"/>
      <c r="F79" s="1460"/>
      <c r="G79" s="1460"/>
      <c r="H79" s="1460"/>
      <c r="I79" s="1461"/>
      <c r="J79" s="1461"/>
      <c r="K79" s="1461"/>
      <c r="L79" s="1461"/>
      <c r="M79" s="1461"/>
      <c r="N79" s="1461"/>
      <c r="O79" s="1461"/>
      <c r="P79" s="1472"/>
      <c r="Q79" s="1464"/>
      <c r="R79" s="1502">
        <f>R61+R62-R247</f>
        <v>0</v>
      </c>
      <c r="S79" s="1502">
        <f>R79-S247</f>
        <v>0</v>
      </c>
      <c r="T79" s="1502">
        <f t="shared" ref="T79:Z79" si="56">S79-T247</f>
        <v>0</v>
      </c>
      <c r="U79" s="1502">
        <f t="shared" si="56"/>
        <v>0</v>
      </c>
      <c r="V79" s="1502">
        <f t="shared" si="56"/>
        <v>0</v>
      </c>
      <c r="W79" s="1502">
        <f t="shared" si="56"/>
        <v>0</v>
      </c>
      <c r="X79" s="1502">
        <f t="shared" si="56"/>
        <v>0</v>
      </c>
      <c r="Y79" s="1502">
        <f t="shared" si="56"/>
        <v>0</v>
      </c>
      <c r="Z79" s="1502">
        <f t="shared" si="56"/>
        <v>0</v>
      </c>
      <c r="AA79" s="1502"/>
      <c r="AB79" s="1502"/>
      <c r="AC79" s="1502"/>
      <c r="AD79" s="1502"/>
      <c r="AE79" s="1502"/>
      <c r="AF79" s="1502"/>
      <c r="AG79" s="1502"/>
      <c r="AH79" s="1502"/>
      <c r="AI79" s="1502"/>
      <c r="AJ79" s="1502"/>
      <c r="AK79" s="1502"/>
      <c r="AL79" s="1502"/>
      <c r="AM79" s="1502"/>
      <c r="AN79" s="1502"/>
      <c r="AO79" s="1502"/>
      <c r="AP79" s="1502"/>
      <c r="AQ79" s="1502"/>
      <c r="AR79" s="1502"/>
      <c r="AS79" s="1502"/>
      <c r="AT79" s="1502"/>
      <c r="AU79" s="1502"/>
      <c r="AV79" s="1502"/>
      <c r="AW79" s="1502"/>
      <c r="AX79" s="1464"/>
      <c r="AY79" s="1464"/>
      <c r="AZ79" s="1464"/>
      <c r="BA79" s="1464"/>
      <c r="BB79" s="1465"/>
      <c r="BC79" s="1466"/>
      <c r="BD79" s="1466"/>
      <c r="BE79" s="1466"/>
    </row>
    <row r="80" spans="2:57" s="1458" customFormat="1" ht="30" customHeight="1" x14ac:dyDescent="0.3">
      <c r="B80" s="1481" t="str">
        <f>"- Giá trị còn lại của tài sản đầu tư thêm năm "&amp;YEAR($P$3)+3</f>
        <v>- Giá trị còn lại của tài sản đầu tư thêm năm 2024</v>
      </c>
      <c r="C80" s="1459"/>
      <c r="D80" s="1459"/>
      <c r="E80" s="1460"/>
      <c r="F80" s="1460"/>
      <c r="G80" s="1460"/>
      <c r="H80" s="1460"/>
      <c r="I80" s="1461"/>
      <c r="J80" s="1461"/>
      <c r="K80" s="1461"/>
      <c r="L80" s="1461"/>
      <c r="M80" s="1461"/>
      <c r="N80" s="1461"/>
      <c r="O80" s="1461"/>
      <c r="P80" s="1472"/>
      <c r="Q80" s="1464"/>
      <c r="R80" s="1502"/>
      <c r="S80" s="1502">
        <f>S61+S62-S248</f>
        <v>0</v>
      </c>
      <c r="T80" s="1502">
        <f>S80-T248</f>
        <v>0</v>
      </c>
      <c r="U80" s="1502">
        <f t="shared" ref="U80:Z80" si="57">T80-U248</f>
        <v>0</v>
      </c>
      <c r="V80" s="1502">
        <f t="shared" si="57"/>
        <v>0</v>
      </c>
      <c r="W80" s="1502">
        <f t="shared" si="57"/>
        <v>0</v>
      </c>
      <c r="X80" s="1502">
        <f t="shared" si="57"/>
        <v>0</v>
      </c>
      <c r="Y80" s="1502">
        <f t="shared" si="57"/>
        <v>0</v>
      </c>
      <c r="Z80" s="1502">
        <f t="shared" si="57"/>
        <v>0</v>
      </c>
      <c r="AA80" s="1502"/>
      <c r="AB80" s="1502"/>
      <c r="AC80" s="1502"/>
      <c r="AD80" s="1502"/>
      <c r="AE80" s="1502"/>
      <c r="AF80" s="1502"/>
      <c r="AG80" s="1502"/>
      <c r="AH80" s="1502"/>
      <c r="AI80" s="1502"/>
      <c r="AJ80" s="1502"/>
      <c r="AK80" s="1502"/>
      <c r="AL80" s="1502"/>
      <c r="AM80" s="1502"/>
      <c r="AN80" s="1502"/>
      <c r="AO80" s="1502"/>
      <c r="AP80" s="1502"/>
      <c r="AQ80" s="1502"/>
      <c r="AR80" s="1502"/>
      <c r="AS80" s="1502"/>
      <c r="AT80" s="1502"/>
      <c r="AU80" s="1502"/>
      <c r="AV80" s="1502"/>
      <c r="AW80" s="1502"/>
      <c r="AX80" s="1464"/>
      <c r="AY80" s="1464"/>
      <c r="AZ80" s="1464"/>
      <c r="BA80" s="1464"/>
      <c r="BB80" s="1465"/>
      <c r="BC80" s="1466"/>
      <c r="BD80" s="1466"/>
      <c r="BE80" s="1466"/>
    </row>
    <row r="81" spans="2:57" s="1458" customFormat="1" ht="26.4" customHeight="1" x14ac:dyDescent="0.3">
      <c r="B81" s="1481" t="str">
        <f>"- Giá trị còn lại của tài sản đầu tư thêm năm "&amp;YEAR($P$3)+4</f>
        <v>- Giá trị còn lại của tài sản đầu tư thêm năm 2025</v>
      </c>
      <c r="C81" s="1459"/>
      <c r="D81" s="1459"/>
      <c r="E81" s="1460"/>
      <c r="F81" s="1460"/>
      <c r="G81" s="1460"/>
      <c r="H81" s="1460"/>
      <c r="I81" s="1461"/>
      <c r="J81" s="1461"/>
      <c r="K81" s="1461"/>
      <c r="L81" s="1461"/>
      <c r="M81" s="1461"/>
      <c r="N81" s="1461"/>
      <c r="O81" s="1461"/>
      <c r="P81" s="1472"/>
      <c r="Q81" s="1464"/>
      <c r="R81" s="1464"/>
      <c r="S81" s="1464"/>
      <c r="T81" s="1502">
        <f>T61+T62-T249</f>
        <v>0</v>
      </c>
      <c r="U81" s="1502">
        <f>T81-U249</f>
        <v>0</v>
      </c>
      <c r="V81" s="1502">
        <f t="shared" ref="V81:Z81" si="58">U81-V249</f>
        <v>0</v>
      </c>
      <c r="W81" s="1502">
        <f t="shared" si="58"/>
        <v>0</v>
      </c>
      <c r="X81" s="1502">
        <f t="shared" si="58"/>
        <v>0</v>
      </c>
      <c r="Y81" s="1502">
        <f t="shared" si="58"/>
        <v>0</v>
      </c>
      <c r="Z81" s="1502">
        <f t="shared" si="58"/>
        <v>0</v>
      </c>
      <c r="AA81" s="1502"/>
      <c r="AB81" s="1502"/>
      <c r="AC81" s="1502"/>
      <c r="AD81" s="1502"/>
      <c r="AE81" s="1502"/>
      <c r="AF81" s="1502"/>
      <c r="AG81" s="1502"/>
      <c r="AH81" s="1502"/>
      <c r="AI81" s="1502"/>
      <c r="AJ81" s="1502"/>
      <c r="AK81" s="1502"/>
      <c r="AL81" s="1502"/>
      <c r="AM81" s="1502"/>
      <c r="AN81" s="1502"/>
      <c r="AO81" s="1502"/>
      <c r="AP81" s="1502"/>
      <c r="AQ81" s="1502"/>
      <c r="AR81" s="1502"/>
      <c r="AS81" s="1502"/>
      <c r="AT81" s="1502"/>
      <c r="AU81" s="1502"/>
      <c r="AV81" s="1502"/>
      <c r="AW81" s="1502"/>
      <c r="AX81" s="1502"/>
      <c r="AY81" s="1502"/>
      <c r="AZ81" s="1502"/>
      <c r="BA81" s="1502"/>
      <c r="BB81" s="1465"/>
      <c r="BC81" s="1466"/>
      <c r="BD81" s="1466"/>
      <c r="BE81" s="1466"/>
    </row>
    <row r="82" spans="2:57" s="1458" customFormat="1" ht="27" customHeight="1" x14ac:dyDescent="0.3">
      <c r="B82" s="1481" t="str">
        <f>"- Giá trị còn lại của tài sản đầu tư thêm năm "&amp;YEAR($P$3)+5</f>
        <v>- Giá trị còn lại của tài sản đầu tư thêm năm 2026</v>
      </c>
      <c r="C82" s="1459"/>
      <c r="D82" s="1459"/>
      <c r="E82" s="1460"/>
      <c r="F82" s="1460"/>
      <c r="G82" s="1460"/>
      <c r="H82" s="1460"/>
      <c r="I82" s="1461"/>
      <c r="J82" s="1461"/>
      <c r="K82" s="1461"/>
      <c r="L82" s="1461"/>
      <c r="M82" s="1461"/>
      <c r="N82" s="1461"/>
      <c r="O82" s="1461"/>
      <c r="P82" s="1472"/>
      <c r="Q82" s="1464"/>
      <c r="R82" s="1464"/>
      <c r="S82" s="1464"/>
      <c r="T82" s="1464"/>
      <c r="U82" s="1502">
        <f>U61+U62-U250</f>
        <v>0</v>
      </c>
      <c r="V82" s="1502">
        <f>U82-V250</f>
        <v>0</v>
      </c>
      <c r="W82" s="1502">
        <f t="shared" ref="W82:Z82" si="59">V82-W250</f>
        <v>0</v>
      </c>
      <c r="X82" s="1502">
        <f t="shared" si="59"/>
        <v>0</v>
      </c>
      <c r="Y82" s="1502">
        <f t="shared" si="59"/>
        <v>0</v>
      </c>
      <c r="Z82" s="1502">
        <f t="shared" si="59"/>
        <v>0</v>
      </c>
      <c r="AA82" s="1502"/>
      <c r="AB82" s="1502"/>
      <c r="AC82" s="1502"/>
      <c r="AD82" s="1502"/>
      <c r="AE82" s="1502"/>
      <c r="AF82" s="1502"/>
      <c r="AG82" s="1502"/>
      <c r="AH82" s="1502"/>
      <c r="AI82" s="1502"/>
      <c r="AJ82" s="1502"/>
      <c r="AK82" s="1502"/>
      <c r="AL82" s="1502"/>
      <c r="AM82" s="1502"/>
      <c r="AN82" s="1502"/>
      <c r="AO82" s="1502"/>
      <c r="AP82" s="1502"/>
      <c r="AQ82" s="1502"/>
      <c r="AR82" s="1502"/>
      <c r="AS82" s="1502"/>
      <c r="AT82" s="1502"/>
      <c r="AU82" s="1502"/>
      <c r="AV82" s="1502"/>
      <c r="AW82" s="1502"/>
      <c r="AX82" s="1502"/>
      <c r="AY82" s="1464"/>
      <c r="AZ82" s="1464"/>
      <c r="BA82" s="1464"/>
      <c r="BB82" s="1465"/>
      <c r="BC82" s="1466"/>
      <c r="BD82" s="1466"/>
      <c r="BE82" s="1466"/>
    </row>
    <row r="83" spans="2:57" s="1458" customFormat="1" ht="27.6" customHeight="1" x14ac:dyDescent="0.3">
      <c r="B83" s="1481" t="str">
        <f>"- Giá trị còn lại của tài sản đầu tư thêm năm "&amp;YEAR($P$3)+6</f>
        <v>- Giá trị còn lại của tài sản đầu tư thêm năm 2027</v>
      </c>
      <c r="C83" s="1459"/>
      <c r="D83" s="1459"/>
      <c r="E83" s="1460"/>
      <c r="F83" s="1460"/>
      <c r="G83" s="1460"/>
      <c r="H83" s="1460"/>
      <c r="I83" s="1461"/>
      <c r="J83" s="1461"/>
      <c r="K83" s="1461"/>
      <c r="L83" s="1461"/>
      <c r="M83" s="1461"/>
      <c r="N83" s="1461"/>
      <c r="O83" s="1461"/>
      <c r="P83" s="1472"/>
      <c r="Q83" s="1464"/>
      <c r="R83" s="1464"/>
      <c r="S83" s="1464"/>
      <c r="T83" s="1464"/>
      <c r="U83" s="1464"/>
      <c r="V83" s="1502">
        <f>V61+V62-V251</f>
        <v>0</v>
      </c>
      <c r="W83" s="1502">
        <f>V83-W251</f>
        <v>0</v>
      </c>
      <c r="X83" s="1502">
        <f t="shared" ref="X83:Z83" si="60">W83-X251</f>
        <v>0</v>
      </c>
      <c r="Y83" s="1502">
        <f t="shared" si="60"/>
        <v>0</v>
      </c>
      <c r="Z83" s="1502">
        <f t="shared" si="60"/>
        <v>0</v>
      </c>
      <c r="AA83" s="1464"/>
      <c r="AB83" s="1464"/>
      <c r="AC83" s="1464"/>
      <c r="AD83" s="1464"/>
      <c r="AE83" s="1464"/>
      <c r="AF83" s="1464"/>
      <c r="AG83" s="1464"/>
      <c r="AH83" s="1464"/>
      <c r="AI83" s="1464"/>
      <c r="AJ83" s="1464"/>
      <c r="AK83" s="1464"/>
      <c r="AL83" s="1464"/>
      <c r="AM83" s="1464"/>
      <c r="AN83" s="1464"/>
      <c r="AO83" s="1464"/>
      <c r="AP83" s="1464"/>
      <c r="AQ83" s="1464"/>
      <c r="AR83" s="1464"/>
      <c r="AS83" s="1464"/>
      <c r="AT83" s="1464"/>
      <c r="AU83" s="1464"/>
      <c r="AV83" s="1464"/>
      <c r="AW83" s="1464"/>
      <c r="AX83" s="1464"/>
      <c r="AY83" s="1464"/>
      <c r="AZ83" s="1464"/>
      <c r="BA83" s="1464"/>
      <c r="BB83" s="1465"/>
      <c r="BC83" s="1466"/>
      <c r="BD83" s="1466"/>
      <c r="BE83" s="1466"/>
    </row>
    <row r="84" spans="2:57" s="1458" customFormat="1" ht="26.4" customHeight="1" x14ac:dyDescent="0.3">
      <c r="B84" s="1481" t="str">
        <f>"- Giá trị còn lại của tài sản đầu tư thêm năm "&amp;YEAR($P$3)+7</f>
        <v>- Giá trị còn lại của tài sản đầu tư thêm năm 2028</v>
      </c>
      <c r="C84" s="1459"/>
      <c r="D84" s="1459"/>
      <c r="E84" s="1460"/>
      <c r="F84" s="1460"/>
      <c r="G84" s="1460"/>
      <c r="H84" s="1460"/>
      <c r="I84" s="1461"/>
      <c r="J84" s="1461"/>
      <c r="K84" s="1461"/>
      <c r="L84" s="1461"/>
      <c r="M84" s="1461"/>
      <c r="N84" s="1461"/>
      <c r="O84" s="1461"/>
      <c r="P84" s="1472"/>
      <c r="Q84" s="1464"/>
      <c r="R84" s="1464"/>
      <c r="S84" s="1464"/>
      <c r="T84" s="1464"/>
      <c r="U84" s="1464"/>
      <c r="V84" s="1464"/>
      <c r="W84" s="1502">
        <f>W61+W62-W252</f>
        <v>0</v>
      </c>
      <c r="X84" s="1502">
        <f>W84-X252</f>
        <v>0</v>
      </c>
      <c r="Y84" s="1502">
        <f t="shared" ref="Y84:Z84" si="61">X84-Y252</f>
        <v>0</v>
      </c>
      <c r="Z84" s="1502">
        <f t="shared" si="61"/>
        <v>0</v>
      </c>
      <c r="AA84" s="1502"/>
      <c r="AB84" s="1502"/>
      <c r="AC84" s="1502"/>
      <c r="AD84" s="1502"/>
      <c r="AE84" s="1502"/>
      <c r="AF84" s="1502"/>
      <c r="AG84" s="1502"/>
      <c r="AH84" s="1502"/>
      <c r="AI84" s="1502"/>
      <c r="AJ84" s="1502"/>
      <c r="AK84" s="1502"/>
      <c r="AL84" s="1502"/>
      <c r="AM84" s="1502"/>
      <c r="AN84" s="1502"/>
      <c r="AO84" s="1502"/>
      <c r="AP84" s="1502"/>
      <c r="AQ84" s="1502"/>
      <c r="AR84" s="1502"/>
      <c r="AS84" s="1464"/>
      <c r="AT84" s="1464"/>
      <c r="AU84" s="1464"/>
      <c r="AV84" s="1464"/>
      <c r="AW84" s="1464"/>
      <c r="AX84" s="1464"/>
      <c r="AY84" s="1464"/>
      <c r="AZ84" s="1464"/>
      <c r="BA84" s="1464"/>
      <c r="BB84" s="1465"/>
      <c r="BC84" s="1466"/>
      <c r="BD84" s="1466"/>
      <c r="BE84" s="1466"/>
    </row>
    <row r="85" spans="2:57" s="1458" customFormat="1" ht="23.4" customHeight="1" x14ac:dyDescent="0.3">
      <c r="B85" s="1481" t="str">
        <f>"- Giá trị còn lại của tài sản đầu tư thêm năm "&amp;YEAR($P$3)+8</f>
        <v>- Giá trị còn lại của tài sản đầu tư thêm năm 2029</v>
      </c>
      <c r="C85" s="1459"/>
      <c r="D85" s="1459"/>
      <c r="E85" s="1460"/>
      <c r="F85" s="1460"/>
      <c r="G85" s="1460"/>
      <c r="H85" s="1460"/>
      <c r="I85" s="1461"/>
      <c r="J85" s="1461"/>
      <c r="K85" s="1461"/>
      <c r="L85" s="1461"/>
      <c r="M85" s="1461"/>
      <c r="N85" s="1461"/>
      <c r="O85" s="1461"/>
      <c r="P85" s="1472"/>
      <c r="Q85" s="1464"/>
      <c r="R85" s="1464"/>
      <c r="S85" s="1464"/>
      <c r="T85" s="1464"/>
      <c r="U85" s="1464"/>
      <c r="V85" s="1464"/>
      <c r="W85" s="1464"/>
      <c r="X85" s="1502">
        <f>X61+X62-X253</f>
        <v>0</v>
      </c>
      <c r="Y85" s="1502">
        <f>X85-Y253</f>
        <v>0</v>
      </c>
      <c r="Z85" s="1502">
        <f>Y85-Z253</f>
        <v>0</v>
      </c>
      <c r="AA85" s="1502"/>
      <c r="AB85" s="1502"/>
      <c r="AC85" s="1502"/>
      <c r="AD85" s="1502"/>
      <c r="AE85" s="1502"/>
      <c r="AF85" s="1502"/>
      <c r="AG85" s="1502"/>
      <c r="AH85" s="1502"/>
      <c r="AI85" s="1502"/>
      <c r="AJ85" s="1502"/>
      <c r="AK85" s="1502"/>
      <c r="AL85" s="1502"/>
      <c r="AM85" s="1502"/>
      <c r="AN85" s="1502"/>
      <c r="AO85" s="1502"/>
      <c r="AP85" s="1502"/>
      <c r="AQ85" s="1502"/>
      <c r="AR85" s="1502"/>
      <c r="AS85" s="1502"/>
      <c r="AT85" s="1502"/>
      <c r="AU85" s="1502"/>
      <c r="AV85" s="1502"/>
      <c r="AW85" s="1502"/>
      <c r="AX85" s="1502"/>
      <c r="AY85" s="1464"/>
      <c r="AZ85" s="1464"/>
      <c r="BA85" s="1464"/>
      <c r="BB85" s="1465"/>
      <c r="BC85" s="1466"/>
      <c r="BD85" s="1466"/>
      <c r="BE85" s="1466"/>
    </row>
    <row r="86" spans="2:57" s="1458" customFormat="1" ht="28.2" customHeight="1" x14ac:dyDescent="0.3">
      <c r="B86" s="1481" t="str">
        <f>"- Giá trị còn lại của tài sản đầu tư thêm năm "&amp;YEAR($P$3)+9</f>
        <v>- Giá trị còn lại của tài sản đầu tư thêm năm 2030</v>
      </c>
      <c r="C86" s="1459"/>
      <c r="D86" s="1459"/>
      <c r="E86" s="1460"/>
      <c r="F86" s="1460"/>
      <c r="G86" s="1460"/>
      <c r="H86" s="1460"/>
      <c r="I86" s="1461"/>
      <c r="J86" s="1461"/>
      <c r="K86" s="1461"/>
      <c r="L86" s="1461"/>
      <c r="M86" s="1461"/>
      <c r="N86" s="1461"/>
      <c r="O86" s="1461"/>
      <c r="P86" s="1472"/>
      <c r="Q86" s="1464"/>
      <c r="R86" s="1464"/>
      <c r="S86" s="1464"/>
      <c r="T86" s="1464"/>
      <c r="U86" s="1464"/>
      <c r="V86" s="1464"/>
      <c r="W86" s="1464"/>
      <c r="X86" s="1464"/>
      <c r="Y86" s="1502">
        <f>Y61+Y62-Y254</f>
        <v>0</v>
      </c>
      <c r="Z86" s="1502">
        <f>Y86-Z254</f>
        <v>0</v>
      </c>
      <c r="AA86" s="1464"/>
      <c r="AB86" s="1464"/>
      <c r="AC86" s="1464"/>
      <c r="AD86" s="1464"/>
      <c r="AE86" s="1464"/>
      <c r="AF86" s="1464"/>
      <c r="AG86" s="1464"/>
      <c r="AH86" s="1464"/>
      <c r="AI86" s="1464"/>
      <c r="AJ86" s="1464"/>
      <c r="AK86" s="1464"/>
      <c r="AL86" s="1464"/>
      <c r="AM86" s="1464"/>
      <c r="AN86" s="1464"/>
      <c r="AO86" s="1464"/>
      <c r="AP86" s="1464"/>
      <c r="AQ86" s="1464"/>
      <c r="AR86" s="1464"/>
      <c r="AS86" s="1464"/>
      <c r="AT86" s="1464"/>
      <c r="AU86" s="1464"/>
      <c r="AV86" s="1464"/>
      <c r="AW86" s="1464"/>
      <c r="AX86" s="1464"/>
      <c r="AY86" s="1464"/>
      <c r="AZ86" s="1464"/>
      <c r="BA86" s="1464"/>
      <c r="BB86" s="1465"/>
      <c r="BC86" s="1466"/>
      <c r="BD86" s="1466"/>
      <c r="BE86" s="1466"/>
    </row>
    <row r="87" spans="2:57" s="1458" customFormat="1" ht="26.4" customHeight="1" x14ac:dyDescent="0.3">
      <c r="B87" s="1481" t="str">
        <f>"- Giá trị còn lại của tài sản đầu tư thêm năm "&amp;YEAR($P$3)+10</f>
        <v>- Giá trị còn lại của tài sản đầu tư thêm năm 2031</v>
      </c>
      <c r="C87" s="1459"/>
      <c r="D87" s="1459"/>
      <c r="E87" s="1460"/>
      <c r="F87" s="1460"/>
      <c r="G87" s="1460"/>
      <c r="H87" s="1460"/>
      <c r="I87" s="1461"/>
      <c r="J87" s="1461"/>
      <c r="K87" s="1461"/>
      <c r="L87" s="1461"/>
      <c r="M87" s="1461"/>
      <c r="N87" s="1461"/>
      <c r="O87" s="1461"/>
      <c r="P87" s="1472"/>
      <c r="Q87" s="1464"/>
      <c r="R87" s="1464"/>
      <c r="S87" s="1464"/>
      <c r="T87" s="1464"/>
      <c r="U87" s="1464"/>
      <c r="V87" s="1464"/>
      <c r="W87" s="1464"/>
      <c r="X87" s="1464"/>
      <c r="Y87" s="1464"/>
      <c r="Z87" s="1502">
        <f>Z61+Z62-Z255</f>
        <v>0</v>
      </c>
      <c r="AA87" s="1502"/>
      <c r="AB87" s="1502"/>
      <c r="AC87" s="1502"/>
      <c r="AD87" s="1502"/>
      <c r="AE87" s="1502"/>
      <c r="AF87" s="1502"/>
      <c r="AG87" s="1502"/>
      <c r="AH87" s="1502"/>
      <c r="AI87" s="1502"/>
      <c r="AJ87" s="1502"/>
      <c r="AK87" s="1502"/>
      <c r="AL87" s="1502"/>
      <c r="AM87" s="1502"/>
      <c r="AN87" s="1502"/>
      <c r="AO87" s="1502"/>
      <c r="AP87" s="1502"/>
      <c r="AQ87" s="1502"/>
      <c r="AR87" s="1502"/>
      <c r="AS87" s="1502"/>
      <c r="AT87" s="1502"/>
      <c r="AU87" s="1502"/>
      <c r="AV87" s="1502"/>
      <c r="AW87" s="1502"/>
      <c r="AX87" s="1502"/>
      <c r="AY87" s="1502"/>
      <c r="AZ87" s="1502"/>
      <c r="BA87" s="1502"/>
      <c r="BB87" s="1465"/>
      <c r="BC87" s="1466"/>
      <c r="BD87" s="1466"/>
      <c r="BE87" s="1466"/>
    </row>
    <row r="88" spans="2:57" s="1458" customFormat="1" ht="31.95" customHeight="1" x14ac:dyDescent="0.3">
      <c r="B88" s="1481" t="str">
        <f>"- Giá trị còn lại của tài sản đầu tư thêm năm "&amp;YEAR($P$3)+11</f>
        <v>- Giá trị còn lại của tài sản đầu tư thêm năm 2032</v>
      </c>
      <c r="C88" s="1459"/>
      <c r="D88" s="1459"/>
      <c r="E88" s="1460"/>
      <c r="F88" s="1460"/>
      <c r="G88" s="1460"/>
      <c r="H88" s="1460"/>
      <c r="I88" s="1461"/>
      <c r="J88" s="1461"/>
      <c r="K88" s="1461"/>
      <c r="L88" s="1461"/>
      <c r="M88" s="1461"/>
      <c r="N88" s="1461"/>
      <c r="O88" s="1461"/>
      <c r="P88" s="1472"/>
      <c r="Q88" s="1464"/>
      <c r="R88" s="1464"/>
      <c r="S88" s="1464"/>
      <c r="T88" s="1464"/>
      <c r="U88" s="1464"/>
      <c r="V88" s="1464"/>
      <c r="W88" s="1464"/>
      <c r="X88" s="1464"/>
      <c r="Y88" s="1464"/>
      <c r="Z88" s="1464"/>
      <c r="AA88" s="1502"/>
      <c r="AB88" s="1502"/>
      <c r="AC88" s="1502"/>
      <c r="AD88" s="1502"/>
      <c r="AE88" s="1502"/>
      <c r="AF88" s="1502"/>
      <c r="AG88" s="1502"/>
      <c r="AH88" s="1502"/>
      <c r="AI88" s="1502"/>
      <c r="AJ88" s="1502"/>
      <c r="AK88" s="1502"/>
      <c r="AL88" s="1502"/>
      <c r="AM88" s="1502"/>
      <c r="AN88" s="1502"/>
      <c r="AO88" s="1502"/>
      <c r="AP88" s="1502"/>
      <c r="AQ88" s="1502"/>
      <c r="AR88" s="1502"/>
      <c r="AS88" s="1502"/>
      <c r="AT88" s="1502"/>
      <c r="AU88" s="1502"/>
      <c r="AV88" s="1502"/>
      <c r="AW88" s="1502"/>
      <c r="AX88" s="1502"/>
      <c r="AY88" s="1502"/>
      <c r="AZ88" s="1502"/>
      <c r="BA88" s="1502"/>
      <c r="BB88" s="1465"/>
      <c r="BC88" s="1466"/>
      <c r="BD88" s="1466"/>
      <c r="BE88" s="1466"/>
    </row>
    <row r="89" spans="2:57" s="1510" customFormat="1" x14ac:dyDescent="0.3">
      <c r="B89" s="1430" t="s">
        <v>1566</v>
      </c>
      <c r="C89" s="1503"/>
      <c r="D89" s="1503"/>
      <c r="E89" s="1504"/>
      <c r="F89" s="1504"/>
      <c r="G89" s="1504"/>
      <c r="H89" s="1505"/>
      <c r="I89" s="1505"/>
      <c r="J89" s="1505"/>
      <c r="K89" s="1505"/>
      <c r="L89" s="1505"/>
      <c r="M89" s="1506"/>
      <c r="N89" s="1506"/>
      <c r="O89" s="1506"/>
      <c r="P89" s="1507"/>
      <c r="Q89" s="1506"/>
      <c r="R89" s="1506"/>
      <c r="S89" s="1506"/>
      <c r="T89" s="1506"/>
      <c r="U89" s="1506"/>
      <c r="V89" s="1506"/>
      <c r="W89" s="1506"/>
      <c r="X89" s="1506"/>
      <c r="Y89" s="1506"/>
      <c r="Z89" s="1506"/>
      <c r="AA89" s="1506"/>
      <c r="AB89" s="1506"/>
      <c r="AC89" s="1506"/>
      <c r="AD89" s="1506"/>
      <c r="AE89" s="1506"/>
      <c r="AF89" s="1506"/>
      <c r="AG89" s="1506"/>
      <c r="AH89" s="1506"/>
      <c r="AI89" s="1506"/>
      <c r="AJ89" s="1506"/>
      <c r="AK89" s="1506"/>
      <c r="AL89" s="1506"/>
      <c r="AM89" s="1506"/>
      <c r="AN89" s="1506"/>
      <c r="AO89" s="1506"/>
      <c r="AP89" s="1506"/>
      <c r="AQ89" s="1506"/>
      <c r="AR89" s="1506"/>
      <c r="AS89" s="1506"/>
      <c r="AT89" s="1506"/>
      <c r="AU89" s="1506"/>
      <c r="AV89" s="1506"/>
      <c r="AW89" s="1506"/>
      <c r="AX89" s="1506"/>
      <c r="AY89" s="1506"/>
      <c r="AZ89" s="1506"/>
      <c r="BA89" s="1506"/>
      <c r="BB89" s="1508"/>
      <c r="BC89" s="1509"/>
      <c r="BD89" s="1509"/>
      <c r="BE89" s="1509"/>
    </row>
    <row r="90" spans="2:57" s="522" customFormat="1" x14ac:dyDescent="0.3">
      <c r="B90" s="1426" t="s">
        <v>1553</v>
      </c>
      <c r="C90" s="1426"/>
      <c r="D90" s="1426"/>
      <c r="E90" s="1434"/>
      <c r="F90" s="155"/>
      <c r="G90" s="1434"/>
      <c r="H90" s="122"/>
      <c r="N90" s="122"/>
      <c r="O90" s="122"/>
      <c r="P90" s="1487"/>
      <c r="Q90" s="122"/>
      <c r="R90" s="122"/>
      <c r="S90" s="122"/>
      <c r="T90" s="122"/>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c r="AW90" s="122"/>
      <c r="AX90" s="122"/>
      <c r="AY90" s="122"/>
      <c r="AZ90" s="122"/>
      <c r="BA90" s="122"/>
      <c r="BB90" s="1387"/>
      <c r="BC90" s="466"/>
      <c r="BD90" s="466"/>
      <c r="BE90" s="466"/>
    </row>
    <row r="91" spans="2:57" s="522" customFormat="1" x14ac:dyDescent="0.3">
      <c r="B91" s="1437" t="s">
        <v>1554</v>
      </c>
      <c r="C91" s="1438"/>
      <c r="D91" s="1438"/>
      <c r="E91" s="1439"/>
      <c r="F91" s="1439"/>
      <c r="G91" s="1439"/>
      <c r="H91" s="122"/>
      <c r="I91" s="1440"/>
      <c r="J91" s="1441">
        <f>Notes!J69/$B$1</f>
        <v>40.479999999999997</v>
      </c>
      <c r="K91" s="1441">
        <f>Notes!K69/$B$1</f>
        <v>44.077530899999999</v>
      </c>
      <c r="L91" s="1441">
        <f>Notes!L69/$B$1</f>
        <v>56.427377200000002</v>
      </c>
      <c r="M91" s="1441">
        <f>Notes!M69/$B$1</f>
        <v>57.084211699999997</v>
      </c>
      <c r="N91" s="1441">
        <f>Notes!N69/$B$1</f>
        <v>57.384211700000002</v>
      </c>
      <c r="O91" s="1441">
        <f>Notes!O69/$B$1</f>
        <v>63.90196795</v>
      </c>
      <c r="P91" s="1574">
        <f>Notes!P69/$B$1</f>
        <v>71.308272950000003</v>
      </c>
      <c r="Q91" s="1410">
        <f>P96</f>
        <v>72.260262949999998</v>
      </c>
      <c r="R91" s="1410">
        <f t="shared" ref="R91:Z91" si="62">Q96</f>
        <v>96.321186712512301</v>
      </c>
      <c r="S91" s="1410">
        <f t="shared" si="62"/>
        <v>115.23967801990175</v>
      </c>
      <c r="T91" s="1410">
        <f t="shared" si="62"/>
        <v>119.47982898152604</v>
      </c>
      <c r="U91" s="1410">
        <f t="shared" si="62"/>
        <v>124.27383155644924</v>
      </c>
      <c r="V91" s="1410">
        <f t="shared" si="62"/>
        <v>129.16313784288849</v>
      </c>
      <c r="W91" s="1410">
        <f t="shared" si="62"/>
        <v>134.42268536548139</v>
      </c>
      <c r="X91" s="1410">
        <f t="shared" si="62"/>
        <v>140.16336837231358</v>
      </c>
      <c r="Y91" s="1410">
        <f t="shared" si="62"/>
        <v>145.14052102133678</v>
      </c>
      <c r="Z91" s="1410">
        <f t="shared" si="62"/>
        <v>150.32842439581052</v>
      </c>
      <c r="AA91" s="1410"/>
      <c r="AB91" s="1410"/>
      <c r="AC91" s="1410"/>
      <c r="AD91" s="1410"/>
      <c r="AE91" s="1410"/>
      <c r="AF91" s="1410"/>
      <c r="AG91" s="1410"/>
      <c r="AH91" s="1410"/>
      <c r="AI91" s="1410"/>
      <c r="AJ91" s="1410"/>
      <c r="AK91" s="1410"/>
      <c r="AL91" s="1410"/>
      <c r="AM91" s="1410"/>
      <c r="AN91" s="1410"/>
      <c r="AO91" s="1410"/>
      <c r="AP91" s="1410"/>
      <c r="AQ91" s="1410"/>
      <c r="AR91" s="1410"/>
      <c r="AS91" s="1410"/>
      <c r="AT91" s="1410"/>
      <c r="AU91" s="1410"/>
      <c r="AV91" s="1410"/>
      <c r="AW91" s="1410"/>
      <c r="AX91" s="1410"/>
      <c r="AY91" s="1410"/>
      <c r="AZ91" s="1410"/>
      <c r="BA91" s="1410"/>
      <c r="BB91" s="1387"/>
      <c r="BC91" s="2360"/>
      <c r="BD91" s="466"/>
      <c r="BE91" s="466"/>
    </row>
    <row r="92" spans="2:57" s="522" customFormat="1" x14ac:dyDescent="0.3">
      <c r="B92" s="1437" t="s">
        <v>1555</v>
      </c>
      <c r="C92" s="1438"/>
      <c r="D92" s="1438"/>
      <c r="E92" s="1439"/>
      <c r="F92" s="1439"/>
      <c r="G92" s="1439"/>
      <c r="H92" s="122"/>
      <c r="I92" s="1440"/>
      <c r="J92" s="1440"/>
      <c r="K92" s="1440"/>
      <c r="L92" s="1440"/>
      <c r="M92" s="1440"/>
      <c r="N92" s="1440"/>
      <c r="O92" s="1440"/>
      <c r="P92" s="1473"/>
      <c r="Q92" s="1410">
        <f>Q9*Q15</f>
        <v>24.060923762512303</v>
      </c>
      <c r="R92" s="1410">
        <f t="shared" ref="R92:Z92" si="63">R9*R15</f>
        <v>18.918491307389445</v>
      </c>
      <c r="S92" s="1410">
        <f t="shared" si="63"/>
        <v>4.2401509616242885</v>
      </c>
      <c r="T92" s="1410">
        <f t="shared" si="63"/>
        <v>4.7940025749231978</v>
      </c>
      <c r="U92" s="1410">
        <f t="shared" si="63"/>
        <v>4.8893062864392425</v>
      </c>
      <c r="V92" s="1410">
        <f t="shared" si="63"/>
        <v>5.2595475225929009</v>
      </c>
      <c r="W92" s="1410">
        <f t="shared" si="63"/>
        <v>5.7406830068322074</v>
      </c>
      <c r="X92" s="1410">
        <f t="shared" si="63"/>
        <v>4.9771526490231945</v>
      </c>
      <c r="Y92" s="1410">
        <f t="shared" si="63"/>
        <v>5.187903374473728</v>
      </c>
      <c r="Z92" s="1410">
        <f t="shared" si="63"/>
        <v>5.4179416432788754</v>
      </c>
      <c r="AA92" s="1410"/>
      <c r="AB92" s="1410"/>
      <c r="AC92" s="1410"/>
      <c r="AD92" s="1410"/>
      <c r="AE92" s="1410"/>
      <c r="AF92" s="1410"/>
      <c r="AG92" s="1410"/>
      <c r="AH92" s="1410"/>
      <c r="AI92" s="1410"/>
      <c r="AJ92" s="1410"/>
      <c r="AK92" s="1410"/>
      <c r="AL92" s="1410"/>
      <c r="AM92" s="1410"/>
      <c r="AN92" s="1410"/>
      <c r="AO92" s="1410"/>
      <c r="AP92" s="1410"/>
      <c r="AQ92" s="1410"/>
      <c r="AR92" s="1410"/>
      <c r="AS92" s="1410"/>
      <c r="AT92" s="1410"/>
      <c r="AU92" s="1410"/>
      <c r="AV92" s="1410"/>
      <c r="AW92" s="1410"/>
      <c r="AX92" s="1410"/>
      <c r="AY92" s="1410"/>
      <c r="AZ92" s="1410"/>
      <c r="BA92" s="1410"/>
      <c r="BB92" s="1387"/>
      <c r="BC92" s="2360"/>
      <c r="BD92" s="466"/>
      <c r="BE92" s="466"/>
    </row>
    <row r="93" spans="2:57" s="522" customFormat="1" x14ac:dyDescent="0.3">
      <c r="B93" s="1444" t="s">
        <v>1556</v>
      </c>
      <c r="C93" s="1445"/>
      <c r="D93" s="1445"/>
      <c r="E93" s="1446"/>
      <c r="F93" s="1446"/>
      <c r="G93" s="1446"/>
      <c r="H93" s="1447"/>
      <c r="I93" s="1448"/>
      <c r="J93" s="1448"/>
      <c r="K93" s="1448"/>
      <c r="L93" s="1448"/>
      <c r="M93" s="1448"/>
      <c r="N93" s="1448"/>
      <c r="O93" s="1448"/>
      <c r="P93" s="1496"/>
      <c r="Q93" s="1451"/>
      <c r="R93" s="1451"/>
      <c r="S93" s="1451"/>
      <c r="T93" s="1451"/>
      <c r="U93" s="1451"/>
      <c r="V93" s="1451"/>
      <c r="W93" s="1451"/>
      <c r="X93" s="1451"/>
      <c r="Y93" s="1451"/>
      <c r="Z93" s="1451"/>
      <c r="AA93" s="1451"/>
      <c r="AB93" s="1451"/>
      <c r="AC93" s="1451"/>
      <c r="AD93" s="1451"/>
      <c r="AE93" s="1451"/>
      <c r="AF93" s="1451"/>
      <c r="AG93" s="1451"/>
      <c r="AH93" s="1451"/>
      <c r="AI93" s="1451"/>
      <c r="AJ93" s="1451"/>
      <c r="AK93" s="1451"/>
      <c r="AL93" s="1451"/>
      <c r="AM93" s="1451"/>
      <c r="AN93" s="1451"/>
      <c r="AO93" s="1451"/>
      <c r="AP93" s="1451"/>
      <c r="AQ93" s="1451"/>
      <c r="AR93" s="1451"/>
      <c r="AS93" s="1451"/>
      <c r="AT93" s="1451"/>
      <c r="AU93" s="1451"/>
      <c r="AV93" s="1451"/>
      <c r="AW93" s="1451"/>
      <c r="AX93" s="1451"/>
      <c r="AY93" s="1451"/>
      <c r="AZ93" s="1451"/>
      <c r="BA93" s="1451"/>
      <c r="BB93" s="1387"/>
      <c r="BC93" s="2360"/>
      <c r="BD93" s="466"/>
      <c r="BE93" s="466"/>
    </row>
    <row r="94" spans="2:57" s="522" customFormat="1" x14ac:dyDescent="0.3">
      <c r="B94" s="1437" t="s">
        <v>1557</v>
      </c>
      <c r="C94" s="1438"/>
      <c r="D94" s="1438"/>
      <c r="E94" s="1439"/>
      <c r="F94" s="1439"/>
      <c r="G94" s="1439"/>
      <c r="H94" s="122"/>
      <c r="I94" s="1440"/>
      <c r="J94" s="1441">
        <f>IF(ISTEXT(Notes!J11),Notes!J70/$B$1,J92)</f>
        <v>3.6</v>
      </c>
      <c r="K94" s="1441">
        <f>IF(ISTEXT(Notes!K11),Notes!K70/$B$1,K92)</f>
        <v>12.349846299999999</v>
      </c>
      <c r="L94" s="1441">
        <f>IF(ISTEXT(Notes!L11),Notes!L70/$B$1,L92)</f>
        <v>0.65683449999999999</v>
      </c>
      <c r="M94" s="1441">
        <f>IF(ISTEXT(Notes!M11),Notes!M70/$B$1,M92)</f>
        <v>0.3</v>
      </c>
      <c r="N94" s="1441">
        <f>IF(ISTEXT(Notes!N11),Notes!N70/$B$1,N92)</f>
        <v>7.2271595</v>
      </c>
      <c r="O94" s="1441">
        <f>IF(ISTEXT(Notes!O11),Notes!O70/$B$1,O92)</f>
        <v>7.4063049999999997</v>
      </c>
      <c r="P94" s="1574">
        <f>IF(ISTEXT(Notes!P11),Notes!P70/$B$1,P92)</f>
        <v>0.95199</v>
      </c>
      <c r="Q94" s="1410">
        <f>Q92</f>
        <v>24.060923762512303</v>
      </c>
      <c r="R94" s="1410">
        <f t="shared" ref="R94:Z94" si="64">R92</f>
        <v>18.918491307389445</v>
      </c>
      <c r="S94" s="1410">
        <f t="shared" si="64"/>
        <v>4.2401509616242885</v>
      </c>
      <c r="T94" s="1410">
        <f t="shared" si="64"/>
        <v>4.7940025749231978</v>
      </c>
      <c r="U94" s="1410">
        <f t="shared" si="64"/>
        <v>4.8893062864392425</v>
      </c>
      <c r="V94" s="1410">
        <f t="shared" si="64"/>
        <v>5.2595475225929009</v>
      </c>
      <c r="W94" s="1410">
        <f t="shared" si="64"/>
        <v>5.7406830068322074</v>
      </c>
      <c r="X94" s="1410">
        <f t="shared" si="64"/>
        <v>4.9771526490231945</v>
      </c>
      <c r="Y94" s="1410">
        <f t="shared" si="64"/>
        <v>5.187903374473728</v>
      </c>
      <c r="Z94" s="1410">
        <f t="shared" si="64"/>
        <v>5.4179416432788754</v>
      </c>
      <c r="AA94" s="1410"/>
      <c r="AB94" s="1410"/>
      <c r="AC94" s="1410"/>
      <c r="AD94" s="1410"/>
      <c r="AE94" s="1410"/>
      <c r="AF94" s="1410"/>
      <c r="AG94" s="1410"/>
      <c r="AH94" s="1410"/>
      <c r="AI94" s="1410"/>
      <c r="AJ94" s="1410"/>
      <c r="AK94" s="1410"/>
      <c r="AL94" s="1410"/>
      <c r="AM94" s="1410"/>
      <c r="AN94" s="1410"/>
      <c r="AO94" s="1410"/>
      <c r="AP94" s="1410"/>
      <c r="AQ94" s="1410"/>
      <c r="AR94" s="1410"/>
      <c r="AS94" s="1410"/>
      <c r="AT94" s="1410"/>
      <c r="AU94" s="1410"/>
      <c r="AV94" s="1410"/>
      <c r="AW94" s="1410"/>
      <c r="AX94" s="1410"/>
      <c r="AY94" s="1410"/>
      <c r="AZ94" s="1410"/>
      <c r="BA94" s="1410"/>
      <c r="BB94" s="1497"/>
      <c r="BC94" s="2360"/>
      <c r="BD94" s="466"/>
      <c r="BE94" s="466"/>
    </row>
    <row r="95" spans="2:57" s="522" customFormat="1" ht="13.8" thickBot="1" x14ac:dyDescent="0.35">
      <c r="B95" s="1437" t="s">
        <v>1558</v>
      </c>
      <c r="C95" s="1438"/>
      <c r="D95" s="1438"/>
      <c r="E95" s="1439"/>
      <c r="F95" s="1439"/>
      <c r="G95" s="1439"/>
      <c r="H95" s="122"/>
      <c r="I95" s="1440"/>
      <c r="J95" s="1440">
        <f>IF(ISTEXT(Notes!J11),Notes!J71/$B$1,J93)</f>
        <v>0</v>
      </c>
      <c r="K95" s="1440">
        <f>IF(ISTEXT(Notes!K11),Notes!K71/$B$1,K93)</f>
        <v>0</v>
      </c>
      <c r="L95" s="1440">
        <f>IF(ISTEXT(Notes!L11),Notes!L71/$B$1,L93)</f>
        <v>0</v>
      </c>
      <c r="M95" s="1440">
        <f>IF(ISTEXT(Notes!M11),Notes!M71/$B$1,M93)</f>
        <v>0</v>
      </c>
      <c r="N95" s="1440">
        <f>IF(ISTEXT(Notes!N11),Notes!N71/$B$1,N93)</f>
        <v>-0.70940325000000004</v>
      </c>
      <c r="O95" s="1440">
        <f>IF(ISTEXT(Notes!O11),Notes!O71/$B$1,O93)</f>
        <v>0</v>
      </c>
      <c r="P95" s="1473">
        <f>IF(ISTEXT(Notes!P11),Notes!P71/$B$1,P93)</f>
        <v>0</v>
      </c>
      <c r="Q95" s="1410">
        <v>0</v>
      </c>
      <c r="R95" s="1410">
        <f>Q95</f>
        <v>0</v>
      </c>
      <c r="S95" s="1410">
        <f t="shared" ref="S95:Z95" si="65">R95</f>
        <v>0</v>
      </c>
      <c r="T95" s="1410">
        <f t="shared" si="65"/>
        <v>0</v>
      </c>
      <c r="U95" s="1410">
        <f t="shared" si="65"/>
        <v>0</v>
      </c>
      <c r="V95" s="1410">
        <f t="shared" si="65"/>
        <v>0</v>
      </c>
      <c r="W95" s="1410">
        <f t="shared" si="65"/>
        <v>0</v>
      </c>
      <c r="X95" s="1410">
        <f t="shared" si="65"/>
        <v>0</v>
      </c>
      <c r="Y95" s="1410">
        <f t="shared" si="65"/>
        <v>0</v>
      </c>
      <c r="Z95" s="1410">
        <f t="shared" si="65"/>
        <v>0</v>
      </c>
      <c r="AA95" s="1410"/>
      <c r="AB95" s="1410"/>
      <c r="AC95" s="1410"/>
      <c r="AD95" s="1410"/>
      <c r="AE95" s="1410"/>
      <c r="AF95" s="1410"/>
      <c r="AG95" s="1410"/>
      <c r="AH95" s="1410"/>
      <c r="AI95" s="1410"/>
      <c r="AJ95" s="1410"/>
      <c r="AK95" s="1410"/>
      <c r="AL95" s="1410"/>
      <c r="AM95" s="1410"/>
      <c r="AN95" s="1410"/>
      <c r="AO95" s="1410"/>
      <c r="AP95" s="1410"/>
      <c r="AQ95" s="1410"/>
      <c r="AR95" s="1410"/>
      <c r="AS95" s="1410"/>
      <c r="AT95" s="1410"/>
      <c r="AU95" s="1410"/>
      <c r="AV95" s="1410"/>
      <c r="AW95" s="1410"/>
      <c r="AX95" s="1410"/>
      <c r="AY95" s="1410"/>
      <c r="AZ95" s="1410"/>
      <c r="BA95" s="1410"/>
      <c r="BB95" s="1387"/>
      <c r="BC95" s="2360"/>
      <c r="BD95" s="466"/>
      <c r="BE95" s="466"/>
    </row>
    <row r="96" spans="2:57" s="522" customFormat="1" ht="13.8" thickBot="1" x14ac:dyDescent="0.35">
      <c r="B96" s="1452" t="s">
        <v>1541</v>
      </c>
      <c r="C96" s="1453"/>
      <c r="D96" s="1453"/>
      <c r="E96" s="139"/>
      <c r="F96" s="139"/>
      <c r="G96" s="139"/>
      <c r="H96" s="139"/>
      <c r="I96" s="1454"/>
      <c r="J96" s="1455">
        <f>SUM(J91,J94,J95)</f>
        <v>44.08</v>
      </c>
      <c r="K96" s="1455">
        <f t="shared" ref="K96:Z96" si="66">SUM(K91,K94,K95)</f>
        <v>56.427377199999995</v>
      </c>
      <c r="L96" s="1455">
        <f t="shared" si="66"/>
        <v>57.084211700000004</v>
      </c>
      <c r="M96" s="1455">
        <f t="shared" si="66"/>
        <v>57.384211699999994</v>
      </c>
      <c r="N96" s="1455">
        <f t="shared" si="66"/>
        <v>63.901967950000007</v>
      </c>
      <c r="O96" s="1455">
        <f t="shared" si="66"/>
        <v>71.308272950000003</v>
      </c>
      <c r="P96" s="1575">
        <f t="shared" si="66"/>
        <v>72.260262949999998</v>
      </c>
      <c r="Q96" s="1456">
        <f t="shared" si="66"/>
        <v>96.321186712512301</v>
      </c>
      <c r="R96" s="1456">
        <f t="shared" si="66"/>
        <v>115.23967801990175</v>
      </c>
      <c r="S96" s="1456">
        <f t="shared" si="66"/>
        <v>119.47982898152604</v>
      </c>
      <c r="T96" s="1456">
        <f t="shared" si="66"/>
        <v>124.27383155644924</v>
      </c>
      <c r="U96" s="1456">
        <f t="shared" si="66"/>
        <v>129.16313784288849</v>
      </c>
      <c r="V96" s="1456">
        <f t="shared" si="66"/>
        <v>134.42268536548139</v>
      </c>
      <c r="W96" s="1456">
        <f t="shared" si="66"/>
        <v>140.16336837231358</v>
      </c>
      <c r="X96" s="1456">
        <f t="shared" si="66"/>
        <v>145.14052102133678</v>
      </c>
      <c r="Y96" s="1456">
        <f t="shared" si="66"/>
        <v>150.32842439581052</v>
      </c>
      <c r="Z96" s="1456">
        <f t="shared" si="66"/>
        <v>155.74636603908939</v>
      </c>
      <c r="AA96" s="1457"/>
      <c r="AB96" s="1457"/>
      <c r="AC96" s="1457"/>
      <c r="AD96" s="1457"/>
      <c r="AE96" s="1457"/>
      <c r="AF96" s="1457"/>
      <c r="AG96" s="1457"/>
      <c r="AH96" s="1457"/>
      <c r="AI96" s="1457"/>
      <c r="AJ96" s="1457"/>
      <c r="AK96" s="1457"/>
      <c r="AL96" s="1457"/>
      <c r="AM96" s="1457"/>
      <c r="AN96" s="1457"/>
      <c r="AO96" s="1457"/>
      <c r="AP96" s="1457"/>
      <c r="AQ96" s="1457"/>
      <c r="AR96" s="1457"/>
      <c r="AS96" s="1457"/>
      <c r="AT96" s="1457"/>
      <c r="AU96" s="1457"/>
      <c r="AV96" s="1457"/>
      <c r="AW96" s="1457"/>
      <c r="AX96" s="1457"/>
      <c r="AY96" s="1457"/>
      <c r="AZ96" s="1457"/>
      <c r="BA96" s="1457"/>
      <c r="BB96" s="1407"/>
      <c r="BC96" s="466"/>
      <c r="BD96" s="466"/>
      <c r="BE96" s="466"/>
    </row>
    <row r="97" spans="2:57" s="1458" customFormat="1" x14ac:dyDescent="0.3">
      <c r="B97" s="1459" t="s">
        <v>1567</v>
      </c>
      <c r="C97" s="1459"/>
      <c r="D97" s="1459"/>
      <c r="E97" s="1460"/>
      <c r="F97" s="1460"/>
      <c r="G97" s="1460"/>
      <c r="H97" s="1460"/>
      <c r="I97" s="1461"/>
      <c r="J97" s="1461"/>
      <c r="K97" s="1461"/>
      <c r="L97" s="1461"/>
      <c r="M97" s="1461"/>
      <c r="N97" s="1461"/>
      <c r="O97" s="1461"/>
      <c r="P97" s="1472"/>
      <c r="Q97" s="1464"/>
      <c r="R97" s="1464"/>
      <c r="S97" s="1464"/>
      <c r="T97" s="1464"/>
      <c r="U97" s="1464"/>
      <c r="V97" s="1464"/>
      <c r="W97" s="1464"/>
      <c r="X97" s="1464"/>
      <c r="Y97" s="1464"/>
      <c r="Z97" s="1464"/>
      <c r="AA97" s="1464"/>
      <c r="AB97" s="1464"/>
      <c r="AC97" s="1464"/>
      <c r="AD97" s="1464"/>
      <c r="AE97" s="1464"/>
      <c r="AF97" s="1464"/>
      <c r="AG97" s="1464"/>
      <c r="AH97" s="1464"/>
      <c r="AI97" s="1464"/>
      <c r="AJ97" s="1464"/>
      <c r="AK97" s="1464"/>
      <c r="AL97" s="1464"/>
      <c r="AM97" s="1464"/>
      <c r="AN97" s="1464"/>
      <c r="AO97" s="1464"/>
      <c r="AP97" s="1464"/>
      <c r="AQ97" s="1464"/>
      <c r="AR97" s="1464"/>
      <c r="AS97" s="1464"/>
      <c r="AT97" s="1464"/>
      <c r="AU97" s="1464"/>
      <c r="AV97" s="1464"/>
      <c r="AW97" s="1464"/>
      <c r="AX97" s="1464"/>
      <c r="AY97" s="1464"/>
      <c r="AZ97" s="1464"/>
      <c r="BA97" s="1464"/>
      <c r="BB97" s="1465"/>
      <c r="BC97" s="1466"/>
      <c r="BD97" s="1466"/>
      <c r="BE97" s="1466"/>
    </row>
    <row r="98" spans="2:57" s="1458" customFormat="1" x14ac:dyDescent="0.3">
      <c r="B98" s="1476" t="s">
        <v>1560</v>
      </c>
      <c r="C98" s="1459"/>
      <c r="D98" s="1459"/>
      <c r="E98" s="1460"/>
      <c r="F98" s="1460"/>
      <c r="G98" s="1460"/>
      <c r="H98" s="1460"/>
      <c r="I98" s="1469"/>
      <c r="J98" s="1469">
        <f>IF(ISTEXT(Notes!J11),J96-'BS Raw'!J58/$B$1,"Chưa có BCTC")</f>
        <v>2.4690999999990026E-3</v>
      </c>
      <c r="K98" s="1469">
        <f>IF(ISTEXT(Notes!K11),K96-'BS Raw'!K58/$B$1,"Chưa có BCTC")</f>
        <v>-7.1054273576010019E-15</v>
      </c>
      <c r="L98" s="1469">
        <f>IF(ISTEXT(Notes!L11),L96-'BS Raw'!L58/$B$1,"Chưa có BCTC")</f>
        <v>7.1054273576010019E-15</v>
      </c>
      <c r="M98" s="1469">
        <f>IF(ISTEXT(Notes!M11),M96-'BS Raw'!M58/$B$1,"Chưa có BCTC")</f>
        <v>-7.1054273576010019E-15</v>
      </c>
      <c r="N98" s="1469">
        <f>IF(ISTEXT(Notes!N11),N96-'BS Raw'!N58/$B$1,"Chưa có BCTC")</f>
        <v>7.1054273576010019E-15</v>
      </c>
      <c r="O98" s="1469">
        <f>IF(ISTEXT(Notes!O11),O96-'BS Raw'!O58/$B$1,"Chưa có BCTC")</f>
        <v>0</v>
      </c>
      <c r="P98" s="1583">
        <f>IF(ISTEXT(Notes!P11),P96-'BS Raw'!P58/$B$1,"Chưa có BCTC")</f>
        <v>0</v>
      </c>
      <c r="Q98" s="1469" t="str">
        <f>IF(ISTEXT(Notes!Q11),Q96-'BS Raw'!Q58/$B$1,"Chưa có BCTC")</f>
        <v>Chưa có BCTC</v>
      </c>
      <c r="R98" s="1469" t="str">
        <f>IF(ISTEXT(Notes!R11),R96-'BS Raw'!R58/$B$1,"Chưa có BCTC")</f>
        <v>Chưa có BCTC</v>
      </c>
      <c r="S98" s="1469" t="str">
        <f>IF(ISTEXT(Notes!S11),S96-'BS Raw'!S58/$B$1,"Chưa có BCTC")</f>
        <v>Chưa có BCTC</v>
      </c>
      <c r="T98" s="1469" t="str">
        <f>IF(ISTEXT(Notes!T11),T96-'BS Raw'!T58/$B$1,"Chưa có BCTC")</f>
        <v>Chưa có BCTC</v>
      </c>
      <c r="U98" s="1469" t="str">
        <f>IF(ISTEXT(Notes!U11),U96-'BS Raw'!U58/$B$1,"Chưa có BCTC")</f>
        <v>Chưa có BCTC</v>
      </c>
      <c r="V98" s="1469" t="str">
        <f>IF(ISTEXT(Notes!V11),V96-'BS Raw'!V58/$B$1,"Chưa có BCTC")</f>
        <v>Chưa có BCTC</v>
      </c>
      <c r="W98" s="1469" t="str">
        <f>IF(ISTEXT(Notes!W11),W96-'BS Raw'!W58/$B$1,"Chưa có BCTC")</f>
        <v>Chưa có BCTC</v>
      </c>
      <c r="X98" s="1469" t="str">
        <f>IF(ISTEXT(Notes!X11),X96-'BS Raw'!X58/$B$1,"Chưa có BCTC")</f>
        <v>Chưa có BCTC</v>
      </c>
      <c r="Y98" s="1469" t="str">
        <f>IF(ISTEXT(Notes!Y11),Y96-'BS Raw'!Y58/$B$1,"Chưa có BCTC")</f>
        <v>Chưa có BCTC</v>
      </c>
      <c r="Z98" s="1469" t="str">
        <f>IF(ISTEXT(Notes!Z11),Z96-'BS Raw'!Z58/$B$1,"Chưa có BCTC")</f>
        <v>Chưa có BCTC</v>
      </c>
      <c r="AA98" s="1469"/>
      <c r="AB98" s="1469"/>
      <c r="AC98" s="1469"/>
      <c r="AD98" s="1469"/>
      <c r="AE98" s="1469"/>
      <c r="AF98" s="1469"/>
      <c r="AG98" s="1469"/>
      <c r="AH98" s="1469"/>
      <c r="AI98" s="1469"/>
      <c r="AJ98" s="1469"/>
      <c r="AK98" s="1469"/>
      <c r="AL98" s="1469"/>
      <c r="AM98" s="1469"/>
      <c r="AN98" s="1469"/>
      <c r="AO98" s="1469"/>
      <c r="AP98" s="1469"/>
      <c r="AQ98" s="1469"/>
      <c r="AR98" s="1469"/>
      <c r="AS98" s="1469"/>
      <c r="AT98" s="1469"/>
      <c r="AU98" s="1469"/>
      <c r="AV98" s="1469"/>
      <c r="AW98" s="1469"/>
      <c r="AX98" s="1469"/>
      <c r="AY98" s="1469"/>
      <c r="AZ98" s="1469"/>
      <c r="BA98" s="1469"/>
      <c r="BB98" s="1465"/>
      <c r="BC98" s="1466"/>
      <c r="BD98" s="1466"/>
      <c r="BE98" s="1466"/>
    </row>
    <row r="99" spans="2:57" s="1458" customFormat="1" x14ac:dyDescent="0.3">
      <c r="B99" s="1459"/>
      <c r="C99" s="1459"/>
      <c r="D99" s="1459"/>
      <c r="E99" s="1460"/>
      <c r="F99" s="1460"/>
      <c r="G99" s="1460"/>
      <c r="H99" s="1460"/>
      <c r="I99" s="1460"/>
      <c r="J99" s="1460"/>
      <c r="K99" s="1460"/>
      <c r="L99" s="1460"/>
      <c r="M99" s="1460"/>
      <c r="N99" s="1460"/>
      <c r="O99" s="1460"/>
      <c r="P99" s="1500"/>
      <c r="Q99" s="1460"/>
      <c r="R99" s="1460"/>
      <c r="S99" s="1460"/>
      <c r="T99" s="1460"/>
      <c r="U99" s="1460"/>
      <c r="V99" s="1460"/>
      <c r="W99" s="1460"/>
      <c r="X99" s="1460"/>
      <c r="Y99" s="1460"/>
      <c r="Z99" s="1460"/>
      <c r="AA99" s="1460"/>
      <c r="AB99" s="1460"/>
      <c r="AC99" s="1460"/>
      <c r="AD99" s="1460"/>
      <c r="AE99" s="1460"/>
      <c r="AF99" s="1460"/>
      <c r="AG99" s="1460"/>
      <c r="AH99" s="1460"/>
      <c r="AI99" s="1460"/>
      <c r="AJ99" s="1460"/>
      <c r="AK99" s="1460"/>
      <c r="AL99" s="1460"/>
      <c r="AM99" s="1460"/>
      <c r="AN99" s="1460"/>
      <c r="AO99" s="1460"/>
      <c r="AP99" s="1460"/>
      <c r="AQ99" s="1460"/>
      <c r="AR99" s="1460"/>
      <c r="AS99" s="1460"/>
      <c r="AT99" s="1460"/>
      <c r="AU99" s="1460"/>
      <c r="AV99" s="1460"/>
      <c r="AW99" s="1460"/>
      <c r="AX99" s="1460"/>
      <c r="AY99" s="1460"/>
      <c r="AZ99" s="1460"/>
      <c r="BA99" s="1460"/>
      <c r="BB99" s="1465"/>
      <c r="BC99" s="1466"/>
      <c r="BD99" s="1466"/>
      <c r="BE99" s="1466"/>
    </row>
    <row r="100" spans="2:57" s="522" customFormat="1" x14ac:dyDescent="0.3">
      <c r="B100" s="1426" t="s">
        <v>1561</v>
      </c>
      <c r="C100" s="1426"/>
      <c r="D100" s="1426"/>
      <c r="E100" s="1434"/>
      <c r="F100" s="1434"/>
      <c r="G100" s="1434"/>
      <c r="H100" s="122"/>
      <c r="I100" s="122"/>
      <c r="J100" s="122"/>
      <c r="K100" s="122"/>
      <c r="L100" s="122"/>
      <c r="M100" s="122"/>
      <c r="N100" s="122"/>
      <c r="O100" s="122"/>
      <c r="P100" s="1487"/>
      <c r="Q100" s="122"/>
      <c r="R100" s="122"/>
      <c r="S100" s="122"/>
      <c r="T100" s="122"/>
      <c r="U100" s="122"/>
      <c r="V100" s="122"/>
      <c r="W100" s="122"/>
      <c r="X100" s="122"/>
      <c r="Y100" s="122"/>
      <c r="Z100" s="122"/>
      <c r="AA100" s="122"/>
      <c r="AB100" s="122"/>
      <c r="AC100" s="122"/>
      <c r="AD100" s="122"/>
      <c r="AE100" s="122"/>
      <c r="AF100" s="122"/>
      <c r="AG100" s="122"/>
      <c r="AH100" s="122"/>
      <c r="AI100" s="122"/>
      <c r="AJ100" s="122"/>
      <c r="AK100" s="122"/>
      <c r="AL100" s="122"/>
      <c r="AM100" s="122"/>
      <c r="AN100" s="122"/>
      <c r="AO100" s="122"/>
      <c r="AP100" s="122"/>
      <c r="AQ100" s="122"/>
      <c r="AR100" s="122"/>
      <c r="AS100" s="122"/>
      <c r="AT100" s="122"/>
      <c r="AU100" s="122"/>
      <c r="AV100" s="122"/>
      <c r="AW100" s="122"/>
      <c r="AX100" s="122"/>
      <c r="AY100" s="122"/>
      <c r="AZ100" s="122"/>
      <c r="BA100" s="122"/>
      <c r="BB100" s="1387"/>
      <c r="BC100" s="466"/>
      <c r="BD100" s="466"/>
      <c r="BE100" s="466"/>
    </row>
    <row r="101" spans="2:57" s="522" customFormat="1" x14ac:dyDescent="0.3">
      <c r="B101" s="1437" t="s">
        <v>1554</v>
      </c>
      <c r="C101" s="1438"/>
      <c r="D101" s="1438"/>
      <c r="E101" s="1439"/>
      <c r="F101" s="1439"/>
      <c r="G101" s="1439"/>
      <c r="H101" s="122"/>
      <c r="I101" s="1440"/>
      <c r="J101" s="1441">
        <f>Notes!J73</f>
        <v>0.68</v>
      </c>
      <c r="K101" s="1441">
        <f>Notes!K73</f>
        <v>1.4042136169999999</v>
      </c>
      <c r="L101" s="1441">
        <f>Notes!L73</f>
        <v>3.1449710870000001</v>
      </c>
      <c r="M101" s="1441">
        <f>Notes!M73</f>
        <v>4.7320579880000002</v>
      </c>
      <c r="N101" s="1441">
        <f>Notes!N73</f>
        <v>6.4194795869999997</v>
      </c>
      <c r="O101" s="1441">
        <f>Notes!O73</f>
        <v>7.4882508310000002</v>
      </c>
      <c r="P101" s="1574">
        <f>Notes!P73</f>
        <v>9.5767891079999998</v>
      </c>
      <c r="Q101" s="1442">
        <f>P106</f>
        <v>11.848890501</v>
      </c>
      <c r="R101" s="1442">
        <f t="shared" ref="R101:Z101" si="67">Q106</f>
        <v>14.872895761578508</v>
      </c>
      <c r="S101" s="1442">
        <f t="shared" si="67"/>
        <v>18.488103875512937</v>
      </c>
      <c r="T101" s="1442">
        <f t="shared" si="67"/>
        <v>22.235816706998126</v>
      </c>
      <c r="U101" s="1442">
        <f t="shared" si="67"/>
        <v>26.133342118949663</v>
      </c>
      <c r="V101" s="1442">
        <f t="shared" si="67"/>
        <v>30.438309721437804</v>
      </c>
      <c r="W101" s="1442">
        <f t="shared" si="67"/>
        <v>34.907638184006977</v>
      </c>
      <c r="X101" s="1442">
        <f t="shared" si="67"/>
        <v>39.556362990539654</v>
      </c>
      <c r="Y101" s="1442">
        <f t="shared" si="67"/>
        <v>44.360623817354309</v>
      </c>
      <c r="Z101" s="1442">
        <f t="shared" si="67"/>
        <v>49.327006624621262</v>
      </c>
      <c r="AA101" s="1410"/>
      <c r="AB101" s="1410"/>
      <c r="AC101" s="1410"/>
      <c r="AD101" s="1410"/>
      <c r="AE101" s="1410"/>
      <c r="AF101" s="1410"/>
      <c r="AG101" s="1410"/>
      <c r="AH101" s="1410"/>
      <c r="AI101" s="1410"/>
      <c r="AJ101" s="1410"/>
      <c r="AK101" s="1410"/>
      <c r="AL101" s="1410"/>
      <c r="AM101" s="1410"/>
      <c r="AN101" s="1410"/>
      <c r="AO101" s="1410"/>
      <c r="AP101" s="1410"/>
      <c r="AQ101" s="1410"/>
      <c r="AR101" s="1410"/>
      <c r="AS101" s="1410"/>
      <c r="AT101" s="1410"/>
      <c r="AU101" s="1410"/>
      <c r="AV101" s="1410"/>
      <c r="AW101" s="1410"/>
      <c r="AX101" s="1410"/>
      <c r="AY101" s="1410"/>
      <c r="AZ101" s="1410"/>
      <c r="BA101" s="1410"/>
      <c r="BB101" s="1387"/>
      <c r="BC101" s="466"/>
      <c r="BD101" s="466"/>
      <c r="BE101" s="466"/>
    </row>
    <row r="102" spans="2:57" s="522" customFormat="1" x14ac:dyDescent="0.3">
      <c r="B102" s="1437" t="s">
        <v>1555</v>
      </c>
      <c r="C102" s="1438"/>
      <c r="D102" s="1438"/>
      <c r="E102" s="1439"/>
      <c r="F102" s="1439"/>
      <c r="G102" s="1439"/>
      <c r="H102" s="122"/>
      <c r="I102" s="1440"/>
      <c r="J102" s="1440"/>
      <c r="K102" s="1440"/>
      <c r="L102" s="1440"/>
      <c r="M102" s="1440"/>
      <c r="N102" s="1440"/>
      <c r="O102" s="1440"/>
      <c r="P102" s="1473"/>
      <c r="Q102" s="1442">
        <f>Q273</f>
        <v>3.0240052605785093</v>
      </c>
      <c r="R102" s="1442">
        <f t="shared" ref="R102:Z102" si="68">R273</f>
        <v>3.6152081139344294</v>
      </c>
      <c r="S102" s="1442">
        <f t="shared" si="68"/>
        <v>3.7477128314851886</v>
      </c>
      <c r="T102" s="1442">
        <f t="shared" si="68"/>
        <v>3.8975254119515386</v>
      </c>
      <c r="U102" s="1442">
        <f t="shared" si="68"/>
        <v>4.3049676024881425</v>
      </c>
      <c r="V102" s="1442">
        <f t="shared" si="68"/>
        <v>4.4693284625691705</v>
      </c>
      <c r="W102" s="1442">
        <f t="shared" si="68"/>
        <v>4.6487248065326767</v>
      </c>
      <c r="X102" s="1442">
        <f t="shared" si="68"/>
        <v>4.8042608268146516</v>
      </c>
      <c r="Y102" s="1442">
        <f t="shared" si="68"/>
        <v>4.9663828072669558</v>
      </c>
      <c r="Z102" s="1442">
        <f t="shared" si="68"/>
        <v>5.1356934836194208</v>
      </c>
      <c r="AA102" s="1442"/>
      <c r="AB102" s="1442"/>
      <c r="AC102" s="1442"/>
      <c r="AD102" s="1442"/>
      <c r="AE102" s="1442"/>
      <c r="AF102" s="1442"/>
      <c r="AG102" s="1442"/>
      <c r="AH102" s="1442"/>
      <c r="AI102" s="1442"/>
      <c r="AJ102" s="1442"/>
      <c r="AK102" s="1442"/>
      <c r="AL102" s="1442"/>
      <c r="AM102" s="1442"/>
      <c r="AN102" s="1442"/>
      <c r="AO102" s="1442"/>
      <c r="AP102" s="1410"/>
      <c r="AQ102" s="1410"/>
      <c r="AR102" s="1410"/>
      <c r="AS102" s="1410"/>
      <c r="AT102" s="1410"/>
      <c r="AU102" s="1410"/>
      <c r="AV102" s="1410"/>
      <c r="AW102" s="1410"/>
      <c r="AX102" s="1410"/>
      <c r="AY102" s="1410"/>
      <c r="AZ102" s="1410"/>
      <c r="BA102" s="1410"/>
      <c r="BB102" s="1387"/>
      <c r="BC102" s="466"/>
      <c r="BD102" s="466"/>
      <c r="BE102" s="466"/>
    </row>
    <row r="103" spans="2:57" s="522" customFormat="1" x14ac:dyDescent="0.3">
      <c r="B103" s="1444" t="s">
        <v>1556</v>
      </c>
      <c r="C103" s="1445"/>
      <c r="D103" s="1445"/>
      <c r="E103" s="1446"/>
      <c r="F103" s="1446"/>
      <c r="G103" s="1446"/>
      <c r="H103" s="1447"/>
      <c r="I103" s="1448"/>
      <c r="J103" s="1448"/>
      <c r="K103" s="1448"/>
      <c r="L103" s="1448"/>
      <c r="M103" s="1448"/>
      <c r="N103" s="1448"/>
      <c r="O103" s="1448"/>
      <c r="P103" s="1496"/>
      <c r="Q103" s="1451"/>
      <c r="R103" s="1451"/>
      <c r="S103" s="1451"/>
      <c r="T103" s="1451"/>
      <c r="U103" s="1451"/>
      <c r="V103" s="1451"/>
      <c r="W103" s="1451"/>
      <c r="X103" s="1451"/>
      <c r="Y103" s="1451"/>
      <c r="Z103" s="1451"/>
      <c r="AA103" s="1451"/>
      <c r="AB103" s="1451"/>
      <c r="AC103" s="1451"/>
      <c r="AD103" s="1451"/>
      <c r="AE103" s="1451"/>
      <c r="AF103" s="1451"/>
      <c r="AG103" s="1451"/>
      <c r="AH103" s="1451"/>
      <c r="AI103" s="1451"/>
      <c r="AJ103" s="1451"/>
      <c r="AK103" s="1451"/>
      <c r="AL103" s="1451"/>
      <c r="AM103" s="1451"/>
      <c r="AN103" s="1451"/>
      <c r="AO103" s="1451"/>
      <c r="AP103" s="1451"/>
      <c r="AQ103" s="1451"/>
      <c r="AR103" s="1451"/>
      <c r="AS103" s="1451"/>
      <c r="AT103" s="1451"/>
      <c r="AU103" s="1451"/>
      <c r="AV103" s="1451"/>
      <c r="AW103" s="1451"/>
      <c r="AX103" s="1451"/>
      <c r="AY103" s="1451"/>
      <c r="AZ103" s="1451"/>
      <c r="BA103" s="1451"/>
      <c r="BB103" s="1387"/>
      <c r="BC103" s="466"/>
      <c r="BD103" s="466"/>
      <c r="BE103" s="466"/>
    </row>
    <row r="104" spans="2:57" s="522" customFormat="1" x14ac:dyDescent="0.3">
      <c r="B104" s="1437" t="s">
        <v>1557</v>
      </c>
      <c r="C104" s="1438"/>
      <c r="D104" s="1438"/>
      <c r="E104" s="1439"/>
      <c r="F104" s="1439"/>
      <c r="G104" s="1439"/>
      <c r="H104" s="122"/>
      <c r="I104" s="1440"/>
      <c r="J104" s="1441">
        <f>IF(ISTEXT(Notes!J11),Notes!J74,J102)</f>
        <v>0.73</v>
      </c>
      <c r="K104" s="1441">
        <f>IF(ISTEXT(Notes!K11),Notes!K74,K102)</f>
        <v>1.7407574800000001</v>
      </c>
      <c r="L104" s="1441">
        <f>IF(ISTEXT(Notes!L11),Notes!L74,L102)</f>
        <v>1.5870869009999999</v>
      </c>
      <c r="M104" s="1441">
        <f>IF(ISTEXT(Notes!M11),Notes!M74,M102)</f>
        <v>1.6874215990000001</v>
      </c>
      <c r="N104" s="1441">
        <f>IF(ISTEXT(Notes!N11),Notes!N74,N102)</f>
        <v>1.7781744939999999</v>
      </c>
      <c r="O104" s="1441">
        <f>IF(ISTEXT(Notes!O11),Notes!O74,O102)</f>
        <v>2.0885382770000001</v>
      </c>
      <c r="P104" s="1574">
        <f>IF(ISTEXT(Notes!P11),Notes!P74,P102)</f>
        <v>2.2721013929999998</v>
      </c>
      <c r="Q104" s="1442">
        <f>Q102</f>
        <v>3.0240052605785093</v>
      </c>
      <c r="R104" s="1442">
        <f t="shared" ref="R104:Z104" si="69">R102</f>
        <v>3.6152081139344294</v>
      </c>
      <c r="S104" s="1442">
        <f t="shared" si="69"/>
        <v>3.7477128314851886</v>
      </c>
      <c r="T104" s="1442">
        <f t="shared" si="69"/>
        <v>3.8975254119515386</v>
      </c>
      <c r="U104" s="1442">
        <f t="shared" si="69"/>
        <v>4.3049676024881425</v>
      </c>
      <c r="V104" s="1442">
        <f t="shared" si="69"/>
        <v>4.4693284625691705</v>
      </c>
      <c r="W104" s="1442">
        <f t="shared" si="69"/>
        <v>4.6487248065326767</v>
      </c>
      <c r="X104" s="1442">
        <f t="shared" si="69"/>
        <v>4.8042608268146516</v>
      </c>
      <c r="Y104" s="1442">
        <f t="shared" si="69"/>
        <v>4.9663828072669558</v>
      </c>
      <c r="Z104" s="1442">
        <f t="shared" si="69"/>
        <v>5.1356934836194208</v>
      </c>
      <c r="AA104" s="1410"/>
      <c r="AB104" s="1410"/>
      <c r="AC104" s="1410"/>
      <c r="AD104" s="1410"/>
      <c r="AE104" s="1410"/>
      <c r="AF104" s="1410"/>
      <c r="AG104" s="1410"/>
      <c r="AH104" s="1410"/>
      <c r="AI104" s="1410"/>
      <c r="AJ104" s="1410"/>
      <c r="AK104" s="1410"/>
      <c r="AL104" s="1410"/>
      <c r="AM104" s="1410"/>
      <c r="AN104" s="1410"/>
      <c r="AO104" s="1410"/>
      <c r="AP104" s="1410"/>
      <c r="AQ104" s="1410"/>
      <c r="AR104" s="1410"/>
      <c r="AS104" s="1410"/>
      <c r="AT104" s="1410"/>
      <c r="AU104" s="1410"/>
      <c r="AV104" s="1410"/>
      <c r="AW104" s="1410"/>
      <c r="AX104" s="1410"/>
      <c r="AY104" s="1410"/>
      <c r="AZ104" s="1410"/>
      <c r="BA104" s="1410"/>
      <c r="BB104" s="1387"/>
      <c r="BC104" s="466"/>
      <c r="BD104" s="466"/>
      <c r="BE104" s="466"/>
    </row>
    <row r="105" spans="2:57" s="522" customFormat="1" x14ac:dyDescent="0.3">
      <c r="B105" s="1437" t="s">
        <v>1558</v>
      </c>
      <c r="C105" s="1438"/>
      <c r="D105" s="1438"/>
      <c r="E105" s="1439"/>
      <c r="F105" s="1439"/>
      <c r="G105" s="1439"/>
      <c r="H105" s="122"/>
      <c r="I105" s="1440"/>
      <c r="J105" s="1441">
        <f>IF(ISTEXT(Notes!J11),Notes!J75,J102)</f>
        <v>0</v>
      </c>
      <c r="K105" s="1441">
        <f>IF(ISTEXT(Notes!K11),Notes!K75,K102)</f>
        <v>0</v>
      </c>
      <c r="L105" s="1441">
        <f>IF(ISTEXT(Notes!L11),Notes!L75,L102)</f>
        <v>0</v>
      </c>
      <c r="M105" s="1441">
        <f>IF(ISTEXT(Notes!M11),Notes!M75,M102)</f>
        <v>0</v>
      </c>
      <c r="N105" s="1441">
        <f>IF(ISTEXT(Notes!N11),Notes!N75,N102)</f>
        <v>-0.70940325000000004</v>
      </c>
      <c r="O105" s="1441">
        <f>IF(ISTEXT(Notes!O11),Notes!O75,O102)</f>
        <v>0</v>
      </c>
      <c r="P105" s="1574">
        <f>IF(ISTEXT(Notes!P11),Notes!P75,P102)</f>
        <v>0</v>
      </c>
      <c r="Q105" s="1410">
        <v>0</v>
      </c>
      <c r="R105" s="1410">
        <f>Q105</f>
        <v>0</v>
      </c>
      <c r="S105" s="1410">
        <f t="shared" ref="S105:Z105" si="70">R105</f>
        <v>0</v>
      </c>
      <c r="T105" s="1410">
        <f t="shared" si="70"/>
        <v>0</v>
      </c>
      <c r="U105" s="1410">
        <f t="shared" si="70"/>
        <v>0</v>
      </c>
      <c r="V105" s="1410">
        <f t="shared" si="70"/>
        <v>0</v>
      </c>
      <c r="W105" s="1410">
        <f t="shared" si="70"/>
        <v>0</v>
      </c>
      <c r="X105" s="1410">
        <f t="shared" si="70"/>
        <v>0</v>
      </c>
      <c r="Y105" s="1410">
        <f t="shared" si="70"/>
        <v>0</v>
      </c>
      <c r="Z105" s="1410">
        <f t="shared" si="70"/>
        <v>0</v>
      </c>
      <c r="AA105" s="1410"/>
      <c r="AB105" s="1410"/>
      <c r="AC105" s="1410"/>
      <c r="AD105" s="1410"/>
      <c r="AE105" s="1410"/>
      <c r="AF105" s="1410"/>
      <c r="AG105" s="1410"/>
      <c r="AH105" s="1410"/>
      <c r="AI105" s="1410"/>
      <c r="AJ105" s="1410"/>
      <c r="AK105" s="1410"/>
      <c r="AL105" s="1410"/>
      <c r="AM105" s="1410"/>
      <c r="AN105" s="1410"/>
      <c r="AO105" s="1410"/>
      <c r="AP105" s="1410"/>
      <c r="AQ105" s="1410"/>
      <c r="AR105" s="1410"/>
      <c r="AS105" s="1410"/>
      <c r="AT105" s="1410"/>
      <c r="AU105" s="1410"/>
      <c r="AV105" s="1410"/>
      <c r="AW105" s="1410"/>
      <c r="AX105" s="1410"/>
      <c r="AY105" s="1410"/>
      <c r="AZ105" s="1410"/>
      <c r="BA105" s="1410"/>
      <c r="BB105" s="1387"/>
      <c r="BC105" s="466"/>
      <c r="BD105" s="466"/>
      <c r="BE105" s="466"/>
    </row>
    <row r="106" spans="2:57" s="522" customFormat="1" x14ac:dyDescent="0.3">
      <c r="B106" s="1474" t="s">
        <v>1562</v>
      </c>
      <c r="C106" s="1453"/>
      <c r="D106" s="1453"/>
      <c r="E106" s="139"/>
      <c r="F106" s="139"/>
      <c r="G106" s="139"/>
      <c r="H106" s="139"/>
      <c r="I106" s="1454"/>
      <c r="J106" s="1455">
        <f>SUM(J101,J104,J105)</f>
        <v>1.4100000000000001</v>
      </c>
      <c r="K106" s="1455">
        <f t="shared" ref="K106:P106" si="71">SUM(K101,K104,K105)</f>
        <v>3.144971097</v>
      </c>
      <c r="L106" s="1455">
        <f t="shared" si="71"/>
        <v>4.7320579880000002</v>
      </c>
      <c r="M106" s="1455">
        <f t="shared" si="71"/>
        <v>6.4194795870000005</v>
      </c>
      <c r="N106" s="1455">
        <f t="shared" si="71"/>
        <v>7.4882508309999993</v>
      </c>
      <c r="O106" s="1455">
        <f t="shared" si="71"/>
        <v>9.5767891079999998</v>
      </c>
      <c r="P106" s="1575">
        <f t="shared" si="71"/>
        <v>11.848890501</v>
      </c>
      <c r="Q106" s="1456">
        <f>Q101+Q104+Q105</f>
        <v>14.872895761578508</v>
      </c>
      <c r="R106" s="1456">
        <f t="shared" ref="R106:Z106" si="72">R101+R104+R105</f>
        <v>18.488103875512937</v>
      </c>
      <c r="S106" s="1456">
        <f t="shared" si="72"/>
        <v>22.235816706998126</v>
      </c>
      <c r="T106" s="1456">
        <f t="shared" si="72"/>
        <v>26.133342118949663</v>
      </c>
      <c r="U106" s="1456">
        <f t="shared" si="72"/>
        <v>30.438309721437804</v>
      </c>
      <c r="V106" s="1456">
        <f t="shared" si="72"/>
        <v>34.907638184006977</v>
      </c>
      <c r="W106" s="1456">
        <f t="shared" si="72"/>
        <v>39.556362990539654</v>
      </c>
      <c r="X106" s="1456">
        <f t="shared" si="72"/>
        <v>44.360623817354309</v>
      </c>
      <c r="Y106" s="1456">
        <f t="shared" si="72"/>
        <v>49.327006624621262</v>
      </c>
      <c r="Z106" s="1456">
        <f t="shared" si="72"/>
        <v>54.462700108240682</v>
      </c>
      <c r="AA106" s="1457"/>
      <c r="AB106" s="1457"/>
      <c r="AC106" s="1457"/>
      <c r="AD106" s="1457"/>
      <c r="AE106" s="1457"/>
      <c r="AF106" s="1457"/>
      <c r="AG106" s="1457"/>
      <c r="AH106" s="1457"/>
      <c r="AI106" s="1457"/>
      <c r="AJ106" s="1457"/>
      <c r="AK106" s="1457"/>
      <c r="AL106" s="1457"/>
      <c r="AM106" s="1457"/>
      <c r="AN106" s="1457"/>
      <c r="AO106" s="1457"/>
      <c r="AP106" s="1457"/>
      <c r="AQ106" s="1457"/>
      <c r="AR106" s="1457"/>
      <c r="AS106" s="1457"/>
      <c r="AT106" s="1457"/>
      <c r="AU106" s="1457"/>
      <c r="AV106" s="1457"/>
      <c r="AW106" s="1457"/>
      <c r="AX106" s="1457"/>
      <c r="AY106" s="1457"/>
      <c r="AZ106" s="1457"/>
      <c r="BA106" s="1457"/>
      <c r="BB106" s="1407"/>
      <c r="BC106" s="466"/>
      <c r="BD106" s="466"/>
      <c r="BE106" s="466"/>
    </row>
    <row r="107" spans="2:57" s="522" customFormat="1" x14ac:dyDescent="0.3">
      <c r="B107" s="1475" t="s">
        <v>1563</v>
      </c>
      <c r="C107" s="1438"/>
      <c r="D107" s="1438"/>
      <c r="E107" s="122"/>
      <c r="F107" s="122"/>
      <c r="G107" s="122"/>
      <c r="H107" s="122"/>
      <c r="I107" s="1440"/>
      <c r="J107" s="1441">
        <f>J91-J101</f>
        <v>39.799999999999997</v>
      </c>
      <c r="K107" s="1441">
        <f t="shared" ref="K107:Z107" si="73">K91-K101</f>
        <v>42.673317283000003</v>
      </c>
      <c r="L107" s="1441">
        <f t="shared" si="73"/>
        <v>53.282406113</v>
      </c>
      <c r="M107" s="1441">
        <f t="shared" si="73"/>
        <v>52.352153711999996</v>
      </c>
      <c r="N107" s="1441">
        <f t="shared" si="73"/>
        <v>50.964732113000004</v>
      </c>
      <c r="O107" s="1441">
        <f t="shared" si="73"/>
        <v>56.413717118999998</v>
      </c>
      <c r="P107" s="1574">
        <f t="shared" si="73"/>
        <v>61.731483842000003</v>
      </c>
      <c r="Q107" s="1567">
        <f t="shared" si="73"/>
        <v>60.411372448999998</v>
      </c>
      <c r="R107" s="1567">
        <f t="shared" si="73"/>
        <v>81.448290950933796</v>
      </c>
      <c r="S107" s="1567">
        <f t="shared" si="73"/>
        <v>96.751574144388812</v>
      </c>
      <c r="T107" s="1567">
        <f t="shared" si="73"/>
        <v>97.244012274527918</v>
      </c>
      <c r="U107" s="1567">
        <f t="shared" si="73"/>
        <v>98.140489437499582</v>
      </c>
      <c r="V107" s="1567">
        <f t="shared" si="73"/>
        <v>98.724828121450685</v>
      </c>
      <c r="W107" s="1567">
        <f t="shared" si="73"/>
        <v>99.515047181474415</v>
      </c>
      <c r="X107" s="1567">
        <f t="shared" si="73"/>
        <v>100.60700538177393</v>
      </c>
      <c r="Y107" s="1567">
        <f t="shared" si="73"/>
        <v>100.77989720398247</v>
      </c>
      <c r="Z107" s="1567">
        <f t="shared" si="73"/>
        <v>101.00141777118925</v>
      </c>
      <c r="AA107" s="1410"/>
      <c r="AB107" s="1410"/>
      <c r="AC107" s="1410"/>
      <c r="AD107" s="1410"/>
      <c r="AE107" s="1410"/>
      <c r="AF107" s="1410"/>
      <c r="AG107" s="1410"/>
      <c r="AH107" s="1410"/>
      <c r="AI107" s="1410"/>
      <c r="AJ107" s="1410"/>
      <c r="AK107" s="1410"/>
      <c r="AL107" s="1410"/>
      <c r="AM107" s="1410"/>
      <c r="AN107" s="1410"/>
      <c r="AO107" s="1410"/>
      <c r="AP107" s="1410"/>
      <c r="AQ107" s="1410"/>
      <c r="AR107" s="1410"/>
      <c r="AS107" s="1410"/>
      <c r="AT107" s="1410"/>
      <c r="AU107" s="1410"/>
      <c r="AV107" s="1410"/>
      <c r="AW107" s="1410"/>
      <c r="AX107" s="1410"/>
      <c r="AY107" s="1410"/>
      <c r="AZ107" s="1410"/>
      <c r="BA107" s="1410"/>
      <c r="BB107" s="1387"/>
      <c r="BC107" s="466"/>
      <c r="BD107" s="466"/>
      <c r="BE107" s="466"/>
    </row>
    <row r="108" spans="2:57" s="522" customFormat="1" x14ac:dyDescent="0.3">
      <c r="B108" s="1475" t="s">
        <v>1542</v>
      </c>
      <c r="C108" s="1438"/>
      <c r="D108" s="1438"/>
      <c r="E108" s="122"/>
      <c r="F108" s="122"/>
      <c r="G108" s="122"/>
      <c r="H108" s="122"/>
      <c r="I108" s="1440"/>
      <c r="J108" s="1441">
        <f>J96-J106</f>
        <v>42.67</v>
      </c>
      <c r="K108" s="1441">
        <f t="shared" ref="K108:Z108" si="74">K96-K106</f>
        <v>53.282406102999992</v>
      </c>
      <c r="L108" s="1441">
        <f t="shared" si="74"/>
        <v>52.352153712000003</v>
      </c>
      <c r="M108" s="1441">
        <f t="shared" si="74"/>
        <v>50.964732112999997</v>
      </c>
      <c r="N108" s="1441">
        <f t="shared" si="74"/>
        <v>56.413717119000005</v>
      </c>
      <c r="O108" s="1441">
        <f t="shared" si="74"/>
        <v>61.731483842000003</v>
      </c>
      <c r="P108" s="1574">
        <f t="shared" si="74"/>
        <v>60.411372448999998</v>
      </c>
      <c r="Q108" s="1567">
        <f t="shared" si="74"/>
        <v>81.448290950933796</v>
      </c>
      <c r="R108" s="1567">
        <f t="shared" si="74"/>
        <v>96.751574144388812</v>
      </c>
      <c r="S108" s="1567">
        <f t="shared" si="74"/>
        <v>97.244012274527918</v>
      </c>
      <c r="T108" s="1567">
        <f t="shared" si="74"/>
        <v>98.140489437499582</v>
      </c>
      <c r="U108" s="1567">
        <f t="shared" si="74"/>
        <v>98.724828121450685</v>
      </c>
      <c r="V108" s="1567">
        <f t="shared" si="74"/>
        <v>99.515047181474415</v>
      </c>
      <c r="W108" s="1567">
        <f t="shared" si="74"/>
        <v>100.60700538177393</v>
      </c>
      <c r="X108" s="1567">
        <f t="shared" si="74"/>
        <v>100.77989720398247</v>
      </c>
      <c r="Y108" s="1567">
        <f t="shared" si="74"/>
        <v>101.00141777118925</v>
      </c>
      <c r="Z108" s="1567">
        <f t="shared" si="74"/>
        <v>101.28366593084871</v>
      </c>
      <c r="AA108" s="1410"/>
      <c r="AB108" s="1410"/>
      <c r="AC108" s="1410"/>
      <c r="AD108" s="1410"/>
      <c r="AE108" s="1410"/>
      <c r="AF108" s="1410"/>
      <c r="AG108" s="1410"/>
      <c r="AH108" s="1410"/>
      <c r="AI108" s="1410"/>
      <c r="AJ108" s="1410"/>
      <c r="AK108" s="1410"/>
      <c r="AL108" s="1410"/>
      <c r="AM108" s="1410"/>
      <c r="AN108" s="1410"/>
      <c r="AO108" s="1410"/>
      <c r="AP108" s="1410"/>
      <c r="AQ108" s="1410"/>
      <c r="AR108" s="1410"/>
      <c r="AS108" s="1410"/>
      <c r="AT108" s="1410"/>
      <c r="AU108" s="1410"/>
      <c r="AV108" s="1410"/>
      <c r="AW108" s="1410"/>
      <c r="AX108" s="1410"/>
      <c r="AY108" s="1410"/>
      <c r="AZ108" s="1410"/>
      <c r="BA108" s="1410"/>
      <c r="BB108" s="1387"/>
      <c r="BC108" s="466"/>
      <c r="BD108" s="466"/>
      <c r="BE108" s="466"/>
    </row>
    <row r="109" spans="2:57" s="462" customFormat="1" x14ac:dyDescent="0.3">
      <c r="B109" s="1476" t="s">
        <v>1564</v>
      </c>
      <c r="C109" s="1476"/>
      <c r="D109" s="1476"/>
      <c r="E109" s="1477"/>
      <c r="F109" s="1477"/>
      <c r="G109" s="1477"/>
      <c r="H109" s="1477"/>
      <c r="I109" s="1469"/>
      <c r="J109" s="1469">
        <f>IF(ISTEXT(Notes!J11),J108-'BS Raw'!J57/$B$1,"Chưa có BCTC")</f>
        <v>-3.3172929999949474E-3</v>
      </c>
      <c r="K109" s="1469">
        <f>IF(ISTEXT(Notes!K11),K108-'BS Raw'!K57/$B$1,"Chưa có BCTC")</f>
        <v>-1.0000007932831068E-8</v>
      </c>
      <c r="L109" s="1469">
        <f>IF(ISTEXT(Notes!L11),L108-'BS Raw'!L57/$B$1,"Chưa có BCTC")</f>
        <v>0</v>
      </c>
      <c r="M109" s="1469">
        <f>IF(ISTEXT(Notes!M11),M108-'BS Raw'!M57/$B$1,"Chưa có BCTC")</f>
        <v>0</v>
      </c>
      <c r="N109" s="1469">
        <f>IF(ISTEXT(Notes!N11),N108-'BS Raw'!N57/$B$1,"Chưa có BCTC")</f>
        <v>7.1054273576010019E-15</v>
      </c>
      <c r="O109" s="1469">
        <f>IF(ISTEXT(Notes!O11),O108-'BS Raw'!O57/$B$1,"Chưa có BCTC")</f>
        <v>0</v>
      </c>
      <c r="P109" s="1583">
        <f>IF(ISTEXT(Notes!P11),P108-'BS Raw'!P57/$B$1,"Chưa có BCTC")</f>
        <v>0</v>
      </c>
      <c r="Q109" s="1469" t="str">
        <f>IF(ISTEXT(Notes!Q11),Q108-'BS Raw'!Q57/$B$1,"Chưa có BCTC")</f>
        <v>Chưa có BCTC</v>
      </c>
      <c r="R109" s="1469" t="str">
        <f>IF(ISTEXT(Notes!R11),R108-'BS Raw'!R57/$B$1,"Chưa có BCTC")</f>
        <v>Chưa có BCTC</v>
      </c>
      <c r="S109" s="1469" t="str">
        <f>IF(ISTEXT(Notes!S11),S108-'BS Raw'!S57/$B$1,"Chưa có BCTC")</f>
        <v>Chưa có BCTC</v>
      </c>
      <c r="T109" s="1469" t="str">
        <f>IF(ISTEXT(Notes!T11),T108-'BS Raw'!T57/$B$1,"Chưa có BCTC")</f>
        <v>Chưa có BCTC</v>
      </c>
      <c r="U109" s="1469" t="str">
        <f>IF(ISTEXT(Notes!U11),U108-'BS Raw'!U57/$B$1,"Chưa có BCTC")</f>
        <v>Chưa có BCTC</v>
      </c>
      <c r="V109" s="1469" t="str">
        <f>IF(ISTEXT(Notes!V11),V108-'BS Raw'!V57/$B$1,"Chưa có BCTC")</f>
        <v>Chưa có BCTC</v>
      </c>
      <c r="W109" s="1469" t="str">
        <f>IF(ISTEXT(Notes!W11),W108-'BS Raw'!W57/$B$1,"Chưa có BCTC")</f>
        <v>Chưa có BCTC</v>
      </c>
      <c r="X109" s="1469" t="str">
        <f>IF(ISTEXT(Notes!X11),X108-'BS Raw'!X57/$B$1,"Chưa có BCTC")</f>
        <v>Chưa có BCTC</v>
      </c>
      <c r="Y109" s="1469" t="str">
        <f>IF(ISTEXT(Notes!Y11),Y108-'BS Raw'!Y57/$B$1,"Chưa có BCTC")</f>
        <v>Chưa có BCTC</v>
      </c>
      <c r="Z109" s="1469" t="str">
        <f>IF(ISTEXT(Notes!Z11),Z108-'BS Raw'!Z57/$B$1,"Chưa có BCTC")</f>
        <v>Chưa có BCTC</v>
      </c>
      <c r="AA109" s="1478"/>
      <c r="AB109" s="1478"/>
      <c r="AC109" s="1478"/>
      <c r="AD109" s="1478"/>
      <c r="AE109" s="1478"/>
      <c r="AF109" s="1478"/>
      <c r="AG109" s="1478"/>
      <c r="AH109" s="1478"/>
      <c r="AI109" s="1478"/>
      <c r="AJ109" s="1478"/>
      <c r="AK109" s="1478"/>
      <c r="AL109" s="1478"/>
      <c r="AM109" s="1478"/>
      <c r="AN109" s="1478"/>
      <c r="AO109" s="1478"/>
      <c r="AP109" s="1478"/>
      <c r="AQ109" s="1478"/>
      <c r="AR109" s="1478"/>
      <c r="AS109" s="1478"/>
      <c r="AT109" s="1478"/>
      <c r="AU109" s="1478"/>
      <c r="AV109" s="1478"/>
      <c r="AW109" s="1478"/>
      <c r="AX109" s="1478"/>
      <c r="AY109" s="1478"/>
      <c r="AZ109" s="1478"/>
      <c r="BA109" s="1478"/>
      <c r="BB109" s="1479"/>
      <c r="BC109" s="1480"/>
      <c r="BD109" s="1480"/>
      <c r="BE109" s="1480"/>
    </row>
    <row r="110" spans="2:57" s="1458" customFormat="1" ht="21.75" customHeight="1" x14ac:dyDescent="0.3">
      <c r="B110" s="1481" t="str">
        <f>"- Giá trị còn lại của tài sản đầu tư thêm năm "&amp;YEAR($P$3)</f>
        <v>- Giá trị còn lại của tài sản đầu tư thêm năm 2021</v>
      </c>
      <c r="C110" s="1459"/>
      <c r="D110" s="1459"/>
      <c r="E110" s="1460"/>
      <c r="F110" s="1460"/>
      <c r="G110" s="1460"/>
      <c r="H110" s="1460"/>
      <c r="I110" s="1461"/>
      <c r="J110" s="1461"/>
      <c r="K110" s="1461"/>
      <c r="L110" s="1461"/>
      <c r="M110" s="1461"/>
      <c r="N110" s="1461"/>
      <c r="O110" s="1461"/>
      <c r="P110" s="1501">
        <f>P108</f>
        <v>60.411372448999998</v>
      </c>
      <c r="Q110" s="1502">
        <f>P110-Q261</f>
        <v>58.139271055999998</v>
      </c>
      <c r="R110" s="1502">
        <f t="shared" ref="R110:Z110" si="75">Q110-R261</f>
        <v>55.867169662999999</v>
      </c>
      <c r="S110" s="1502">
        <f t="shared" si="75"/>
        <v>53.595068269999999</v>
      </c>
      <c r="T110" s="1502">
        <f t="shared" si="75"/>
        <v>51.322966876999999</v>
      </c>
      <c r="U110" s="1502">
        <f t="shared" si="75"/>
        <v>49.050865483999999</v>
      </c>
      <c r="V110" s="1502">
        <f t="shared" si="75"/>
        <v>46.778764090999999</v>
      </c>
      <c r="W110" s="1502">
        <f t="shared" si="75"/>
        <v>44.506662698</v>
      </c>
      <c r="X110" s="1502">
        <f t="shared" si="75"/>
        <v>42.234561305</v>
      </c>
      <c r="Y110" s="1502">
        <f t="shared" si="75"/>
        <v>39.962459912</v>
      </c>
      <c r="Z110" s="1502">
        <f t="shared" si="75"/>
        <v>37.690358519</v>
      </c>
      <c r="AA110" s="1502"/>
      <c r="AB110" s="1502"/>
      <c r="AC110" s="1502"/>
      <c r="AD110" s="1502"/>
      <c r="AE110" s="1502"/>
      <c r="AF110" s="1502"/>
      <c r="AG110" s="1502"/>
      <c r="AH110" s="1502"/>
      <c r="AI110" s="1502"/>
      <c r="AJ110" s="1502"/>
      <c r="AK110" s="1502"/>
      <c r="AL110" s="1502"/>
      <c r="AM110" s="1502"/>
      <c r="AN110" s="1502"/>
      <c r="AO110" s="1502"/>
      <c r="AP110" s="1502"/>
      <c r="AQ110" s="1502"/>
      <c r="AR110" s="1502"/>
      <c r="AS110" s="1464"/>
      <c r="AT110" s="1464"/>
      <c r="AU110" s="1464"/>
      <c r="AV110" s="1464"/>
      <c r="AW110" s="1464"/>
      <c r="AX110" s="1464"/>
      <c r="AY110" s="1464"/>
      <c r="AZ110" s="1464"/>
      <c r="BA110" s="1464"/>
      <c r="BB110" s="1468"/>
      <c r="BC110" s="1466"/>
      <c r="BD110" s="1466"/>
      <c r="BE110" s="1466"/>
    </row>
    <row r="111" spans="2:57" s="1458" customFormat="1" ht="23.25" customHeight="1" x14ac:dyDescent="0.3">
      <c r="B111" s="1481" t="str">
        <f>"- Giá trị còn lại của tài sản đầu tư thêm năm "&amp;YEAR($P$3)+1</f>
        <v>- Giá trị còn lại của tài sản đầu tư thêm năm 2022</v>
      </c>
      <c r="C111" s="1459"/>
      <c r="D111" s="1459"/>
      <c r="E111" s="1460"/>
      <c r="F111" s="1460"/>
      <c r="G111" s="1460"/>
      <c r="H111" s="1460"/>
      <c r="I111" s="1461"/>
      <c r="J111" s="1461"/>
      <c r="K111" s="1461"/>
      <c r="L111" s="1461"/>
      <c r="M111" s="1461"/>
      <c r="N111" s="1461"/>
      <c r="O111" s="1461"/>
      <c r="P111" s="1472"/>
      <c r="Q111" s="1502">
        <f>Q94+Q95-Q262</f>
        <v>23.309019894933794</v>
      </c>
      <c r="R111" s="1502">
        <f>Q111-R262</f>
        <v>22.557116027355285</v>
      </c>
      <c r="S111" s="1502">
        <f t="shared" ref="S111:AA111" si="76">R111-S262</f>
        <v>21.805212159776776</v>
      </c>
      <c r="T111" s="1502">
        <f t="shared" si="76"/>
        <v>21.053308292198267</v>
      </c>
      <c r="U111" s="1502">
        <f t="shared" si="76"/>
        <v>20.301404424619758</v>
      </c>
      <c r="V111" s="1502">
        <f t="shared" si="76"/>
        <v>19.549500557041249</v>
      </c>
      <c r="W111" s="1502">
        <f t="shared" si="76"/>
        <v>18.79759668946274</v>
      </c>
      <c r="X111" s="1502">
        <f t="shared" si="76"/>
        <v>18.045692821884231</v>
      </c>
      <c r="Y111" s="1502">
        <f t="shared" si="76"/>
        <v>17.293788954305722</v>
      </c>
      <c r="Z111" s="1502">
        <f t="shared" si="76"/>
        <v>16.541885086727213</v>
      </c>
      <c r="AA111" s="1464">
        <f t="shared" si="76"/>
        <v>16.541885086727213</v>
      </c>
      <c r="AB111" s="1502"/>
      <c r="AC111" s="1502"/>
      <c r="AD111" s="1502"/>
      <c r="AE111" s="1502"/>
      <c r="AF111" s="1502"/>
      <c r="AG111" s="1502"/>
      <c r="AH111" s="1502"/>
      <c r="AI111" s="1502"/>
      <c r="AJ111" s="1502"/>
      <c r="AK111" s="1502"/>
      <c r="AL111" s="1502"/>
      <c r="AM111" s="1502"/>
      <c r="AN111" s="1502"/>
      <c r="AO111" s="1502"/>
      <c r="AP111" s="1502"/>
      <c r="AQ111" s="1502"/>
      <c r="AR111" s="1502"/>
      <c r="AS111" s="1502"/>
      <c r="AT111" s="1502"/>
      <c r="AU111" s="1502"/>
      <c r="AV111" s="1502"/>
      <c r="AW111" s="1502"/>
      <c r="AX111" s="1502"/>
      <c r="AY111" s="1502"/>
      <c r="AZ111" s="1502"/>
      <c r="BA111" s="1502"/>
      <c r="BB111" s="1465"/>
      <c r="BC111" s="1466"/>
      <c r="BD111" s="1466"/>
      <c r="BE111" s="1466"/>
    </row>
    <row r="112" spans="2:57" s="1458" customFormat="1" ht="21" customHeight="1" x14ac:dyDescent="0.3">
      <c r="B112" s="1481" t="str">
        <f>"- Giá trị còn lại của tài sản đầu tư thêm năm "&amp;YEAR($P$3)+2</f>
        <v>- Giá trị còn lại của tài sản đầu tư thêm năm 2023</v>
      </c>
      <c r="C112" s="1459"/>
      <c r="D112" s="1459"/>
      <c r="E112" s="1460"/>
      <c r="F112" s="1460"/>
      <c r="G112" s="1460"/>
      <c r="H112" s="1460"/>
      <c r="I112" s="1461"/>
      <c r="J112" s="1461"/>
      <c r="K112" s="1461"/>
      <c r="L112" s="1461"/>
      <c r="M112" s="1461"/>
      <c r="N112" s="1461"/>
      <c r="O112" s="1461"/>
      <c r="P112" s="1472"/>
      <c r="Q112" s="1464"/>
      <c r="R112" s="1502">
        <f>R94+R95-R263</f>
        <v>18.327288454033525</v>
      </c>
      <c r="S112" s="1502">
        <f>R112-S263</f>
        <v>17.736085600677605</v>
      </c>
      <c r="T112" s="1502">
        <f t="shared" ref="T112:Z112" si="77">S112-T263</f>
        <v>17.144882747321684</v>
      </c>
      <c r="U112" s="1502">
        <f t="shared" si="77"/>
        <v>16.553679893965764</v>
      </c>
      <c r="V112" s="1502">
        <f t="shared" si="77"/>
        <v>15.962477040609844</v>
      </c>
      <c r="W112" s="1502">
        <f t="shared" si="77"/>
        <v>15.371274187253924</v>
      </c>
      <c r="X112" s="1502">
        <f t="shared" si="77"/>
        <v>14.780071333898004</v>
      </c>
      <c r="Y112" s="1502">
        <f t="shared" si="77"/>
        <v>14.188868480542084</v>
      </c>
      <c r="Z112" s="1502">
        <f t="shared" si="77"/>
        <v>13.597665627186164</v>
      </c>
      <c r="AA112" s="1502"/>
      <c r="AB112" s="1502"/>
      <c r="AC112" s="1502"/>
      <c r="AD112" s="1502"/>
      <c r="AE112" s="1502"/>
      <c r="AF112" s="1502"/>
      <c r="AG112" s="1502"/>
      <c r="AH112" s="1502"/>
      <c r="AI112" s="1502"/>
      <c r="AJ112" s="1502"/>
      <c r="AK112" s="1502"/>
      <c r="AL112" s="1502"/>
      <c r="AM112" s="1502"/>
      <c r="AN112" s="1502"/>
      <c r="AO112" s="1502"/>
      <c r="AP112" s="1502"/>
      <c r="AQ112" s="1502"/>
      <c r="AR112" s="1502"/>
      <c r="AS112" s="1502"/>
      <c r="AT112" s="1502"/>
      <c r="AU112" s="1502"/>
      <c r="AV112" s="1502"/>
      <c r="AW112" s="1502"/>
      <c r="AX112" s="1502"/>
      <c r="AY112" s="1464"/>
      <c r="AZ112" s="1464"/>
      <c r="BA112" s="1464"/>
      <c r="BB112" s="1465"/>
      <c r="BC112" s="1466"/>
      <c r="BD112" s="1466"/>
      <c r="BE112" s="1466"/>
    </row>
    <row r="113" spans="2:57" s="1458" customFormat="1" ht="21.75" customHeight="1" x14ac:dyDescent="0.3">
      <c r="B113" s="1481" t="str">
        <f>"- Giá trị còn lại của tài sản đầu tư thêm năm "&amp;YEAR($P$3)+3</f>
        <v>- Giá trị còn lại của tài sản đầu tư thêm năm 2024</v>
      </c>
      <c r="C113" s="1459"/>
      <c r="D113" s="1459"/>
      <c r="E113" s="1460"/>
      <c r="F113" s="1460"/>
      <c r="G113" s="1460"/>
      <c r="H113" s="1460"/>
      <c r="I113" s="1461"/>
      <c r="J113" s="1461"/>
      <c r="K113" s="1461"/>
      <c r="L113" s="1461"/>
      <c r="M113" s="1461"/>
      <c r="N113" s="1461"/>
      <c r="O113" s="1461"/>
      <c r="P113" s="1472"/>
      <c r="Q113" s="1464"/>
      <c r="R113" s="1464"/>
      <c r="S113" s="1502">
        <f>S94+S95-S264</f>
        <v>4.1076462440735293</v>
      </c>
      <c r="T113" s="1502">
        <f>S113-T264</f>
        <v>3.9751415265227701</v>
      </c>
      <c r="U113" s="1502">
        <f t="shared" ref="U113:Z113" si="78">T113-U264</f>
        <v>3.8426368089720109</v>
      </c>
      <c r="V113" s="1502">
        <f t="shared" si="78"/>
        <v>3.7101320914212517</v>
      </c>
      <c r="W113" s="1502">
        <f t="shared" si="78"/>
        <v>3.5776273738704925</v>
      </c>
      <c r="X113" s="1502">
        <f t="shared" si="78"/>
        <v>3.4451226563197332</v>
      </c>
      <c r="Y113" s="1502">
        <f t="shared" si="78"/>
        <v>3.312617938768974</v>
      </c>
      <c r="Z113" s="1502">
        <f t="shared" si="78"/>
        <v>3.1801132212182148</v>
      </c>
      <c r="AA113" s="1502"/>
      <c r="AB113" s="1502"/>
      <c r="AC113" s="1502"/>
      <c r="AD113" s="1502"/>
      <c r="AE113" s="1502"/>
      <c r="AF113" s="1502"/>
      <c r="AG113" s="1502"/>
      <c r="AH113" s="1502"/>
      <c r="AI113" s="1502"/>
      <c r="AJ113" s="1502"/>
      <c r="AK113" s="1502"/>
      <c r="AL113" s="1502"/>
      <c r="AM113" s="1502"/>
      <c r="AN113" s="1502"/>
      <c r="AO113" s="1502"/>
      <c r="AP113" s="1502"/>
      <c r="AQ113" s="1502"/>
      <c r="AR113" s="1502"/>
      <c r="AS113" s="1502"/>
      <c r="AT113" s="1502"/>
      <c r="AU113" s="1502"/>
      <c r="AV113" s="1502"/>
      <c r="AW113" s="1502"/>
      <c r="AX113" s="1502"/>
      <c r="AY113" s="1502"/>
      <c r="AZ113" s="1502"/>
      <c r="BA113" s="1502"/>
      <c r="BB113" s="1465"/>
      <c r="BC113" s="1466"/>
      <c r="BD113" s="1466"/>
      <c r="BE113" s="1466"/>
    </row>
    <row r="114" spans="2:57" s="1458" customFormat="1" ht="25.5" customHeight="1" x14ac:dyDescent="0.3">
      <c r="B114" s="1481" t="str">
        <f>"- Giá trị còn lại của tài sản đầu tư thêm năm "&amp;YEAR($P$3)+4</f>
        <v>- Giá trị còn lại của tài sản đầu tư thêm năm 2025</v>
      </c>
      <c r="C114" s="1459"/>
      <c r="D114" s="1459"/>
      <c r="E114" s="1460"/>
      <c r="F114" s="1460"/>
      <c r="G114" s="1460"/>
      <c r="H114" s="1460"/>
      <c r="I114" s="1461"/>
      <c r="J114" s="1461"/>
      <c r="K114" s="1461"/>
      <c r="L114" s="1461"/>
      <c r="M114" s="1461"/>
      <c r="N114" s="1461"/>
      <c r="O114" s="1461"/>
      <c r="P114" s="1472"/>
      <c r="Q114" s="1464"/>
      <c r="R114" s="1464"/>
      <c r="S114" s="1464"/>
      <c r="T114" s="1502">
        <f>T94+T95-T265</f>
        <v>4.6441899944568483</v>
      </c>
      <c r="U114" s="1502">
        <f>T114-U265</f>
        <v>4.4943774139904988</v>
      </c>
      <c r="V114" s="1502">
        <f t="shared" ref="V114:Z114" si="79">U114-V265</f>
        <v>4.3445648335241493</v>
      </c>
      <c r="W114" s="1502">
        <f t="shared" si="79"/>
        <v>4.1947522530577999</v>
      </c>
      <c r="X114" s="1502">
        <f t="shared" si="79"/>
        <v>4.0449396725914504</v>
      </c>
      <c r="Y114" s="1502">
        <f t="shared" si="79"/>
        <v>3.8951270921251004</v>
      </c>
      <c r="Z114" s="1502">
        <f t="shared" si="79"/>
        <v>3.7453145116587505</v>
      </c>
      <c r="AA114" s="1502"/>
      <c r="AB114" s="1502"/>
      <c r="AC114" s="1502"/>
      <c r="AD114" s="1502"/>
      <c r="AE114" s="1502"/>
      <c r="AF114" s="1502"/>
      <c r="AG114" s="1502"/>
      <c r="AH114" s="1502"/>
      <c r="AI114" s="1502"/>
      <c r="AJ114" s="1502"/>
      <c r="AK114" s="1502"/>
      <c r="AL114" s="1502"/>
      <c r="AM114" s="1502"/>
      <c r="AN114" s="1502"/>
      <c r="AO114" s="1502"/>
      <c r="AP114" s="1502"/>
      <c r="AQ114" s="1502"/>
      <c r="AR114" s="1502"/>
      <c r="AS114" s="1502"/>
      <c r="AT114" s="1502"/>
      <c r="AU114" s="1502"/>
      <c r="AV114" s="1502"/>
      <c r="AW114" s="1502"/>
      <c r="AX114" s="1502"/>
      <c r="AY114" s="1502"/>
      <c r="AZ114" s="1502"/>
      <c r="BA114" s="1502"/>
      <c r="BB114" s="1465"/>
      <c r="BC114" s="1466"/>
      <c r="BD114" s="1466"/>
      <c r="BE114" s="1466"/>
    </row>
    <row r="115" spans="2:57" s="1458" customFormat="1" ht="24.75" customHeight="1" x14ac:dyDescent="0.3">
      <c r="B115" s="1481" t="str">
        <f>"- Giá trị còn lại của tài sản đầu tư thêm năm "&amp;YEAR($P$3)+5</f>
        <v>- Giá trị còn lại của tài sản đầu tư thêm năm 2026</v>
      </c>
      <c r="C115" s="1459"/>
      <c r="D115" s="1459"/>
      <c r="E115" s="1460"/>
      <c r="F115" s="1460"/>
      <c r="G115" s="1460"/>
      <c r="H115" s="1460"/>
      <c r="I115" s="1461"/>
      <c r="J115" s="1461"/>
      <c r="K115" s="1461"/>
      <c r="L115" s="1461"/>
      <c r="M115" s="1461"/>
      <c r="N115" s="1461"/>
      <c r="O115" s="1461"/>
      <c r="P115" s="1472"/>
      <c r="Q115" s="1464"/>
      <c r="R115" s="1464"/>
      <c r="S115" s="1464"/>
      <c r="T115" s="1464"/>
      <c r="U115" s="1502">
        <f>U94+U95-U266</f>
        <v>4.4818640959026386</v>
      </c>
      <c r="V115" s="1502">
        <f>U115-V266</f>
        <v>4.0744219053660347</v>
      </c>
      <c r="W115" s="1502">
        <f t="shared" ref="W115:Z115" si="80">V115-W266</f>
        <v>3.6669797148294312</v>
      </c>
      <c r="X115" s="1502">
        <f t="shared" si="80"/>
        <v>3.2595375242928277</v>
      </c>
      <c r="Y115" s="1502">
        <f t="shared" si="80"/>
        <v>2.8520953337562243</v>
      </c>
      <c r="Z115" s="1502">
        <f t="shared" si="80"/>
        <v>2.4446531432196208</v>
      </c>
      <c r="AA115" s="1502"/>
      <c r="AB115" s="1502"/>
      <c r="AC115" s="1502"/>
      <c r="AD115" s="1502"/>
      <c r="AE115" s="1502"/>
      <c r="AF115" s="1502"/>
      <c r="AG115" s="1502"/>
      <c r="AH115" s="1502"/>
      <c r="AI115" s="1502"/>
      <c r="AJ115" s="1502"/>
      <c r="AK115" s="1502"/>
      <c r="AL115" s="1502"/>
      <c r="AM115" s="1502"/>
      <c r="AN115" s="1502"/>
      <c r="AO115" s="1502"/>
      <c r="AP115" s="1502"/>
      <c r="AQ115" s="1502"/>
      <c r="AR115" s="1502"/>
      <c r="AS115" s="1502"/>
      <c r="AT115" s="1502"/>
      <c r="AU115" s="1502"/>
      <c r="AV115" s="1502"/>
      <c r="AW115" s="1502"/>
      <c r="AX115" s="1502"/>
      <c r="AY115" s="1502"/>
      <c r="AZ115" s="1502"/>
      <c r="BA115" s="1502"/>
      <c r="BB115" s="1465"/>
      <c r="BC115" s="1466"/>
      <c r="BD115" s="1466"/>
      <c r="BE115" s="1466"/>
    </row>
    <row r="116" spans="2:57" s="1458" customFormat="1" ht="25.5" customHeight="1" x14ac:dyDescent="0.3">
      <c r="B116" s="1481" t="str">
        <f>"- Giá trị còn lại của tài sản đầu tư thêm năm "&amp;YEAR($P$3)+6</f>
        <v>- Giá trị còn lại của tài sản đầu tư thêm năm 2027</v>
      </c>
      <c r="C116" s="1459"/>
      <c r="D116" s="1459"/>
      <c r="E116" s="1460"/>
      <c r="F116" s="1460"/>
      <c r="G116" s="1460"/>
      <c r="H116" s="1460"/>
      <c r="I116" s="1461"/>
      <c r="J116" s="1461"/>
      <c r="K116" s="1461"/>
      <c r="L116" s="1461"/>
      <c r="M116" s="1461"/>
      <c r="N116" s="1461"/>
      <c r="O116" s="1461"/>
      <c r="P116" s="1472"/>
      <c r="Q116" s="1464"/>
      <c r="R116" s="1464"/>
      <c r="S116" s="1464"/>
      <c r="T116" s="1464"/>
      <c r="U116" s="1464"/>
      <c r="V116" s="1502">
        <f>V94+V95-V267</f>
        <v>5.0951866625118729</v>
      </c>
      <c r="W116" s="1502">
        <f>V116-W267</f>
        <v>4.9308258024308449</v>
      </c>
      <c r="X116" s="1502">
        <f t="shared" ref="X116:Z116" si="81">W116-X267</f>
        <v>4.7664649423498169</v>
      </c>
      <c r="Y116" s="1502">
        <f t="shared" si="81"/>
        <v>4.6021040822687889</v>
      </c>
      <c r="Z116" s="1502">
        <f t="shared" si="81"/>
        <v>4.4377432221877608</v>
      </c>
      <c r="AA116" s="1502"/>
      <c r="AB116" s="1502"/>
      <c r="AC116" s="1502"/>
      <c r="AD116" s="1502"/>
      <c r="AE116" s="1502"/>
      <c r="AF116" s="1502"/>
      <c r="AG116" s="1502"/>
      <c r="AH116" s="1502"/>
      <c r="AI116" s="1502"/>
      <c r="AJ116" s="1502"/>
      <c r="AK116" s="1502"/>
      <c r="AL116" s="1502"/>
      <c r="AM116" s="1502"/>
      <c r="AN116" s="1502"/>
      <c r="AO116" s="1502"/>
      <c r="AP116" s="1502"/>
      <c r="AQ116" s="1502"/>
      <c r="AR116" s="1502"/>
      <c r="AS116" s="1502"/>
      <c r="AT116" s="1502"/>
      <c r="AU116" s="1502"/>
      <c r="AV116" s="1502"/>
      <c r="AW116" s="1502"/>
      <c r="AX116" s="1502"/>
      <c r="AY116" s="1502"/>
      <c r="AZ116" s="1502"/>
      <c r="BA116" s="1502"/>
      <c r="BB116" s="1465"/>
      <c r="BC116" s="1466"/>
      <c r="BD116" s="1466"/>
      <c r="BE116" s="1466"/>
    </row>
    <row r="117" spans="2:57" s="1458" customFormat="1" ht="23.25" customHeight="1" x14ac:dyDescent="0.3">
      <c r="B117" s="1481" t="str">
        <f>"- Giá trị còn lại của tài sản đầu tư thêm năm "&amp;YEAR($P$3)+7</f>
        <v>- Giá trị còn lại của tài sản đầu tư thêm năm 2028</v>
      </c>
      <c r="C117" s="1459"/>
      <c r="D117" s="1459"/>
      <c r="E117" s="1460"/>
      <c r="F117" s="1460"/>
      <c r="G117" s="1460"/>
      <c r="H117" s="1460"/>
      <c r="I117" s="1461"/>
      <c r="J117" s="1461"/>
      <c r="K117" s="1461"/>
      <c r="L117" s="1461"/>
      <c r="M117" s="1461"/>
      <c r="N117" s="1461"/>
      <c r="O117" s="1461"/>
      <c r="P117" s="1472"/>
      <c r="Q117" s="1464"/>
      <c r="R117" s="1464"/>
      <c r="S117" s="1464"/>
      <c r="T117" s="1464"/>
      <c r="U117" s="1464"/>
      <c r="V117" s="1464"/>
      <c r="W117" s="1502">
        <f>W94+W95-W268</f>
        <v>5.5612866628687012</v>
      </c>
      <c r="X117" s="1502">
        <f>W117-X268</f>
        <v>5.381890318905195</v>
      </c>
      <c r="Y117" s="1502">
        <f t="shared" ref="Y117:Z117" si="82">X117-Y268</f>
        <v>5.2024939749416887</v>
      </c>
      <c r="Z117" s="1502">
        <f t="shared" si="82"/>
        <v>5.0230976309781825</v>
      </c>
      <c r="AA117" s="1502"/>
      <c r="AB117" s="1502"/>
      <c r="AC117" s="1502"/>
      <c r="AD117" s="1502"/>
      <c r="AE117" s="1502"/>
      <c r="AF117" s="1502"/>
      <c r="AG117" s="1502"/>
      <c r="AH117" s="1502"/>
      <c r="AI117" s="1502"/>
      <c r="AJ117" s="1502"/>
      <c r="AK117" s="1502"/>
      <c r="AL117" s="1502"/>
      <c r="AM117" s="1502"/>
      <c r="AN117" s="1502"/>
      <c r="AO117" s="1502"/>
      <c r="AP117" s="1502"/>
      <c r="AQ117" s="1502"/>
      <c r="AR117" s="1502"/>
      <c r="AS117" s="1502"/>
      <c r="AT117" s="1502"/>
      <c r="AU117" s="1502"/>
      <c r="AV117" s="1502"/>
      <c r="AW117" s="1502"/>
      <c r="AX117" s="1502"/>
      <c r="AY117" s="1502"/>
      <c r="AZ117" s="1502"/>
      <c r="BA117" s="1502"/>
      <c r="BB117" s="1465"/>
      <c r="BC117" s="1466"/>
      <c r="BD117" s="1466"/>
      <c r="BE117" s="1466"/>
    </row>
    <row r="118" spans="2:57" s="1458" customFormat="1" ht="26.25" customHeight="1" x14ac:dyDescent="0.3">
      <c r="B118" s="1481" t="str">
        <f>"- Giá trị còn lại của tài sản đầu tư thêm năm "&amp;YEAR($P$3)+8</f>
        <v>- Giá trị còn lại của tài sản đầu tư thêm năm 2029</v>
      </c>
      <c r="C118" s="1459"/>
      <c r="D118" s="1459"/>
      <c r="E118" s="1460"/>
      <c r="F118" s="1460"/>
      <c r="G118" s="1460"/>
      <c r="H118" s="1460"/>
      <c r="I118" s="1461"/>
      <c r="J118" s="1461"/>
      <c r="K118" s="1461"/>
      <c r="L118" s="1461"/>
      <c r="M118" s="1461"/>
      <c r="N118" s="1461"/>
      <c r="O118" s="1461"/>
      <c r="P118" s="1472"/>
      <c r="Q118" s="1464"/>
      <c r="R118" s="1464"/>
      <c r="S118" s="1464"/>
      <c r="T118" s="1464"/>
      <c r="U118" s="1464"/>
      <c r="V118" s="1464"/>
      <c r="W118" s="1464"/>
      <c r="X118" s="1502">
        <f>X94+X95-X269</f>
        <v>4.8216166287412197</v>
      </c>
      <c r="Y118" s="1502">
        <f>X118-Y269</f>
        <v>4.6660806084592448</v>
      </c>
      <c r="Z118" s="1502">
        <f>Y118-Z269</f>
        <v>4.5105445881772699</v>
      </c>
      <c r="AA118" s="1502"/>
      <c r="AB118" s="1502"/>
      <c r="AC118" s="1502"/>
      <c r="AD118" s="1502"/>
      <c r="AE118" s="1502"/>
      <c r="AF118" s="1502"/>
      <c r="AG118" s="1502"/>
      <c r="AH118" s="1502"/>
      <c r="AI118" s="1502"/>
      <c r="AJ118" s="1502"/>
      <c r="AK118" s="1502"/>
      <c r="AL118" s="1502"/>
      <c r="AM118" s="1502"/>
      <c r="AN118" s="1502"/>
      <c r="AO118" s="1502"/>
      <c r="AP118" s="1502"/>
      <c r="AQ118" s="1502"/>
      <c r="AR118" s="1502"/>
      <c r="AS118" s="1502"/>
      <c r="AT118" s="1502"/>
      <c r="AU118" s="1502"/>
      <c r="AV118" s="1502"/>
      <c r="AW118" s="1502"/>
      <c r="AX118" s="1502"/>
      <c r="AY118" s="1502"/>
      <c r="AZ118" s="1502"/>
      <c r="BA118" s="1502"/>
      <c r="BB118" s="1465"/>
      <c r="BC118" s="1466"/>
      <c r="BD118" s="1466"/>
      <c r="BE118" s="1466"/>
    </row>
    <row r="119" spans="2:57" s="1458" customFormat="1" ht="33" customHeight="1" x14ac:dyDescent="0.3">
      <c r="B119" s="1481" t="str">
        <f>"- Giá trị còn lại của tài sản đầu tư thêm năm "&amp;YEAR($P$3)+9</f>
        <v>- Giá trị còn lại của tài sản đầu tư thêm năm 2030</v>
      </c>
      <c r="C119" s="1459"/>
      <c r="D119" s="1459"/>
      <c r="E119" s="1460"/>
      <c r="F119" s="1460"/>
      <c r="G119" s="1460"/>
      <c r="H119" s="1460"/>
      <c r="I119" s="1461"/>
      <c r="J119" s="1461"/>
      <c r="K119" s="1461"/>
      <c r="L119" s="1461"/>
      <c r="M119" s="1461"/>
      <c r="N119" s="1461"/>
      <c r="O119" s="1461"/>
      <c r="P119" s="1472"/>
      <c r="Q119" s="1464"/>
      <c r="R119" s="1464"/>
      <c r="S119" s="1464"/>
      <c r="T119" s="1464"/>
      <c r="U119" s="1464"/>
      <c r="V119" s="1464"/>
      <c r="W119" s="1464"/>
      <c r="X119" s="1464"/>
      <c r="Y119" s="1502">
        <f>Y94+Y95-Y270</f>
        <v>5.0257813940214238</v>
      </c>
      <c r="Z119" s="1502">
        <f>Y119-Z270</f>
        <v>4.8636594135691196</v>
      </c>
      <c r="AA119" s="1502"/>
      <c r="AB119" s="1502"/>
      <c r="AC119" s="1502"/>
      <c r="AD119" s="1502"/>
      <c r="AE119" s="1502"/>
      <c r="AF119" s="1502"/>
      <c r="AG119" s="1502"/>
      <c r="AH119" s="1502"/>
      <c r="AI119" s="1502"/>
      <c r="AJ119" s="1502"/>
      <c r="AK119" s="1502"/>
      <c r="AL119" s="1502"/>
      <c r="AM119" s="1502"/>
      <c r="AN119" s="1502"/>
      <c r="AO119" s="1502"/>
      <c r="AP119" s="1502"/>
      <c r="AQ119" s="1502"/>
      <c r="AR119" s="1502"/>
      <c r="AS119" s="1502"/>
      <c r="AT119" s="1502"/>
      <c r="AU119" s="1502"/>
      <c r="AV119" s="1502"/>
      <c r="AW119" s="1502"/>
      <c r="AX119" s="1502"/>
      <c r="AY119" s="1502"/>
      <c r="AZ119" s="1502"/>
      <c r="BA119" s="1502"/>
      <c r="BB119" s="1465"/>
      <c r="BC119" s="1466"/>
      <c r="BD119" s="1466"/>
      <c r="BE119" s="1466"/>
    </row>
    <row r="120" spans="2:57" s="1458" customFormat="1" ht="36" customHeight="1" x14ac:dyDescent="0.3">
      <c r="B120" s="1481" t="str">
        <f>"- Giá trị còn lại của tài sản đầu tư thêm năm "&amp;YEAR($P$3)+10</f>
        <v>- Giá trị còn lại của tài sản đầu tư thêm năm 2031</v>
      </c>
      <c r="C120" s="1459"/>
      <c r="D120" s="1459"/>
      <c r="E120" s="1460"/>
      <c r="F120" s="1460"/>
      <c r="G120" s="1460"/>
      <c r="H120" s="1460"/>
      <c r="I120" s="1461"/>
      <c r="J120" s="1461"/>
      <c r="K120" s="1461"/>
      <c r="L120" s="1461"/>
      <c r="M120" s="1461"/>
      <c r="N120" s="1461"/>
      <c r="O120" s="1461"/>
      <c r="P120" s="1472"/>
      <c r="Q120" s="1464"/>
      <c r="R120" s="1464"/>
      <c r="S120" s="1464"/>
      <c r="T120" s="1464"/>
      <c r="U120" s="1464"/>
      <c r="V120" s="1464"/>
      <c r="W120" s="1464"/>
      <c r="X120" s="1464"/>
      <c r="Y120" s="1464"/>
      <c r="Z120" s="1502">
        <f>Z94+Z95-Z271</f>
        <v>5.2486309669264104</v>
      </c>
      <c r="AA120" s="1502"/>
      <c r="AB120" s="1502"/>
      <c r="AC120" s="1502"/>
      <c r="AD120" s="1502"/>
      <c r="AE120" s="1502"/>
      <c r="AF120" s="1502"/>
      <c r="AG120" s="1502"/>
      <c r="AH120" s="1502"/>
      <c r="AI120" s="1502"/>
      <c r="AJ120" s="1502"/>
      <c r="AK120" s="1502"/>
      <c r="AL120" s="1502"/>
      <c r="AM120" s="1502"/>
      <c r="AN120" s="1502"/>
      <c r="AO120" s="1502"/>
      <c r="AP120" s="1502"/>
      <c r="AQ120" s="1502"/>
      <c r="AR120" s="1502"/>
      <c r="AS120" s="1502"/>
      <c r="AT120" s="1502"/>
      <c r="AU120" s="1502"/>
      <c r="AV120" s="1502"/>
      <c r="AW120" s="1502"/>
      <c r="AX120" s="1502"/>
      <c r="AY120" s="1502"/>
      <c r="AZ120" s="1502"/>
      <c r="BA120" s="1502"/>
      <c r="BB120" s="1502"/>
      <c r="BC120" s="1466"/>
      <c r="BD120" s="1466"/>
      <c r="BE120" s="1466"/>
    </row>
    <row r="121" spans="2:57" s="1458" customFormat="1" ht="28.5" customHeight="1" x14ac:dyDescent="0.3">
      <c r="B121" s="1481" t="str">
        <f>"- Giá trị còn lại của tài sản đầu tư thêm năm "&amp;YEAR($P$3)+11</f>
        <v>- Giá trị còn lại của tài sản đầu tư thêm năm 2032</v>
      </c>
      <c r="C121" s="1459"/>
      <c r="D121" s="1459"/>
      <c r="E121" s="1460"/>
      <c r="F121" s="1460"/>
      <c r="G121" s="1460"/>
      <c r="H121" s="1460"/>
      <c r="I121" s="1461"/>
      <c r="J121" s="1461"/>
      <c r="K121" s="1461"/>
      <c r="L121" s="1461"/>
      <c r="M121" s="1461"/>
      <c r="N121" s="1461"/>
      <c r="O121" s="1461"/>
      <c r="P121" s="1472"/>
      <c r="Q121" s="1464"/>
      <c r="R121" s="1464"/>
      <c r="S121" s="1464"/>
      <c r="T121" s="1464"/>
      <c r="U121" s="1464"/>
      <c r="V121" s="1464"/>
      <c r="W121" s="1464"/>
      <c r="X121" s="1464"/>
      <c r="Y121" s="1464"/>
      <c r="Z121" s="1464"/>
      <c r="AA121" s="1502"/>
      <c r="AB121" s="1502"/>
      <c r="AC121" s="1502"/>
      <c r="AD121" s="1502"/>
      <c r="AE121" s="1502"/>
      <c r="AF121" s="1502"/>
      <c r="AG121" s="1502"/>
      <c r="AH121" s="1502"/>
      <c r="AI121" s="1502"/>
      <c r="AJ121" s="1502"/>
      <c r="AK121" s="1502"/>
      <c r="AL121" s="1502"/>
      <c r="AM121" s="1502"/>
      <c r="AN121" s="1502"/>
      <c r="AO121" s="1502"/>
      <c r="AP121" s="1502"/>
      <c r="AQ121" s="1502"/>
      <c r="AR121" s="1502"/>
      <c r="AS121" s="1502"/>
      <c r="AT121" s="1502"/>
      <c r="AU121" s="1502"/>
      <c r="AV121" s="1502"/>
      <c r="AW121" s="1502"/>
      <c r="AX121" s="1502"/>
      <c r="AY121" s="1502"/>
      <c r="AZ121" s="1502"/>
      <c r="BA121" s="1502"/>
      <c r="BB121" s="1465"/>
      <c r="BC121" s="1466"/>
      <c r="BD121" s="1466"/>
      <c r="BE121" s="1466"/>
    </row>
    <row r="122" spans="2:57" s="522" customFormat="1" x14ac:dyDescent="0.3">
      <c r="B122" s="1482"/>
      <c r="C122" s="1482"/>
      <c r="D122" s="1482"/>
      <c r="E122" s="1483"/>
      <c r="F122" s="1483"/>
      <c r="G122" s="1483"/>
      <c r="H122" s="122"/>
      <c r="I122" s="122"/>
      <c r="J122" s="122"/>
      <c r="K122" s="122"/>
      <c r="L122" s="122"/>
      <c r="M122" s="122"/>
      <c r="N122" s="122"/>
      <c r="O122" s="122"/>
      <c r="P122" s="1487"/>
      <c r="Q122" s="122"/>
      <c r="R122" s="122"/>
      <c r="S122" s="122"/>
      <c r="T122" s="122"/>
      <c r="U122" s="122"/>
      <c r="V122" s="122"/>
      <c r="W122" s="122"/>
      <c r="X122" s="122"/>
      <c r="Y122" s="122"/>
      <c r="Z122" s="122"/>
      <c r="AA122" s="122"/>
      <c r="AB122" s="122"/>
      <c r="AC122" s="122"/>
      <c r="AD122" s="122"/>
      <c r="AE122" s="122"/>
      <c r="AF122" s="122"/>
      <c r="AG122" s="122"/>
      <c r="AH122" s="122"/>
      <c r="AI122" s="122"/>
      <c r="AJ122" s="122"/>
      <c r="AK122" s="122"/>
      <c r="AL122" s="122"/>
      <c r="AM122" s="122"/>
      <c r="AN122" s="122"/>
      <c r="AO122" s="122"/>
      <c r="AP122" s="122"/>
      <c r="AQ122" s="122"/>
      <c r="AR122" s="122"/>
      <c r="AS122" s="122"/>
      <c r="AT122" s="122"/>
      <c r="AU122" s="122"/>
      <c r="AV122" s="122"/>
      <c r="AW122" s="122"/>
      <c r="AX122" s="122"/>
      <c r="AY122" s="122"/>
      <c r="AZ122" s="122"/>
      <c r="BA122" s="122"/>
      <c r="BB122" s="1387"/>
      <c r="BC122" s="466"/>
      <c r="BD122" s="466"/>
      <c r="BE122" s="466"/>
    </row>
    <row r="123" spans="2:57" s="1510" customFormat="1" x14ac:dyDescent="0.3">
      <c r="B123" s="1430" t="s">
        <v>1568</v>
      </c>
      <c r="C123" s="1503"/>
      <c r="D123" s="1503"/>
      <c r="E123" s="1504"/>
      <c r="F123" s="1504"/>
      <c r="G123" s="1504"/>
      <c r="H123" s="1505"/>
      <c r="I123" s="1505"/>
      <c r="J123" s="1505"/>
      <c r="K123" s="1505"/>
      <c r="L123" s="1505"/>
      <c r="M123" s="1506"/>
      <c r="N123" s="1506"/>
      <c r="O123" s="1506"/>
      <c r="P123" s="1507"/>
      <c r="Q123" s="1506"/>
      <c r="R123" s="1506"/>
      <c r="S123" s="1506"/>
      <c r="T123" s="1506"/>
      <c r="U123" s="1506"/>
      <c r="V123" s="1506"/>
      <c r="W123" s="1506"/>
      <c r="X123" s="1506"/>
      <c r="Y123" s="1506"/>
      <c r="Z123" s="1506"/>
      <c r="AA123" s="1506"/>
      <c r="AB123" s="1506"/>
      <c r="AC123" s="1506"/>
      <c r="AD123" s="1506"/>
      <c r="AE123" s="1506"/>
      <c r="AF123" s="1506"/>
      <c r="AG123" s="1506"/>
      <c r="AH123" s="1506"/>
      <c r="AI123" s="1506"/>
      <c r="AJ123" s="1506"/>
      <c r="AK123" s="1506"/>
      <c r="AL123" s="1506"/>
      <c r="AM123" s="1506"/>
      <c r="AN123" s="1506"/>
      <c r="AO123" s="1506"/>
      <c r="AP123" s="1506"/>
      <c r="AQ123" s="1506"/>
      <c r="AR123" s="1506"/>
      <c r="AS123" s="1506"/>
      <c r="AT123" s="1506"/>
      <c r="AU123" s="1506"/>
      <c r="AV123" s="1506"/>
      <c r="AW123" s="1506"/>
      <c r="AX123" s="1506"/>
      <c r="AY123" s="1506"/>
      <c r="AZ123" s="1506"/>
      <c r="BA123" s="1506"/>
      <c r="BB123" s="1508"/>
      <c r="BC123" s="1509"/>
      <c r="BD123" s="1509"/>
      <c r="BE123" s="1509"/>
    </row>
    <row r="124" spans="2:57" s="522" customFormat="1" x14ac:dyDescent="0.3">
      <c r="B124" s="1426" t="s">
        <v>1553</v>
      </c>
      <c r="C124" s="1426"/>
      <c r="D124" s="1426"/>
      <c r="E124" s="1434"/>
      <c r="F124" s="155"/>
      <c r="G124" s="1434"/>
      <c r="H124" s="122"/>
      <c r="I124" s="122"/>
      <c r="J124" s="122"/>
      <c r="K124" s="122"/>
      <c r="L124" s="122"/>
      <c r="M124" s="122"/>
      <c r="N124" s="122"/>
      <c r="O124" s="122"/>
      <c r="P124" s="1487"/>
      <c r="Q124" s="122"/>
      <c r="R124" s="122"/>
      <c r="S124" s="122"/>
      <c r="T124" s="122"/>
      <c r="U124" s="122"/>
      <c r="V124" s="122"/>
      <c r="W124" s="122"/>
      <c r="X124" s="122"/>
      <c r="Y124" s="122"/>
      <c r="Z124" s="122"/>
      <c r="AA124" s="122"/>
      <c r="AB124" s="122"/>
      <c r="AC124" s="122"/>
      <c r="AD124" s="122"/>
      <c r="AE124" s="122"/>
      <c r="AF124" s="122"/>
      <c r="AG124" s="122"/>
      <c r="AH124" s="122"/>
      <c r="AI124" s="122"/>
      <c r="AJ124" s="122"/>
      <c r="AK124" s="122"/>
      <c r="AL124" s="122"/>
      <c r="AM124" s="122"/>
      <c r="AN124" s="122"/>
      <c r="AO124" s="122"/>
      <c r="AP124" s="122"/>
      <c r="AQ124" s="122"/>
      <c r="AR124" s="122"/>
      <c r="AS124" s="122"/>
      <c r="AT124" s="122"/>
      <c r="AU124" s="122"/>
      <c r="AV124" s="122"/>
      <c r="AW124" s="122"/>
      <c r="AX124" s="122"/>
      <c r="AY124" s="122"/>
      <c r="AZ124" s="122"/>
      <c r="BA124" s="122"/>
      <c r="BB124" s="1387"/>
      <c r="BC124" s="466"/>
      <c r="BD124" s="466"/>
      <c r="BE124" s="466"/>
    </row>
    <row r="125" spans="2:57" s="522" customFormat="1" x14ac:dyDescent="0.3">
      <c r="B125" s="1437" t="s">
        <v>1554</v>
      </c>
      <c r="C125" s="1438"/>
      <c r="D125" s="1438"/>
      <c r="E125" s="1439"/>
      <c r="F125" s="1439"/>
      <c r="G125" s="1439"/>
      <c r="H125" s="122"/>
      <c r="I125" s="1440"/>
      <c r="J125" s="1441">
        <f>'BS Raw'!I62</f>
        <v>0</v>
      </c>
      <c r="K125" s="1441">
        <f>'BS Raw'!J62</f>
        <v>0</v>
      </c>
      <c r="L125" s="1441">
        <f>'BS Raw'!K62</f>
        <v>0</v>
      </c>
      <c r="M125" s="1441">
        <f>'BS Raw'!L62</f>
        <v>0</v>
      </c>
      <c r="N125" s="1441">
        <f>'BS Raw'!M62</f>
        <v>0</v>
      </c>
      <c r="O125" s="1441">
        <f>'BS Raw'!N62</f>
        <v>0</v>
      </c>
      <c r="P125" s="1574">
        <f>'BS Raw'!O62</f>
        <v>0</v>
      </c>
      <c r="Q125" s="1442">
        <f>P130</f>
        <v>0</v>
      </c>
      <c r="R125" s="1442">
        <f>Q130</f>
        <v>0</v>
      </c>
      <c r="S125" s="1442">
        <f t="shared" ref="S125:Z125" si="83">R130</f>
        <v>0</v>
      </c>
      <c r="T125" s="1442">
        <f t="shared" si="83"/>
        <v>0</v>
      </c>
      <c r="U125" s="1442">
        <f t="shared" si="83"/>
        <v>0</v>
      </c>
      <c r="V125" s="1442">
        <f t="shared" si="83"/>
        <v>0</v>
      </c>
      <c r="W125" s="1442">
        <f t="shared" si="83"/>
        <v>0</v>
      </c>
      <c r="X125" s="1442">
        <f t="shared" si="83"/>
        <v>0</v>
      </c>
      <c r="Y125" s="1442">
        <f t="shared" si="83"/>
        <v>0</v>
      </c>
      <c r="Z125" s="1442">
        <f t="shared" si="83"/>
        <v>0</v>
      </c>
      <c r="AA125" s="1442"/>
      <c r="AB125" s="1442"/>
      <c r="AC125" s="1442"/>
      <c r="AD125" s="1442"/>
      <c r="AE125" s="1442"/>
      <c r="AF125" s="1442"/>
      <c r="AG125" s="1442"/>
      <c r="AH125" s="1442"/>
      <c r="AI125" s="1442"/>
      <c r="AJ125" s="1442"/>
      <c r="AK125" s="1442"/>
      <c r="AL125" s="1442"/>
      <c r="AM125" s="1442"/>
      <c r="AN125" s="1442"/>
      <c r="AO125" s="1442"/>
      <c r="AP125" s="1442"/>
      <c r="AQ125" s="1442"/>
      <c r="AR125" s="1442"/>
      <c r="AS125" s="1442"/>
      <c r="AT125" s="1442"/>
      <c r="AU125" s="1442"/>
      <c r="AV125" s="1442"/>
      <c r="AW125" s="1410"/>
      <c r="AX125" s="1410"/>
      <c r="AY125" s="1410"/>
      <c r="AZ125" s="1410"/>
      <c r="BA125" s="1410"/>
      <c r="BB125" s="1497"/>
      <c r="BC125" s="466"/>
      <c r="BD125" s="466"/>
      <c r="BE125" s="466"/>
    </row>
    <row r="126" spans="2:57" s="522" customFormat="1" x14ac:dyDescent="0.3">
      <c r="B126" s="1437" t="s">
        <v>1569</v>
      </c>
      <c r="C126" s="1438"/>
      <c r="D126" s="1438"/>
      <c r="E126" s="1439"/>
      <c r="F126" s="1439"/>
      <c r="G126" s="1439"/>
      <c r="H126" s="122"/>
      <c r="I126" s="1440"/>
      <c r="J126" s="1440"/>
      <c r="K126" s="1440"/>
      <c r="L126" s="1440"/>
      <c r="M126" s="1440"/>
      <c r="N126" s="1440"/>
      <c r="O126" s="1440"/>
      <c r="P126" s="1473"/>
      <c r="Q126" s="1442">
        <f>Q9*Q16</f>
        <v>0</v>
      </c>
      <c r="R126" s="1442">
        <f t="shared" ref="R126:Z126" si="84">R9*R16</f>
        <v>0</v>
      </c>
      <c r="S126" s="1442">
        <f t="shared" si="84"/>
        <v>0</v>
      </c>
      <c r="T126" s="1442">
        <f t="shared" si="84"/>
        <v>0</v>
      </c>
      <c r="U126" s="1442">
        <f t="shared" si="84"/>
        <v>0</v>
      </c>
      <c r="V126" s="1442">
        <f t="shared" si="84"/>
        <v>0</v>
      </c>
      <c r="W126" s="1442">
        <f t="shared" si="84"/>
        <v>0</v>
      </c>
      <c r="X126" s="1442">
        <f t="shared" si="84"/>
        <v>0</v>
      </c>
      <c r="Y126" s="1442">
        <f t="shared" si="84"/>
        <v>0</v>
      </c>
      <c r="Z126" s="1442">
        <f t="shared" si="84"/>
        <v>0</v>
      </c>
      <c r="AA126" s="1442"/>
      <c r="AB126" s="1442"/>
      <c r="AC126" s="1442"/>
      <c r="AD126" s="1442"/>
      <c r="AE126" s="1442"/>
      <c r="AF126" s="1442"/>
      <c r="AG126" s="1442"/>
      <c r="AH126" s="1442"/>
      <c r="AI126" s="1442"/>
      <c r="AJ126" s="1442"/>
      <c r="AK126" s="1442"/>
      <c r="AL126" s="1442"/>
      <c r="AM126" s="1442"/>
      <c r="AN126" s="1442"/>
      <c r="AO126" s="1442"/>
      <c r="AP126" s="1442"/>
      <c r="AQ126" s="1442"/>
      <c r="AR126" s="1442"/>
      <c r="AS126" s="1442"/>
      <c r="AT126" s="1442"/>
      <c r="AU126" s="1442"/>
      <c r="AV126" s="1442"/>
      <c r="AW126" s="1442"/>
      <c r="AX126" s="1442"/>
      <c r="AY126" s="1442"/>
      <c r="AZ126" s="1442"/>
      <c r="BA126" s="1442"/>
      <c r="BB126" s="1497"/>
      <c r="BC126" s="466"/>
      <c r="BD126" s="466"/>
      <c r="BE126" s="466"/>
    </row>
    <row r="127" spans="2:57" s="522" customFormat="1" x14ac:dyDescent="0.3">
      <c r="B127" s="1444"/>
      <c r="C127" s="1445"/>
      <c r="D127" s="1445"/>
      <c r="E127" s="1446"/>
      <c r="F127" s="1446"/>
      <c r="G127" s="1446"/>
      <c r="H127" s="1447"/>
      <c r="I127" s="1448"/>
      <c r="J127" s="1448"/>
      <c r="K127" s="1448"/>
      <c r="L127" s="1448"/>
      <c r="M127" s="1448"/>
      <c r="N127" s="1448"/>
      <c r="O127" s="1448"/>
      <c r="P127" s="1496"/>
      <c r="Q127" s="1451"/>
      <c r="R127" s="1451"/>
      <c r="S127" s="1451"/>
      <c r="T127" s="1451"/>
      <c r="U127" s="1451"/>
      <c r="V127" s="1451"/>
      <c r="W127" s="1451"/>
      <c r="X127" s="1451"/>
      <c r="Y127" s="1451"/>
      <c r="Z127" s="1451"/>
      <c r="AA127" s="1451"/>
      <c r="AB127" s="1451"/>
      <c r="AC127" s="1451"/>
      <c r="AD127" s="1451"/>
      <c r="AE127" s="1451"/>
      <c r="AF127" s="1451"/>
      <c r="AG127" s="1451"/>
      <c r="AH127" s="1451"/>
      <c r="AI127" s="1451"/>
      <c r="AJ127" s="1451"/>
      <c r="AK127" s="1451"/>
      <c r="AL127" s="1451"/>
      <c r="AM127" s="1451"/>
      <c r="AN127" s="1451"/>
      <c r="AO127" s="1451"/>
      <c r="AP127" s="1451"/>
      <c r="AQ127" s="1451"/>
      <c r="AR127" s="1451"/>
      <c r="AS127" s="1451"/>
      <c r="AT127" s="1451"/>
      <c r="AU127" s="1451"/>
      <c r="AV127" s="1451"/>
      <c r="AW127" s="1451"/>
      <c r="AX127" s="1451"/>
      <c r="AY127" s="1451"/>
      <c r="AZ127" s="1451"/>
      <c r="BA127" s="1451"/>
      <c r="BB127" s="1497"/>
      <c r="BC127" s="466"/>
      <c r="BD127" s="466"/>
      <c r="BE127" s="466"/>
    </row>
    <row r="128" spans="2:57" s="522" customFormat="1" x14ac:dyDescent="0.3">
      <c r="B128" s="1437" t="s">
        <v>1570</v>
      </c>
      <c r="C128" s="1438"/>
      <c r="D128" s="1438"/>
      <c r="E128" s="1439"/>
      <c r="F128" s="1439"/>
      <c r="G128" s="1439"/>
      <c r="H128" s="122"/>
      <c r="I128" s="1440"/>
      <c r="J128" s="1441">
        <f>IF(ISTEXT('BS Raw'!J11),('BS Raw'!J62-'BS Raw'!I62)/$B$1,'LT. Asset'!J126)</f>
        <v>0</v>
      </c>
      <c r="K128" s="1441">
        <f>IF(ISTEXT('BS Raw'!K11),('BS Raw'!K62-'BS Raw'!J62)/$B$1,'LT. Asset'!K126)</f>
        <v>0</v>
      </c>
      <c r="L128" s="1441">
        <f>IF(ISTEXT('BS Raw'!L11),('BS Raw'!L62-'BS Raw'!K62)/$B$1,'LT. Asset'!L126)</f>
        <v>0</v>
      </c>
      <c r="M128" s="1441">
        <f>IF(ISTEXT('BS Raw'!M11),('BS Raw'!M62-'BS Raw'!L62)/$B$1,'LT. Asset'!M126)</f>
        <v>0</v>
      </c>
      <c r="N128" s="1441">
        <f>IF(ISTEXT('BS Raw'!N11),('BS Raw'!N62-'BS Raw'!M62)/$B$1,'LT. Asset'!N126)</f>
        <v>0</v>
      </c>
      <c r="O128" s="1441">
        <f>IF(ISTEXT('BS Raw'!O11),('BS Raw'!O62-'BS Raw'!N62)/$B$1,'LT. Asset'!O126)</f>
        <v>0</v>
      </c>
      <c r="P128" s="1574">
        <f>IF(ISTEXT('BS Raw'!P11),('BS Raw'!P62-'BS Raw'!O62)/$B$1,'LT. Asset'!P126)</f>
        <v>0</v>
      </c>
      <c r="Q128" s="1442">
        <f>Q126</f>
        <v>0</v>
      </c>
      <c r="R128" s="1442">
        <f t="shared" ref="R128:Z128" si="85">R126</f>
        <v>0</v>
      </c>
      <c r="S128" s="1442">
        <f t="shared" si="85"/>
        <v>0</v>
      </c>
      <c r="T128" s="1442">
        <f t="shared" si="85"/>
        <v>0</v>
      </c>
      <c r="U128" s="1442">
        <f t="shared" si="85"/>
        <v>0</v>
      </c>
      <c r="V128" s="1442">
        <f t="shared" si="85"/>
        <v>0</v>
      </c>
      <c r="W128" s="1442">
        <f t="shared" si="85"/>
        <v>0</v>
      </c>
      <c r="X128" s="1442">
        <f t="shared" si="85"/>
        <v>0</v>
      </c>
      <c r="Y128" s="1442">
        <f t="shared" si="85"/>
        <v>0</v>
      </c>
      <c r="Z128" s="1442">
        <f t="shared" si="85"/>
        <v>0</v>
      </c>
      <c r="AA128" s="1442"/>
      <c r="AB128" s="1442"/>
      <c r="AC128" s="1442"/>
      <c r="AD128" s="1442"/>
      <c r="AE128" s="1442"/>
      <c r="AF128" s="1442"/>
      <c r="AG128" s="1442"/>
      <c r="AH128" s="1442"/>
      <c r="AI128" s="1442"/>
      <c r="AJ128" s="1442"/>
      <c r="AK128" s="1442"/>
      <c r="AL128" s="1442"/>
      <c r="AM128" s="1442"/>
      <c r="AN128" s="1442"/>
      <c r="AO128" s="1442"/>
      <c r="AP128" s="1442"/>
      <c r="AQ128" s="1442"/>
      <c r="AR128" s="1442"/>
      <c r="AS128" s="1442"/>
      <c r="AT128" s="1442"/>
      <c r="AU128" s="1442"/>
      <c r="AV128" s="1442"/>
      <c r="AW128" s="1442"/>
      <c r="AX128" s="1442"/>
      <c r="AY128" s="1442"/>
      <c r="AZ128" s="1442"/>
      <c r="BA128" s="1442"/>
      <c r="BB128" s="1497"/>
      <c r="BC128" s="466"/>
      <c r="BD128" s="466"/>
      <c r="BE128" s="466"/>
    </row>
    <row r="129" spans="2:57" s="522" customFormat="1" ht="13.8" thickBot="1" x14ac:dyDescent="0.35">
      <c r="B129" s="1437"/>
      <c r="C129" s="1438"/>
      <c r="D129" s="1438"/>
      <c r="E129" s="1439"/>
      <c r="F129" s="1439"/>
      <c r="G129" s="1439"/>
      <c r="H129" s="122"/>
      <c r="I129" s="1440"/>
      <c r="J129" s="1440"/>
      <c r="K129" s="1440"/>
      <c r="L129" s="1440"/>
      <c r="M129" s="1440"/>
      <c r="N129" s="1440"/>
      <c r="O129" s="1440"/>
      <c r="P129" s="1473"/>
      <c r="Q129" s="1410"/>
      <c r="R129" s="1410"/>
      <c r="S129" s="1410"/>
      <c r="T129" s="1410"/>
      <c r="U129" s="1410"/>
      <c r="V129" s="1410"/>
      <c r="W129" s="1410"/>
      <c r="X129" s="1410"/>
      <c r="Y129" s="1410"/>
      <c r="Z129" s="1410"/>
      <c r="AA129" s="1410"/>
      <c r="AB129" s="1410"/>
      <c r="AC129" s="1410"/>
      <c r="AD129" s="1410"/>
      <c r="AE129" s="1410"/>
      <c r="AF129" s="1410"/>
      <c r="AG129" s="1410"/>
      <c r="AH129" s="1410"/>
      <c r="AI129" s="1410"/>
      <c r="AJ129" s="1410"/>
      <c r="AK129" s="1410"/>
      <c r="AL129" s="1410"/>
      <c r="AM129" s="1410"/>
      <c r="AN129" s="1410"/>
      <c r="AO129" s="1410"/>
      <c r="AP129" s="1410"/>
      <c r="AQ129" s="1410"/>
      <c r="AR129" s="1410"/>
      <c r="AS129" s="1410"/>
      <c r="AT129" s="1410"/>
      <c r="AU129" s="1410"/>
      <c r="AV129" s="1410"/>
      <c r="AW129" s="1410"/>
      <c r="AX129" s="1410"/>
      <c r="AY129" s="1410"/>
      <c r="AZ129" s="1410"/>
      <c r="BA129" s="1410"/>
      <c r="BB129" s="1387"/>
      <c r="BC129" s="466"/>
      <c r="BD129" s="466"/>
      <c r="BE129" s="466"/>
    </row>
    <row r="130" spans="2:57" s="522" customFormat="1" ht="13.8" thickBot="1" x14ac:dyDescent="0.35">
      <c r="B130" s="1452" t="s">
        <v>1541</v>
      </c>
      <c r="C130" s="1453"/>
      <c r="D130" s="1453"/>
      <c r="E130" s="139"/>
      <c r="F130" s="139"/>
      <c r="G130" s="139"/>
      <c r="H130" s="139"/>
      <c r="I130" s="1454"/>
      <c r="J130" s="1455">
        <f>SUM(J125,J128)</f>
        <v>0</v>
      </c>
      <c r="K130" s="1455">
        <f t="shared" ref="K130:P130" si="86">SUM(K125,K128)</f>
        <v>0</v>
      </c>
      <c r="L130" s="1455">
        <f t="shared" si="86"/>
        <v>0</v>
      </c>
      <c r="M130" s="1455">
        <f t="shared" si="86"/>
        <v>0</v>
      </c>
      <c r="N130" s="1455">
        <f t="shared" si="86"/>
        <v>0</v>
      </c>
      <c r="O130" s="1455">
        <f t="shared" si="86"/>
        <v>0</v>
      </c>
      <c r="P130" s="1575">
        <f t="shared" si="86"/>
        <v>0</v>
      </c>
      <c r="Q130" s="1456">
        <f>Q125+Q128+Q129</f>
        <v>0</v>
      </c>
      <c r="R130" s="1456">
        <f t="shared" ref="R130:Z130" si="87">R125+R128+R129</f>
        <v>0</v>
      </c>
      <c r="S130" s="1456">
        <f t="shared" si="87"/>
        <v>0</v>
      </c>
      <c r="T130" s="1456">
        <f t="shared" si="87"/>
        <v>0</v>
      </c>
      <c r="U130" s="1456">
        <f t="shared" si="87"/>
        <v>0</v>
      </c>
      <c r="V130" s="1456">
        <f t="shared" si="87"/>
        <v>0</v>
      </c>
      <c r="W130" s="1456">
        <f t="shared" si="87"/>
        <v>0</v>
      </c>
      <c r="X130" s="1456">
        <f t="shared" si="87"/>
        <v>0</v>
      </c>
      <c r="Y130" s="1456">
        <f t="shared" si="87"/>
        <v>0</v>
      </c>
      <c r="Z130" s="1456">
        <f t="shared" si="87"/>
        <v>0</v>
      </c>
      <c r="AA130" s="1456"/>
      <c r="AB130" s="1456"/>
      <c r="AC130" s="1456"/>
      <c r="AD130" s="1456"/>
      <c r="AE130" s="1456"/>
      <c r="AF130" s="1456"/>
      <c r="AG130" s="1456"/>
      <c r="AH130" s="1456"/>
      <c r="AI130" s="1456"/>
      <c r="AJ130" s="1456"/>
      <c r="AK130" s="1456"/>
      <c r="AL130" s="1456"/>
      <c r="AM130" s="1456"/>
      <c r="AN130" s="1456"/>
      <c r="AO130" s="1456"/>
      <c r="AP130" s="1456"/>
      <c r="AQ130" s="1456"/>
      <c r="AR130" s="1456"/>
      <c r="AS130" s="1456"/>
      <c r="AT130" s="1456"/>
      <c r="AU130" s="1456"/>
      <c r="AV130" s="1456"/>
      <c r="AW130" s="1456"/>
      <c r="AX130" s="1456"/>
      <c r="AY130" s="1456"/>
      <c r="AZ130" s="1456"/>
      <c r="BA130" s="1456"/>
      <c r="BB130" s="1407"/>
      <c r="BC130" s="466"/>
      <c r="BD130" s="466"/>
      <c r="BE130" s="466"/>
    </row>
    <row r="131" spans="2:57" s="1458" customFormat="1" x14ac:dyDescent="0.3">
      <c r="B131" s="1459" t="s">
        <v>1559</v>
      </c>
      <c r="C131" s="1459"/>
      <c r="D131" s="1459"/>
      <c r="E131" s="1460"/>
      <c r="F131" s="1460"/>
      <c r="G131" s="1460"/>
      <c r="H131" s="1460"/>
      <c r="I131" s="1461"/>
      <c r="J131" s="1461"/>
      <c r="K131" s="1461"/>
      <c r="L131" s="1461"/>
      <c r="M131" s="1461"/>
      <c r="N131" s="1461"/>
      <c r="O131" s="1461"/>
      <c r="P131" s="1472"/>
      <c r="Q131" s="1464"/>
      <c r="R131" s="1464"/>
      <c r="S131" s="1464"/>
      <c r="T131" s="1464"/>
      <c r="U131" s="1464"/>
      <c r="V131" s="1464"/>
      <c r="W131" s="1464"/>
      <c r="X131" s="1464"/>
      <c r="Y131" s="1464"/>
      <c r="Z131" s="1464"/>
      <c r="AA131" s="1464"/>
      <c r="AB131" s="1464"/>
      <c r="AC131" s="1464"/>
      <c r="AD131" s="1464"/>
      <c r="AE131" s="1464"/>
      <c r="AF131" s="1464"/>
      <c r="AG131" s="1464"/>
      <c r="AH131" s="1464"/>
      <c r="AI131" s="1464"/>
      <c r="AJ131" s="1464"/>
      <c r="AK131" s="1464"/>
      <c r="AL131" s="1464"/>
      <c r="AM131" s="1464"/>
      <c r="AN131" s="1464"/>
      <c r="AO131" s="1464"/>
      <c r="AP131" s="1464"/>
      <c r="AQ131" s="1464"/>
      <c r="AR131" s="1464"/>
      <c r="AS131" s="1464"/>
      <c r="AT131" s="1464"/>
      <c r="AU131" s="1464"/>
      <c r="AV131" s="1464"/>
      <c r="AW131" s="1464"/>
      <c r="AX131" s="1464"/>
      <c r="AY131" s="1464"/>
      <c r="AZ131" s="1464"/>
      <c r="BA131" s="1464"/>
      <c r="BB131" s="1465"/>
      <c r="BC131" s="1466"/>
      <c r="BD131" s="1466"/>
      <c r="BE131" s="1466"/>
    </row>
    <row r="132" spans="2:57" s="1458" customFormat="1" x14ac:dyDescent="0.3">
      <c r="B132" s="1476" t="s">
        <v>1560</v>
      </c>
      <c r="C132" s="1459"/>
      <c r="D132" s="1459"/>
      <c r="E132" s="1460"/>
      <c r="F132" s="1460"/>
      <c r="G132" s="1460"/>
      <c r="H132" s="1460"/>
      <c r="I132" s="1469"/>
      <c r="J132" s="1469">
        <f>IF(ISTEXT(Notes!J11),J130-'BS Raw'!J62/$B$1,"Chưa có BCTC")</f>
        <v>0</v>
      </c>
      <c r="K132" s="1469">
        <f>IF(ISTEXT(Notes!K11),K130-'BS Raw'!K62/$B$1,"Chưa có BCTC")</f>
        <v>0</v>
      </c>
      <c r="L132" s="1469">
        <f>IF(ISTEXT(Notes!L11),L130-'BS Raw'!L62/$B$1,"Chưa có BCTC")</f>
        <v>0</v>
      </c>
      <c r="M132" s="1469">
        <f>IF(ISTEXT(Notes!M11),M130-'BS Raw'!M62/$B$1,"Chưa có BCTC")</f>
        <v>0</v>
      </c>
      <c r="N132" s="1469">
        <f>IF(ISTEXT(Notes!N11),N130-'BS Raw'!N62/$B$1,"Chưa có BCTC")</f>
        <v>0</v>
      </c>
      <c r="O132" s="1469">
        <f>IF(ISTEXT(Notes!O11),O130-'BS Raw'!O62/$B$1,"Chưa có BCTC")</f>
        <v>0</v>
      </c>
      <c r="P132" s="1583">
        <f>IF(ISTEXT(Notes!P11),P130-'BS Raw'!P62/$B$1,"Chưa có BCTC")</f>
        <v>0</v>
      </c>
      <c r="Q132" s="1469" t="str">
        <f>IF(ISTEXT(Notes!Q11),Q130-'BS Raw'!Q62/$B$1,"Chưa có BCTC")</f>
        <v>Chưa có BCTC</v>
      </c>
      <c r="R132" s="1469" t="str">
        <f>IF(ISTEXT(Notes!R11),R130-'BS Raw'!R62/$B$1,"Chưa có BCTC")</f>
        <v>Chưa có BCTC</v>
      </c>
      <c r="S132" s="1469" t="str">
        <f>IF(ISTEXT(Notes!S11),S130-'BS Raw'!S62/$B$1,"Chưa có BCTC")</f>
        <v>Chưa có BCTC</v>
      </c>
      <c r="T132" s="1469" t="str">
        <f>IF(ISTEXT(Notes!T11),T130-'BS Raw'!T62/$B$1,"Chưa có BCTC")</f>
        <v>Chưa có BCTC</v>
      </c>
      <c r="U132" s="1469" t="str">
        <f>IF(ISTEXT(Notes!U11),U130-'BS Raw'!U62/$B$1,"Chưa có BCTC")</f>
        <v>Chưa có BCTC</v>
      </c>
      <c r="V132" s="1469" t="str">
        <f>IF(ISTEXT(Notes!V11),V130-'BS Raw'!V62/$B$1,"Chưa có BCTC")</f>
        <v>Chưa có BCTC</v>
      </c>
      <c r="W132" s="1469" t="str">
        <f>IF(ISTEXT(Notes!W11),W130-'BS Raw'!W62/$B$1,"Chưa có BCTC")</f>
        <v>Chưa có BCTC</v>
      </c>
      <c r="X132" s="1469" t="str">
        <f>IF(ISTEXT(Notes!X11),X130-'BS Raw'!X62/$B$1,"Chưa có BCTC")</f>
        <v>Chưa có BCTC</v>
      </c>
      <c r="Y132" s="1469" t="str">
        <f>IF(ISTEXT(Notes!Y11),Y130-'BS Raw'!Y62/$B$1,"Chưa có BCTC")</f>
        <v>Chưa có BCTC</v>
      </c>
      <c r="Z132" s="1469" t="str">
        <f>IF(ISTEXT(Notes!Z11),Z130-'BS Raw'!Z62/$B$1,"Chưa có BCTC")</f>
        <v>Chưa có BCTC</v>
      </c>
      <c r="AA132" s="1469"/>
      <c r="AB132" s="1469"/>
      <c r="AC132" s="1469"/>
      <c r="AD132" s="1469"/>
      <c r="AE132" s="1469"/>
      <c r="AF132" s="1469"/>
      <c r="AG132" s="1469"/>
      <c r="AH132" s="1469"/>
      <c r="AI132" s="1469"/>
      <c r="AJ132" s="1469"/>
      <c r="AK132" s="1469"/>
      <c r="AL132" s="1469"/>
      <c r="AM132" s="1469"/>
      <c r="AN132" s="1469"/>
      <c r="AO132" s="1469"/>
      <c r="AP132" s="1469"/>
      <c r="AQ132" s="1469"/>
      <c r="AR132" s="1469"/>
      <c r="AS132" s="1469"/>
      <c r="AT132" s="1469"/>
      <c r="AU132" s="1469"/>
      <c r="AV132" s="1469"/>
      <c r="AW132" s="1469"/>
      <c r="AX132" s="1469"/>
      <c r="AY132" s="1469"/>
      <c r="AZ132" s="1469"/>
      <c r="BA132" s="1469"/>
      <c r="BB132" s="1465"/>
      <c r="BC132" s="1466"/>
      <c r="BD132" s="1466"/>
      <c r="BE132" s="1466"/>
    </row>
    <row r="133" spans="2:57" s="1458" customFormat="1" ht="13.8" x14ac:dyDescent="0.3">
      <c r="B133" s="1459"/>
      <c r="C133" s="1459"/>
      <c r="D133" s="1459"/>
      <c r="E133" s="1460"/>
      <c r="F133" s="1460"/>
      <c r="G133" s="1460"/>
      <c r="H133" s="1460"/>
      <c r="I133" s="1460"/>
      <c r="J133" s="1460"/>
      <c r="K133" s="1460"/>
      <c r="L133" s="1460"/>
      <c r="M133" s="1460"/>
      <c r="N133" s="1511"/>
      <c r="O133" s="1512"/>
      <c r="P133" s="1500"/>
      <c r="Q133" s="1460"/>
      <c r="R133" s="1460"/>
      <c r="S133" s="1460"/>
      <c r="T133" s="1460"/>
      <c r="U133" s="1460"/>
      <c r="V133" s="1460"/>
      <c r="W133" s="1460"/>
      <c r="X133" s="1460"/>
      <c r="Y133" s="1460"/>
      <c r="Z133" s="1460"/>
      <c r="AA133" s="1460"/>
      <c r="AB133" s="1460"/>
      <c r="AC133" s="1460"/>
      <c r="AD133" s="1460"/>
      <c r="AE133" s="1460"/>
      <c r="AF133" s="1460"/>
      <c r="AG133" s="1460"/>
      <c r="AH133" s="1460"/>
      <c r="AI133" s="1460"/>
      <c r="AJ133" s="1460"/>
      <c r="AK133" s="1460"/>
      <c r="AL133" s="1460"/>
      <c r="AM133" s="1460"/>
      <c r="AN133" s="1460"/>
      <c r="AO133" s="1460"/>
      <c r="AP133" s="1460"/>
      <c r="AQ133" s="1460"/>
      <c r="AR133" s="1460"/>
      <c r="AS133" s="1460"/>
      <c r="AT133" s="1460"/>
      <c r="AU133" s="1460"/>
      <c r="AV133" s="1460"/>
      <c r="AW133" s="1460"/>
      <c r="AX133" s="1460"/>
      <c r="AY133" s="1460"/>
      <c r="AZ133" s="1460"/>
      <c r="BA133" s="1460"/>
      <c r="BB133" s="1465"/>
      <c r="BC133" s="1466"/>
      <c r="BD133" s="1466"/>
      <c r="BE133" s="1466"/>
    </row>
    <row r="134" spans="2:57" s="522" customFormat="1" x14ac:dyDescent="0.3">
      <c r="B134" s="1426" t="s">
        <v>1561</v>
      </c>
      <c r="C134" s="1426"/>
      <c r="D134" s="1426"/>
      <c r="E134" s="1434"/>
      <c r="F134" s="1434"/>
      <c r="G134" s="1434"/>
      <c r="H134" s="122"/>
      <c r="I134" s="122"/>
      <c r="J134" s="122"/>
      <c r="K134" s="122"/>
      <c r="L134" s="122"/>
      <c r="M134" s="122"/>
      <c r="N134" s="122"/>
      <c r="O134" s="122"/>
      <c r="P134" s="1487"/>
      <c r="Q134" s="122"/>
      <c r="R134" s="122"/>
      <c r="S134" s="122"/>
      <c r="T134" s="122"/>
      <c r="U134" s="122"/>
      <c r="V134" s="122"/>
      <c r="W134" s="122"/>
      <c r="X134" s="122"/>
      <c r="Y134" s="122"/>
      <c r="Z134" s="122"/>
      <c r="AA134" s="122"/>
      <c r="AB134" s="122"/>
      <c r="AC134" s="122"/>
      <c r="AD134" s="122"/>
      <c r="AE134" s="122"/>
      <c r="AF134" s="122"/>
      <c r="AG134" s="122"/>
      <c r="AH134" s="122"/>
      <c r="AI134" s="122"/>
      <c r="AJ134" s="122"/>
      <c r="AK134" s="122"/>
      <c r="AL134" s="122"/>
      <c r="AM134" s="122"/>
      <c r="AN134" s="122"/>
      <c r="AO134" s="122"/>
      <c r="AP134" s="122"/>
      <c r="AQ134" s="122"/>
      <c r="AR134" s="122"/>
      <c r="AS134" s="122"/>
      <c r="AT134" s="122"/>
      <c r="AU134" s="122"/>
      <c r="AV134" s="122"/>
      <c r="AW134" s="122"/>
      <c r="AX134" s="122"/>
      <c r="AY134" s="122"/>
      <c r="AZ134" s="122"/>
      <c r="BA134" s="122"/>
      <c r="BB134" s="1387"/>
      <c r="BC134" s="466"/>
      <c r="BD134" s="466"/>
      <c r="BE134" s="466"/>
    </row>
    <row r="135" spans="2:57" s="522" customFormat="1" x14ac:dyDescent="0.3">
      <c r="B135" s="1437" t="s">
        <v>1554</v>
      </c>
      <c r="C135" s="1438"/>
      <c r="D135" s="1438"/>
      <c r="E135" s="1439"/>
      <c r="F135" s="1439"/>
      <c r="G135" s="1439"/>
      <c r="H135" s="122"/>
      <c r="I135" s="1440"/>
      <c r="J135" s="1441">
        <f>'BS Raw'!I63/'LT. Asset'!$B$1</f>
        <v>0</v>
      </c>
      <c r="K135" s="1441">
        <f>'BS Raw'!J63/'LT. Asset'!$B$1</f>
        <v>0</v>
      </c>
      <c r="L135" s="1441">
        <f>'BS Raw'!K63/'LT. Asset'!$B$1</f>
        <v>0</v>
      </c>
      <c r="M135" s="1441">
        <f>'BS Raw'!L63/'LT. Asset'!$B$1</f>
        <v>0</v>
      </c>
      <c r="N135" s="1441">
        <f>'BS Raw'!M63/'LT. Asset'!$B$1</f>
        <v>0</v>
      </c>
      <c r="O135" s="1441">
        <f>'BS Raw'!N63/'LT. Asset'!$B$1</f>
        <v>0</v>
      </c>
      <c r="P135" s="1574">
        <f>'BS Raw'!O63/'LT. Asset'!$B$1</f>
        <v>0</v>
      </c>
      <c r="Q135" s="1442">
        <f>P140</f>
        <v>0</v>
      </c>
      <c r="R135" s="1442">
        <f t="shared" ref="R135:Z135" si="88">Q140</f>
        <v>0</v>
      </c>
      <c r="S135" s="1442">
        <f t="shared" si="88"/>
        <v>0</v>
      </c>
      <c r="T135" s="1442">
        <f t="shared" si="88"/>
        <v>0</v>
      </c>
      <c r="U135" s="1442">
        <f t="shared" si="88"/>
        <v>0</v>
      </c>
      <c r="V135" s="1442">
        <f t="shared" si="88"/>
        <v>0</v>
      </c>
      <c r="W135" s="1442">
        <f t="shared" si="88"/>
        <v>0</v>
      </c>
      <c r="X135" s="1442">
        <f t="shared" si="88"/>
        <v>0</v>
      </c>
      <c r="Y135" s="1442">
        <f t="shared" si="88"/>
        <v>0</v>
      </c>
      <c r="Z135" s="1442">
        <f t="shared" si="88"/>
        <v>0</v>
      </c>
      <c r="AA135" s="1442"/>
      <c r="AB135" s="1442"/>
      <c r="AC135" s="1442"/>
      <c r="AD135" s="1442"/>
      <c r="AE135" s="1442"/>
      <c r="AF135" s="1442"/>
      <c r="AG135" s="1442"/>
      <c r="AH135" s="1442"/>
      <c r="AI135" s="1442"/>
      <c r="AJ135" s="1442"/>
      <c r="AK135" s="1442"/>
      <c r="AL135" s="1442"/>
      <c r="AM135" s="1442"/>
      <c r="AN135" s="1442"/>
      <c r="AO135" s="1442"/>
      <c r="AP135" s="1442"/>
      <c r="AQ135" s="1442"/>
      <c r="AR135" s="1442"/>
      <c r="AS135" s="1442"/>
      <c r="AT135" s="1442"/>
      <c r="AU135" s="1442"/>
      <c r="AV135" s="1442"/>
      <c r="AW135" s="1442"/>
      <c r="AX135" s="1442"/>
      <c r="AY135" s="1442"/>
      <c r="AZ135" s="1442"/>
      <c r="BA135" s="1442"/>
      <c r="BB135" s="1442"/>
      <c r="BC135" s="466"/>
      <c r="BD135" s="466"/>
      <c r="BE135" s="466"/>
    </row>
    <row r="136" spans="2:57" s="522" customFormat="1" x14ac:dyDescent="0.3">
      <c r="B136" s="1437" t="s">
        <v>1569</v>
      </c>
      <c r="C136" s="1438"/>
      <c r="D136" s="1438"/>
      <c r="E136" s="1439"/>
      <c r="F136" s="1439"/>
      <c r="G136" s="1439"/>
      <c r="H136" s="122"/>
      <c r="I136" s="1440"/>
      <c r="J136" s="1440"/>
      <c r="K136" s="1440"/>
      <c r="L136" s="1440"/>
      <c r="M136" s="1440"/>
      <c r="N136" s="1440"/>
      <c r="O136" s="1440"/>
      <c r="P136" s="1473"/>
      <c r="Q136" s="1442">
        <f>Q289</f>
        <v>0</v>
      </c>
      <c r="R136" s="1442">
        <f t="shared" ref="R136:Z136" si="89">R289</f>
        <v>0</v>
      </c>
      <c r="S136" s="1442">
        <f t="shared" si="89"/>
        <v>0</v>
      </c>
      <c r="T136" s="1442">
        <f t="shared" si="89"/>
        <v>0</v>
      </c>
      <c r="U136" s="1442">
        <f t="shared" si="89"/>
        <v>0</v>
      </c>
      <c r="V136" s="1442">
        <f t="shared" si="89"/>
        <v>0</v>
      </c>
      <c r="W136" s="1442">
        <f t="shared" si="89"/>
        <v>0</v>
      </c>
      <c r="X136" s="1442">
        <f t="shared" si="89"/>
        <v>0</v>
      </c>
      <c r="Y136" s="1442">
        <f t="shared" si="89"/>
        <v>0</v>
      </c>
      <c r="Z136" s="1442">
        <f t="shared" si="89"/>
        <v>0</v>
      </c>
      <c r="AA136" s="1442"/>
      <c r="AB136" s="1442"/>
      <c r="AC136" s="1442"/>
      <c r="AD136" s="1442"/>
      <c r="AE136" s="1442"/>
      <c r="AF136" s="1442"/>
      <c r="AG136" s="1442"/>
      <c r="AH136" s="1442"/>
      <c r="AI136" s="1442"/>
      <c r="AJ136" s="1442"/>
      <c r="AK136" s="1442"/>
      <c r="AL136" s="1442"/>
      <c r="AM136" s="1442"/>
      <c r="AN136" s="1442"/>
      <c r="AO136" s="1442"/>
      <c r="AP136" s="1442"/>
      <c r="AQ136" s="1442"/>
      <c r="AR136" s="1442"/>
      <c r="AS136" s="1442"/>
      <c r="AT136" s="1442"/>
      <c r="AU136" s="1442"/>
      <c r="AV136" s="1442"/>
      <c r="AW136" s="1442"/>
      <c r="AX136" s="1442"/>
      <c r="AY136" s="1442"/>
      <c r="AZ136" s="1442"/>
      <c r="BA136" s="1442"/>
      <c r="BB136" s="1387"/>
      <c r="BC136" s="466"/>
      <c r="BD136" s="466"/>
      <c r="BE136" s="466"/>
    </row>
    <row r="137" spans="2:57" s="522" customFormat="1" x14ac:dyDescent="0.3">
      <c r="B137" s="1444"/>
      <c r="C137" s="1445"/>
      <c r="D137" s="1445"/>
      <c r="E137" s="1446"/>
      <c r="F137" s="1446"/>
      <c r="G137" s="1446"/>
      <c r="H137" s="1447"/>
      <c r="I137" s="1448"/>
      <c r="J137" s="1448"/>
      <c r="K137" s="1448"/>
      <c r="L137" s="1448"/>
      <c r="M137" s="1448"/>
      <c r="N137" s="1448"/>
      <c r="O137" s="1448"/>
      <c r="P137" s="1496"/>
      <c r="Q137" s="1451"/>
      <c r="R137" s="1451"/>
      <c r="S137" s="1451"/>
      <c r="T137" s="1451"/>
      <c r="U137" s="1451"/>
      <c r="V137" s="1451"/>
      <c r="W137" s="1451"/>
      <c r="X137" s="1451"/>
      <c r="Y137" s="1451"/>
      <c r="Z137" s="1451"/>
      <c r="AA137" s="1451"/>
      <c r="AB137" s="1451"/>
      <c r="AC137" s="1451"/>
      <c r="AD137" s="1451"/>
      <c r="AE137" s="1451"/>
      <c r="AF137" s="1451"/>
      <c r="AG137" s="1451"/>
      <c r="AH137" s="1451"/>
      <c r="AI137" s="1451"/>
      <c r="AJ137" s="1451"/>
      <c r="AK137" s="1451"/>
      <c r="AL137" s="1451"/>
      <c r="AM137" s="1451"/>
      <c r="AN137" s="1451"/>
      <c r="AO137" s="1451"/>
      <c r="AP137" s="1451"/>
      <c r="AQ137" s="1451"/>
      <c r="AR137" s="1451"/>
      <c r="AS137" s="1451"/>
      <c r="AT137" s="1451"/>
      <c r="AU137" s="1451"/>
      <c r="AV137" s="1451"/>
      <c r="AW137" s="1451"/>
      <c r="AX137" s="1451"/>
      <c r="AY137" s="1451"/>
      <c r="AZ137" s="1451"/>
      <c r="BA137" s="1451"/>
      <c r="BB137" s="1387"/>
      <c r="BC137" s="466"/>
      <c r="BD137" s="466"/>
      <c r="BE137" s="466"/>
    </row>
    <row r="138" spans="2:57" s="522" customFormat="1" x14ac:dyDescent="0.3">
      <c r="B138" s="1437" t="s">
        <v>1570</v>
      </c>
      <c r="C138" s="1438"/>
      <c r="D138" s="1438"/>
      <c r="E138" s="1439"/>
      <c r="F138" s="1439"/>
      <c r="G138" s="1439"/>
      <c r="H138" s="122"/>
      <c r="I138" s="1440"/>
      <c r="J138" s="1441">
        <f>IF(ISTEXT('BS Raw'!J11),('BS Raw'!J63-'BS Raw'!I63)/$B$1,'LT. Asset'!J136)</f>
        <v>0</v>
      </c>
      <c r="K138" s="1441">
        <f>IF(ISTEXT('BS Raw'!K11),('BS Raw'!K63-'BS Raw'!J63)/$B$1,'LT. Asset'!K136)</f>
        <v>0</v>
      </c>
      <c r="L138" s="1441">
        <f>IF(ISTEXT('BS Raw'!L11),('BS Raw'!L63-'BS Raw'!K63)/$B$1,'LT. Asset'!L136)</f>
        <v>0</v>
      </c>
      <c r="M138" s="1441">
        <f>IF(ISTEXT('BS Raw'!M11),('BS Raw'!M63-'BS Raw'!L63)/$B$1,'LT. Asset'!M136)</f>
        <v>0</v>
      </c>
      <c r="N138" s="1441">
        <f>IF(ISTEXT('BS Raw'!N11),('BS Raw'!N63-'BS Raw'!M63)/$B$1,'LT. Asset'!N136)</f>
        <v>0</v>
      </c>
      <c r="O138" s="1441">
        <f>IF(ISTEXT('BS Raw'!O11),('BS Raw'!O63-'BS Raw'!N63)/$B$1,'LT. Asset'!O136)</f>
        <v>0</v>
      </c>
      <c r="P138" s="1574">
        <f>IF(ISTEXT('BS Raw'!P11),('BS Raw'!P63-'BS Raw'!O63)/$B$1,'LT. Asset'!P136)</f>
        <v>0</v>
      </c>
      <c r="Q138" s="1442">
        <f>Q136</f>
        <v>0</v>
      </c>
      <c r="R138" s="1442">
        <f t="shared" ref="R138:Z138" si="90">R136</f>
        <v>0</v>
      </c>
      <c r="S138" s="1442">
        <f t="shared" si="90"/>
        <v>0</v>
      </c>
      <c r="T138" s="1442">
        <f t="shared" si="90"/>
        <v>0</v>
      </c>
      <c r="U138" s="1442">
        <f t="shared" si="90"/>
        <v>0</v>
      </c>
      <c r="V138" s="1442">
        <f t="shared" si="90"/>
        <v>0</v>
      </c>
      <c r="W138" s="1442">
        <f t="shared" si="90"/>
        <v>0</v>
      </c>
      <c r="X138" s="1442">
        <f t="shared" si="90"/>
        <v>0</v>
      </c>
      <c r="Y138" s="1442">
        <f t="shared" si="90"/>
        <v>0</v>
      </c>
      <c r="Z138" s="1442">
        <f t="shared" si="90"/>
        <v>0</v>
      </c>
      <c r="AA138" s="1442"/>
      <c r="AB138" s="1442"/>
      <c r="AC138" s="1442"/>
      <c r="AD138" s="1442"/>
      <c r="AE138" s="1442"/>
      <c r="AF138" s="1442"/>
      <c r="AG138" s="1442"/>
      <c r="AH138" s="1442"/>
      <c r="AI138" s="1442"/>
      <c r="AJ138" s="1442"/>
      <c r="AK138" s="1442"/>
      <c r="AL138" s="1442"/>
      <c r="AM138" s="1442"/>
      <c r="AN138" s="1442"/>
      <c r="AO138" s="1442"/>
      <c r="AP138" s="1442"/>
      <c r="AQ138" s="1442"/>
      <c r="AR138" s="1442"/>
      <c r="AS138" s="1442"/>
      <c r="AT138" s="1442"/>
      <c r="AU138" s="1442"/>
      <c r="AV138" s="1442"/>
      <c r="AW138" s="1442"/>
      <c r="AX138" s="1442"/>
      <c r="AY138" s="1442"/>
      <c r="AZ138" s="1442"/>
      <c r="BA138" s="1410"/>
      <c r="BB138" s="1387"/>
      <c r="BC138" s="466"/>
      <c r="BD138" s="466"/>
      <c r="BE138" s="466"/>
    </row>
    <row r="139" spans="2:57" s="522" customFormat="1" x14ac:dyDescent="0.3">
      <c r="B139" s="1437"/>
      <c r="C139" s="1438"/>
      <c r="D139" s="1438"/>
      <c r="E139" s="1439"/>
      <c r="F139" s="1439"/>
      <c r="G139" s="1439"/>
      <c r="H139" s="122"/>
      <c r="I139" s="1440"/>
      <c r="J139" s="1440"/>
      <c r="K139" s="1440"/>
      <c r="L139" s="1440"/>
      <c r="M139" s="1440"/>
      <c r="N139" s="1440"/>
      <c r="O139" s="1440"/>
      <c r="P139" s="1473"/>
      <c r="Q139" s="1410"/>
      <c r="R139" s="1410"/>
      <c r="S139" s="1410"/>
      <c r="T139" s="1410"/>
      <c r="U139" s="1410"/>
      <c r="V139" s="1410"/>
      <c r="W139" s="1410"/>
      <c r="X139" s="1410"/>
      <c r="Y139" s="1410"/>
      <c r="Z139" s="1410"/>
      <c r="AA139" s="1410"/>
      <c r="AB139" s="1410"/>
      <c r="AC139" s="1410"/>
      <c r="AD139" s="1410"/>
      <c r="AE139" s="1410"/>
      <c r="AF139" s="1410"/>
      <c r="AG139" s="1410"/>
      <c r="AH139" s="1410"/>
      <c r="AI139" s="1410"/>
      <c r="AJ139" s="1410"/>
      <c r="AK139" s="1410"/>
      <c r="AL139" s="1410"/>
      <c r="AM139" s="1410"/>
      <c r="AN139" s="1410"/>
      <c r="AO139" s="1410"/>
      <c r="AP139" s="1410"/>
      <c r="AQ139" s="1410"/>
      <c r="AR139" s="1410"/>
      <c r="AS139" s="1410"/>
      <c r="AT139" s="1410"/>
      <c r="AU139" s="1410"/>
      <c r="AV139" s="1410"/>
      <c r="AW139" s="1410"/>
      <c r="AX139" s="1410"/>
      <c r="AY139" s="1410"/>
      <c r="AZ139" s="1410"/>
      <c r="BA139" s="1410"/>
      <c r="BB139" s="1387"/>
      <c r="BC139" s="466"/>
      <c r="BD139" s="466"/>
      <c r="BE139" s="466"/>
    </row>
    <row r="140" spans="2:57" s="522" customFormat="1" x14ac:dyDescent="0.3">
      <c r="B140" s="1474" t="s">
        <v>1562</v>
      </c>
      <c r="C140" s="1453"/>
      <c r="D140" s="1453"/>
      <c r="E140" s="139"/>
      <c r="F140" s="139"/>
      <c r="G140" s="139"/>
      <c r="H140" s="139"/>
      <c r="I140" s="1454"/>
      <c r="J140" s="1455">
        <f>SUM(J135,J138)</f>
        <v>0</v>
      </c>
      <c r="K140" s="1455">
        <f t="shared" ref="K140:P140" si="91">SUM(K135,K138)</f>
        <v>0</v>
      </c>
      <c r="L140" s="1455">
        <f t="shared" si="91"/>
        <v>0</v>
      </c>
      <c r="M140" s="1455">
        <f t="shared" si="91"/>
        <v>0</v>
      </c>
      <c r="N140" s="1455">
        <f t="shared" si="91"/>
        <v>0</v>
      </c>
      <c r="O140" s="1455">
        <f t="shared" si="91"/>
        <v>0</v>
      </c>
      <c r="P140" s="1575">
        <f t="shared" si="91"/>
        <v>0</v>
      </c>
      <c r="Q140" s="1456">
        <f>Q135+Q138+Q139</f>
        <v>0</v>
      </c>
      <c r="R140" s="1456">
        <f t="shared" ref="R140:Z140" si="92">R135+R138+R139</f>
        <v>0</v>
      </c>
      <c r="S140" s="1456">
        <f t="shared" si="92"/>
        <v>0</v>
      </c>
      <c r="T140" s="1456">
        <f t="shared" si="92"/>
        <v>0</v>
      </c>
      <c r="U140" s="1456">
        <f t="shared" si="92"/>
        <v>0</v>
      </c>
      <c r="V140" s="1456">
        <f t="shared" si="92"/>
        <v>0</v>
      </c>
      <c r="W140" s="1456">
        <f t="shared" si="92"/>
        <v>0</v>
      </c>
      <c r="X140" s="1456">
        <f t="shared" si="92"/>
        <v>0</v>
      </c>
      <c r="Y140" s="1456">
        <f t="shared" si="92"/>
        <v>0</v>
      </c>
      <c r="Z140" s="1456">
        <f t="shared" si="92"/>
        <v>0</v>
      </c>
      <c r="AA140" s="1456"/>
      <c r="AB140" s="1456"/>
      <c r="AC140" s="1456"/>
      <c r="AD140" s="1456"/>
      <c r="AE140" s="1456"/>
      <c r="AF140" s="1456"/>
      <c r="AG140" s="1456"/>
      <c r="AH140" s="1456"/>
      <c r="AI140" s="1456"/>
      <c r="AJ140" s="1456"/>
      <c r="AK140" s="1456"/>
      <c r="AL140" s="1456"/>
      <c r="AM140" s="1456"/>
      <c r="AN140" s="1456"/>
      <c r="AO140" s="1456"/>
      <c r="AP140" s="1456"/>
      <c r="AQ140" s="1456"/>
      <c r="AR140" s="1456"/>
      <c r="AS140" s="1456"/>
      <c r="AT140" s="1456"/>
      <c r="AU140" s="1456"/>
      <c r="AV140" s="1456"/>
      <c r="AW140" s="1456"/>
      <c r="AX140" s="1456"/>
      <c r="AY140" s="1456"/>
      <c r="AZ140" s="1456"/>
      <c r="BA140" s="1456"/>
      <c r="BB140" s="1407"/>
      <c r="BC140" s="466"/>
      <c r="BD140" s="466"/>
      <c r="BE140" s="466"/>
    </row>
    <row r="141" spans="2:57" s="522" customFormat="1" x14ac:dyDescent="0.3">
      <c r="B141" s="1475" t="s">
        <v>1563</v>
      </c>
      <c r="C141" s="1438"/>
      <c r="D141" s="1438"/>
      <c r="E141" s="122"/>
      <c r="F141" s="122"/>
      <c r="G141" s="122"/>
      <c r="H141" s="122"/>
      <c r="I141" s="1440"/>
      <c r="J141" s="1441">
        <f>J125-J135</f>
        <v>0</v>
      </c>
      <c r="K141" s="1441">
        <f t="shared" ref="K141:Z141" si="93">K125-K135</f>
        <v>0</v>
      </c>
      <c r="L141" s="1441">
        <f t="shared" si="93"/>
        <v>0</v>
      </c>
      <c r="M141" s="1441">
        <f t="shared" si="93"/>
        <v>0</v>
      </c>
      <c r="N141" s="1441">
        <f t="shared" si="93"/>
        <v>0</v>
      </c>
      <c r="O141" s="1441">
        <f t="shared" si="93"/>
        <v>0</v>
      </c>
      <c r="P141" s="1574">
        <f t="shared" si="93"/>
        <v>0</v>
      </c>
      <c r="Q141" s="1442">
        <f t="shared" si="93"/>
        <v>0</v>
      </c>
      <c r="R141" s="1442">
        <f t="shared" si="93"/>
        <v>0</v>
      </c>
      <c r="S141" s="1442">
        <f t="shared" si="93"/>
        <v>0</v>
      </c>
      <c r="T141" s="1442">
        <f t="shared" si="93"/>
        <v>0</v>
      </c>
      <c r="U141" s="1442">
        <f t="shared" si="93"/>
        <v>0</v>
      </c>
      <c r="V141" s="1442">
        <f t="shared" si="93"/>
        <v>0</v>
      </c>
      <c r="W141" s="1442">
        <f t="shared" si="93"/>
        <v>0</v>
      </c>
      <c r="X141" s="1442">
        <f t="shared" si="93"/>
        <v>0</v>
      </c>
      <c r="Y141" s="1442">
        <f t="shared" si="93"/>
        <v>0</v>
      </c>
      <c r="Z141" s="1442">
        <f t="shared" si="93"/>
        <v>0</v>
      </c>
      <c r="AA141" s="1442"/>
      <c r="AB141" s="1442"/>
      <c r="AC141" s="1442"/>
      <c r="AD141" s="1442"/>
      <c r="AE141" s="1442"/>
      <c r="AF141" s="1442"/>
      <c r="AG141" s="1442"/>
      <c r="AH141" s="1442"/>
      <c r="AI141" s="1442"/>
      <c r="AJ141" s="1442"/>
      <c r="AK141" s="1442"/>
      <c r="AL141" s="1442"/>
      <c r="AM141" s="1442"/>
      <c r="AN141" s="1442"/>
      <c r="AO141" s="1442"/>
      <c r="AP141" s="1442"/>
      <c r="AQ141" s="1442"/>
      <c r="AR141" s="1442"/>
      <c r="AS141" s="1442"/>
      <c r="AT141" s="1442"/>
      <c r="AU141" s="1442"/>
      <c r="AV141" s="1442"/>
      <c r="AW141" s="1442"/>
      <c r="AX141" s="1442"/>
      <c r="AY141" s="1442"/>
      <c r="AZ141" s="1442"/>
      <c r="BA141" s="1442"/>
      <c r="BB141" s="1387"/>
      <c r="BC141" s="466"/>
      <c r="BD141" s="466"/>
      <c r="BE141" s="466"/>
    </row>
    <row r="142" spans="2:57" s="522" customFormat="1" x14ac:dyDescent="0.3">
      <c r="B142" s="1475" t="s">
        <v>1542</v>
      </c>
      <c r="C142" s="1438"/>
      <c r="D142" s="1438"/>
      <c r="E142" s="122"/>
      <c r="F142" s="122"/>
      <c r="G142" s="122"/>
      <c r="H142" s="122"/>
      <c r="I142" s="1440"/>
      <c r="J142" s="1441">
        <f>J130-J140</f>
        <v>0</v>
      </c>
      <c r="K142" s="1441">
        <f t="shared" ref="K142:Z142" si="94">K130-K140</f>
        <v>0</v>
      </c>
      <c r="L142" s="1441">
        <f t="shared" si="94"/>
        <v>0</v>
      </c>
      <c r="M142" s="1441">
        <f t="shared" si="94"/>
        <v>0</v>
      </c>
      <c r="N142" s="1441">
        <f t="shared" si="94"/>
        <v>0</v>
      </c>
      <c r="O142" s="1441">
        <f t="shared" si="94"/>
        <v>0</v>
      </c>
      <c r="P142" s="1574">
        <f t="shared" si="94"/>
        <v>0</v>
      </c>
      <c r="Q142" s="1442">
        <f t="shared" si="94"/>
        <v>0</v>
      </c>
      <c r="R142" s="1442">
        <f t="shared" si="94"/>
        <v>0</v>
      </c>
      <c r="S142" s="1442">
        <f t="shared" si="94"/>
        <v>0</v>
      </c>
      <c r="T142" s="1442">
        <f t="shared" si="94"/>
        <v>0</v>
      </c>
      <c r="U142" s="1442">
        <f t="shared" si="94"/>
        <v>0</v>
      </c>
      <c r="V142" s="1442">
        <f t="shared" si="94"/>
        <v>0</v>
      </c>
      <c r="W142" s="1442">
        <f t="shared" si="94"/>
        <v>0</v>
      </c>
      <c r="X142" s="1442">
        <f t="shared" si="94"/>
        <v>0</v>
      </c>
      <c r="Y142" s="1442">
        <f t="shared" si="94"/>
        <v>0</v>
      </c>
      <c r="Z142" s="1442">
        <f t="shared" si="94"/>
        <v>0</v>
      </c>
      <c r="AA142" s="1442"/>
      <c r="AB142" s="1442"/>
      <c r="AC142" s="1442"/>
      <c r="AD142" s="1442"/>
      <c r="AE142" s="1442"/>
      <c r="AF142" s="1442"/>
      <c r="AG142" s="1442"/>
      <c r="AH142" s="1442"/>
      <c r="AI142" s="1442"/>
      <c r="AJ142" s="1442"/>
      <c r="AK142" s="1442"/>
      <c r="AL142" s="1442"/>
      <c r="AM142" s="1442"/>
      <c r="AN142" s="1442"/>
      <c r="AO142" s="1442"/>
      <c r="AP142" s="1442"/>
      <c r="AQ142" s="1442"/>
      <c r="AR142" s="1442"/>
      <c r="AS142" s="1442"/>
      <c r="AT142" s="1442"/>
      <c r="AU142" s="1442"/>
      <c r="AV142" s="1442"/>
      <c r="AW142" s="1442"/>
      <c r="AX142" s="1442"/>
      <c r="AY142" s="1442"/>
      <c r="AZ142" s="1442"/>
      <c r="BA142" s="1442"/>
      <c r="BB142" s="1387"/>
      <c r="BC142" s="466"/>
      <c r="BD142" s="466"/>
      <c r="BE142" s="466"/>
    </row>
    <row r="143" spans="2:57" s="462" customFormat="1" x14ac:dyDescent="0.3">
      <c r="B143" s="1476" t="s">
        <v>1564</v>
      </c>
      <c r="C143" s="1476"/>
      <c r="D143" s="1476"/>
      <c r="E143" s="1477"/>
      <c r="F143" s="1477"/>
      <c r="G143" s="1477"/>
      <c r="H143" s="1477"/>
      <c r="I143" s="1469"/>
      <c r="J143" s="1470">
        <f>IF(ISTEXT(Notes!J11),J142-'BS Raw'!J61/$B$1,"Chưa có BCTC")</f>
        <v>0</v>
      </c>
      <c r="K143" s="1470">
        <f>IF(ISTEXT(Notes!K11),K142-'BS Raw'!K61/$B$1,"Chưa có BCTC")</f>
        <v>0</v>
      </c>
      <c r="L143" s="1470">
        <f>IF(ISTEXT(Notes!L11),L142-'BS Raw'!L61/$B$1,"Chưa có BCTC")</f>
        <v>0</v>
      </c>
      <c r="M143" s="1470">
        <f>IF(ISTEXT(Notes!M11),M142-'BS Raw'!M61/$B$1,"Chưa có BCTC")</f>
        <v>0</v>
      </c>
      <c r="N143" s="1470">
        <f>IF(ISTEXT(Notes!N11),N142-'BS Raw'!N61/$B$1,"Chưa có BCTC")</f>
        <v>0</v>
      </c>
      <c r="O143" s="1470">
        <f>IF(ISTEXT(Notes!O11),O142-'BS Raw'!O61/$B$1,"Chưa có BCTC")</f>
        <v>0</v>
      </c>
      <c r="P143" s="1577">
        <f>IF(ISTEXT(Notes!P11),P142-'BS Raw'!P61/$B$1,"Chưa có BCTC")</f>
        <v>0</v>
      </c>
      <c r="Q143" s="1470" t="str">
        <f>IF(ISTEXT(Notes!Q11),Q142-'BS Raw'!Q61/$B$1,"Chưa có BCTC")</f>
        <v>Chưa có BCTC</v>
      </c>
      <c r="R143" s="1470" t="str">
        <f>IF(ISTEXT(Notes!R11),R142-'BS Raw'!R61/$B$1,"Chưa có BCTC")</f>
        <v>Chưa có BCTC</v>
      </c>
      <c r="S143" s="1470" t="str">
        <f>IF(ISTEXT(Notes!S11),S142-'BS Raw'!S61/$B$1,"Chưa có BCTC")</f>
        <v>Chưa có BCTC</v>
      </c>
      <c r="T143" s="1470" t="str">
        <f>IF(ISTEXT(Notes!T11),T142-'BS Raw'!T61/$B$1,"Chưa có BCTC")</f>
        <v>Chưa có BCTC</v>
      </c>
      <c r="U143" s="1470" t="str">
        <f>IF(ISTEXT(Notes!U11),U142-'BS Raw'!U61/$B$1,"Chưa có BCTC")</f>
        <v>Chưa có BCTC</v>
      </c>
      <c r="V143" s="1470" t="str">
        <f>IF(ISTEXT(Notes!V11),V142-'BS Raw'!V61/$B$1,"Chưa có BCTC")</f>
        <v>Chưa có BCTC</v>
      </c>
      <c r="W143" s="1470" t="str">
        <f>IF(ISTEXT(Notes!W11),W142-'BS Raw'!W61/$B$1,"Chưa có BCTC")</f>
        <v>Chưa có BCTC</v>
      </c>
      <c r="X143" s="1470" t="str">
        <f>IF(ISTEXT(Notes!X11),X142-'BS Raw'!X61/$B$1,"Chưa có BCTC")</f>
        <v>Chưa có BCTC</v>
      </c>
      <c r="Y143" s="1470" t="str">
        <f>IF(ISTEXT(Notes!Y11),Y142-'BS Raw'!Y61/$B$1,"Chưa có BCTC")</f>
        <v>Chưa có BCTC</v>
      </c>
      <c r="Z143" s="1470" t="str">
        <f>IF(ISTEXT(Notes!Z11),Z142-'BS Raw'!Z61/$B$1,"Chưa có BCTC")</f>
        <v>Chưa có BCTC</v>
      </c>
      <c r="AA143" s="1470"/>
      <c r="AB143" s="1470"/>
      <c r="AC143" s="1470"/>
      <c r="AD143" s="1470"/>
      <c r="AE143" s="1470"/>
      <c r="AF143" s="1470"/>
      <c r="AG143" s="1470"/>
      <c r="AH143" s="1470"/>
      <c r="AI143" s="1470"/>
      <c r="AJ143" s="1470"/>
      <c r="AK143" s="1470"/>
      <c r="AL143" s="1470"/>
      <c r="AM143" s="1470"/>
      <c r="AN143" s="1470"/>
      <c r="AO143" s="1470"/>
      <c r="AP143" s="1470"/>
      <c r="AQ143" s="1470"/>
      <c r="AR143" s="1470"/>
      <c r="AS143" s="1470"/>
      <c r="AT143" s="1470"/>
      <c r="AU143" s="1470"/>
      <c r="AV143" s="1470"/>
      <c r="AW143" s="1470"/>
      <c r="AX143" s="1470"/>
      <c r="AY143" s="1470"/>
      <c r="AZ143" s="1469"/>
      <c r="BA143" s="1469"/>
      <c r="BB143" s="1479"/>
      <c r="BC143" s="1480"/>
      <c r="BD143" s="1480"/>
      <c r="BE143" s="1480"/>
    </row>
    <row r="144" spans="2:57" s="1458" customFormat="1" ht="24" customHeight="1" x14ac:dyDescent="0.3">
      <c r="B144" s="1481" t="str">
        <f>"- Giá trị còn lại của tài sản đầu tư thêm năm "&amp;YEAR($P$3)</f>
        <v>- Giá trị còn lại của tài sản đầu tư thêm năm 2021</v>
      </c>
      <c r="C144" s="1459"/>
      <c r="D144" s="1459"/>
      <c r="E144" s="1460"/>
      <c r="F144" s="1460"/>
      <c r="G144" s="1460"/>
      <c r="H144" s="1460"/>
      <c r="I144" s="1461"/>
      <c r="J144" s="1461"/>
      <c r="K144" s="1461"/>
      <c r="L144" s="1461"/>
      <c r="M144" s="1461"/>
      <c r="N144" s="1461"/>
      <c r="O144" s="1461"/>
      <c r="P144" s="1501">
        <f>P142</f>
        <v>0</v>
      </c>
      <c r="Q144" s="1502">
        <f>Q128+Q129-Q277</f>
        <v>0</v>
      </c>
      <c r="R144" s="1502">
        <f>Q144-R277</f>
        <v>0</v>
      </c>
      <c r="S144" s="1502">
        <f t="shared" ref="S144:Z144" si="95">R144-S277</f>
        <v>0</v>
      </c>
      <c r="T144" s="1502">
        <f t="shared" si="95"/>
        <v>0</v>
      </c>
      <c r="U144" s="1502">
        <f t="shared" si="95"/>
        <v>0</v>
      </c>
      <c r="V144" s="1502">
        <f t="shared" si="95"/>
        <v>0</v>
      </c>
      <c r="W144" s="1502">
        <f t="shared" si="95"/>
        <v>0</v>
      </c>
      <c r="X144" s="1502">
        <f t="shared" si="95"/>
        <v>0</v>
      </c>
      <c r="Y144" s="1502">
        <f t="shared" si="95"/>
        <v>0</v>
      </c>
      <c r="Z144" s="1502">
        <f t="shared" si="95"/>
        <v>0</v>
      </c>
      <c r="AA144" s="1502"/>
      <c r="AB144" s="1502"/>
      <c r="AC144" s="1502"/>
      <c r="AD144" s="1502"/>
      <c r="AE144" s="1502"/>
      <c r="AF144" s="1502"/>
      <c r="AG144" s="1502"/>
      <c r="AH144" s="1502"/>
      <c r="AI144" s="1502"/>
      <c r="AJ144" s="1502"/>
      <c r="AK144" s="1502"/>
      <c r="AL144" s="1502"/>
      <c r="AM144" s="1502"/>
      <c r="AN144" s="1502"/>
      <c r="AO144" s="1502"/>
      <c r="AP144" s="1502"/>
      <c r="AQ144" s="1502"/>
      <c r="AR144" s="1502"/>
      <c r="AS144" s="1502"/>
      <c r="AT144" s="1502"/>
      <c r="AU144" s="1502"/>
      <c r="AV144" s="1502"/>
      <c r="AW144" s="1502"/>
      <c r="AX144" s="1502"/>
      <c r="AY144" s="1502"/>
      <c r="AZ144" s="1502"/>
      <c r="BA144" s="1502"/>
      <c r="BB144" s="1465"/>
      <c r="BC144" s="1466"/>
      <c r="BD144" s="1466"/>
      <c r="BE144" s="1466"/>
    </row>
    <row r="145" spans="2:57" s="1458" customFormat="1" ht="24" customHeight="1" x14ac:dyDescent="0.3">
      <c r="B145" s="1481" t="str">
        <f>"- Giá trị còn lại của tài sản đầu tư thêm năm "&amp;YEAR($P$3)+1</f>
        <v>- Giá trị còn lại của tài sản đầu tư thêm năm 2022</v>
      </c>
      <c r="C145" s="1459"/>
      <c r="D145" s="1459"/>
      <c r="E145" s="1460"/>
      <c r="F145" s="1460"/>
      <c r="G145" s="1460"/>
      <c r="H145" s="1460"/>
      <c r="I145" s="1461"/>
      <c r="J145" s="1461"/>
      <c r="K145" s="1461"/>
      <c r="L145" s="1461"/>
      <c r="M145" s="1461"/>
      <c r="N145" s="1461"/>
      <c r="O145" s="1461"/>
      <c r="P145" s="1472"/>
      <c r="Q145" s="1502">
        <f>Q128+Q129-Q278</f>
        <v>0</v>
      </c>
      <c r="R145" s="1502">
        <f>Q145-R278</f>
        <v>0</v>
      </c>
      <c r="S145" s="1502">
        <f t="shared" ref="S145:Z145" si="96">R145-S278</f>
        <v>0</v>
      </c>
      <c r="T145" s="1502">
        <f t="shared" si="96"/>
        <v>0</v>
      </c>
      <c r="U145" s="1502">
        <f t="shared" si="96"/>
        <v>0</v>
      </c>
      <c r="V145" s="1502">
        <f t="shared" si="96"/>
        <v>0</v>
      </c>
      <c r="W145" s="1502">
        <f t="shared" si="96"/>
        <v>0</v>
      </c>
      <c r="X145" s="1502">
        <f t="shared" si="96"/>
        <v>0</v>
      </c>
      <c r="Y145" s="1502">
        <f t="shared" si="96"/>
        <v>0</v>
      </c>
      <c r="Z145" s="1502">
        <f t="shared" si="96"/>
        <v>0</v>
      </c>
      <c r="AA145" s="1502"/>
      <c r="AB145" s="1502"/>
      <c r="AC145" s="1502"/>
      <c r="AD145" s="1502"/>
      <c r="AE145" s="1502"/>
      <c r="AF145" s="1502"/>
      <c r="AG145" s="1502"/>
      <c r="AH145" s="1502"/>
      <c r="AI145" s="1502"/>
      <c r="AJ145" s="1502"/>
      <c r="AK145" s="1502"/>
      <c r="AL145" s="1502"/>
      <c r="AM145" s="1502"/>
      <c r="AN145" s="1502"/>
      <c r="AO145" s="1502"/>
      <c r="AP145" s="1502"/>
      <c r="AQ145" s="1502"/>
      <c r="AR145" s="1502"/>
      <c r="AS145" s="1502"/>
      <c r="AT145" s="1502"/>
      <c r="AU145" s="1502"/>
      <c r="AV145" s="1502"/>
      <c r="AW145" s="1502"/>
      <c r="AX145" s="1502"/>
      <c r="AY145" s="1502"/>
      <c r="AZ145" s="1502"/>
      <c r="BA145" s="1502"/>
      <c r="BB145" s="1465"/>
      <c r="BC145" s="1466"/>
      <c r="BD145" s="1466"/>
      <c r="BE145" s="1466"/>
    </row>
    <row r="146" spans="2:57" s="1458" customFormat="1" ht="24.6" customHeight="1" x14ac:dyDescent="0.3">
      <c r="B146" s="1481" t="str">
        <f>"- Giá trị còn lại của tài sản đầu tư thêm năm "&amp;YEAR($P$3)+2</f>
        <v>- Giá trị còn lại của tài sản đầu tư thêm năm 2023</v>
      </c>
      <c r="C146" s="1459"/>
      <c r="D146" s="1459"/>
      <c r="E146" s="1460"/>
      <c r="F146" s="1460"/>
      <c r="G146" s="1460"/>
      <c r="H146" s="1460"/>
      <c r="I146" s="1461"/>
      <c r="J146" s="1461"/>
      <c r="K146" s="1461"/>
      <c r="L146" s="1461"/>
      <c r="M146" s="1461"/>
      <c r="N146" s="1461"/>
      <c r="O146" s="1461"/>
      <c r="P146" s="1472"/>
      <c r="Q146" s="1464"/>
      <c r="R146" s="1502">
        <f>R128+R129-R279</f>
        <v>0</v>
      </c>
      <c r="S146" s="1502">
        <f>R146-S279</f>
        <v>0</v>
      </c>
      <c r="T146" s="1502">
        <f t="shared" ref="T146:Z146" si="97">S146-T279</f>
        <v>0</v>
      </c>
      <c r="U146" s="1502">
        <f t="shared" si="97"/>
        <v>0</v>
      </c>
      <c r="V146" s="1502">
        <f t="shared" si="97"/>
        <v>0</v>
      </c>
      <c r="W146" s="1502">
        <f t="shared" si="97"/>
        <v>0</v>
      </c>
      <c r="X146" s="1502">
        <f t="shared" si="97"/>
        <v>0</v>
      </c>
      <c r="Y146" s="1502">
        <f t="shared" si="97"/>
        <v>0</v>
      </c>
      <c r="Z146" s="1502">
        <f t="shared" si="97"/>
        <v>0</v>
      </c>
      <c r="AA146" s="1502"/>
      <c r="AB146" s="1502"/>
      <c r="AC146" s="1502"/>
      <c r="AD146" s="1502"/>
      <c r="AE146" s="1502"/>
      <c r="AF146" s="1502"/>
      <c r="AG146" s="1502"/>
      <c r="AH146" s="1502"/>
      <c r="AI146" s="1502"/>
      <c r="AJ146" s="1502"/>
      <c r="AK146" s="1502"/>
      <c r="AL146" s="1502"/>
      <c r="AM146" s="1502"/>
      <c r="AN146" s="1502"/>
      <c r="AO146" s="1502"/>
      <c r="AP146" s="1502"/>
      <c r="AQ146" s="1502"/>
      <c r="AR146" s="1502"/>
      <c r="AS146" s="1502"/>
      <c r="AT146" s="1502"/>
      <c r="AU146" s="1502"/>
      <c r="AV146" s="1502"/>
      <c r="AW146" s="1502"/>
      <c r="AX146" s="1502"/>
      <c r="AY146" s="1502"/>
      <c r="AZ146" s="1502"/>
      <c r="BA146" s="1502"/>
      <c r="BB146" s="1465"/>
      <c r="BC146" s="1466"/>
      <c r="BD146" s="1466"/>
      <c r="BE146" s="1466"/>
    </row>
    <row r="147" spans="2:57" s="1458" customFormat="1" ht="25.95" customHeight="1" x14ac:dyDescent="0.3">
      <c r="B147" s="1481" t="str">
        <f>"- Giá trị còn lại của tài sản đầu tư thêm năm "&amp;YEAR($P$3)+3</f>
        <v>- Giá trị còn lại của tài sản đầu tư thêm năm 2024</v>
      </c>
      <c r="C147" s="1459"/>
      <c r="D147" s="1459"/>
      <c r="E147" s="1460"/>
      <c r="F147" s="1460"/>
      <c r="G147" s="1460"/>
      <c r="H147" s="1460"/>
      <c r="I147" s="1461"/>
      <c r="J147" s="1461"/>
      <c r="K147" s="1461"/>
      <c r="L147" s="1461"/>
      <c r="M147" s="1461"/>
      <c r="N147" s="1461"/>
      <c r="O147" s="1461"/>
      <c r="P147" s="1472"/>
      <c r="Q147" s="1464"/>
      <c r="R147" s="1464"/>
      <c r="S147" s="1502">
        <f>S128+S129-S280</f>
        <v>0</v>
      </c>
      <c r="T147" s="1502">
        <f>S147-T280</f>
        <v>0</v>
      </c>
      <c r="U147" s="1502">
        <f t="shared" ref="U147:Z147" si="98">T147-U280</f>
        <v>0</v>
      </c>
      <c r="V147" s="1502">
        <f t="shared" si="98"/>
        <v>0</v>
      </c>
      <c r="W147" s="1502">
        <f t="shared" si="98"/>
        <v>0</v>
      </c>
      <c r="X147" s="1502">
        <f t="shared" si="98"/>
        <v>0</v>
      </c>
      <c r="Y147" s="1502">
        <f t="shared" si="98"/>
        <v>0</v>
      </c>
      <c r="Z147" s="1502">
        <f t="shared" si="98"/>
        <v>0</v>
      </c>
      <c r="AA147" s="1502"/>
      <c r="AB147" s="1502"/>
      <c r="AC147" s="1502"/>
      <c r="AD147" s="1502"/>
      <c r="AE147" s="1502"/>
      <c r="AF147" s="1502"/>
      <c r="AG147" s="1502"/>
      <c r="AH147" s="1502"/>
      <c r="AI147" s="1502"/>
      <c r="AJ147" s="1502"/>
      <c r="AK147" s="1502"/>
      <c r="AL147" s="1502"/>
      <c r="AM147" s="1502"/>
      <c r="AN147" s="1502"/>
      <c r="AO147" s="1502"/>
      <c r="AP147" s="1502"/>
      <c r="AQ147" s="1502"/>
      <c r="AR147" s="1502"/>
      <c r="AS147" s="1502"/>
      <c r="AT147" s="1502"/>
      <c r="AU147" s="1502"/>
      <c r="AV147" s="1502"/>
      <c r="AW147" s="1502"/>
      <c r="AX147" s="1502"/>
      <c r="AY147" s="1502"/>
      <c r="AZ147" s="1502"/>
      <c r="BA147" s="1502"/>
      <c r="BB147" s="1465"/>
      <c r="BC147" s="1466"/>
      <c r="BD147" s="1466"/>
      <c r="BE147" s="1466"/>
    </row>
    <row r="148" spans="2:57" s="1458" customFormat="1" ht="28.95" customHeight="1" x14ac:dyDescent="0.3">
      <c r="B148" s="1481" t="str">
        <f>"- Giá trị còn lại của tài sản đầu tư thêm năm "&amp;YEAR($P$3)+4</f>
        <v>- Giá trị còn lại của tài sản đầu tư thêm năm 2025</v>
      </c>
      <c r="C148" s="1459"/>
      <c r="D148" s="1459"/>
      <c r="E148" s="1460"/>
      <c r="F148" s="1460"/>
      <c r="G148" s="1460"/>
      <c r="H148" s="1460"/>
      <c r="I148" s="1461"/>
      <c r="J148" s="1461"/>
      <c r="K148" s="1461"/>
      <c r="L148" s="1461"/>
      <c r="M148" s="1461"/>
      <c r="N148" s="1461"/>
      <c r="O148" s="1461"/>
      <c r="P148" s="1472"/>
      <c r="Q148" s="1464"/>
      <c r="R148" s="1464"/>
      <c r="S148" s="1464"/>
      <c r="T148" s="1502">
        <f>T128+T129-T281</f>
        <v>0</v>
      </c>
      <c r="U148" s="1502">
        <f>T148-U281</f>
        <v>0</v>
      </c>
      <c r="V148" s="1502">
        <f t="shared" ref="V148:Z148" si="99">U148-V281</f>
        <v>0</v>
      </c>
      <c r="W148" s="1502">
        <f t="shared" si="99"/>
        <v>0</v>
      </c>
      <c r="X148" s="1502">
        <f t="shared" si="99"/>
        <v>0</v>
      </c>
      <c r="Y148" s="1502">
        <f t="shared" si="99"/>
        <v>0</v>
      </c>
      <c r="Z148" s="1502">
        <f t="shared" si="99"/>
        <v>0</v>
      </c>
      <c r="AA148" s="1502"/>
      <c r="AB148" s="1502"/>
      <c r="AC148" s="1502"/>
      <c r="AD148" s="1502"/>
      <c r="AE148" s="1502"/>
      <c r="AF148" s="1502"/>
      <c r="AG148" s="1502"/>
      <c r="AH148" s="1502"/>
      <c r="AI148" s="1502"/>
      <c r="AJ148" s="1502"/>
      <c r="AK148" s="1502"/>
      <c r="AL148" s="1502"/>
      <c r="AM148" s="1502"/>
      <c r="AN148" s="1502"/>
      <c r="AO148" s="1502"/>
      <c r="AP148" s="1502"/>
      <c r="AQ148" s="1502"/>
      <c r="AR148" s="1502"/>
      <c r="AS148" s="1502"/>
      <c r="AT148" s="1502"/>
      <c r="AU148" s="1502"/>
      <c r="AV148" s="1502"/>
      <c r="AW148" s="1502"/>
      <c r="AX148" s="1502"/>
      <c r="AY148" s="1502"/>
      <c r="AZ148" s="1502"/>
      <c r="BA148" s="1502"/>
      <c r="BB148" s="1465"/>
      <c r="BC148" s="1466"/>
      <c r="BD148" s="1466"/>
      <c r="BE148" s="1466"/>
    </row>
    <row r="149" spans="2:57" s="1458" customFormat="1" ht="24.6" customHeight="1" x14ac:dyDescent="0.3">
      <c r="B149" s="1481" t="str">
        <f>"- Giá trị còn lại của tài sản đầu tư thêm năm "&amp;YEAR($P$3)+5</f>
        <v>- Giá trị còn lại của tài sản đầu tư thêm năm 2026</v>
      </c>
      <c r="C149" s="1459"/>
      <c r="D149" s="1459"/>
      <c r="E149" s="1460"/>
      <c r="F149" s="1460"/>
      <c r="G149" s="1460"/>
      <c r="H149" s="1460"/>
      <c r="I149" s="1461"/>
      <c r="J149" s="1461"/>
      <c r="K149" s="1461"/>
      <c r="L149" s="1461"/>
      <c r="M149" s="1461"/>
      <c r="N149" s="1461"/>
      <c r="O149" s="1461"/>
      <c r="P149" s="1472"/>
      <c r="Q149" s="1464"/>
      <c r="R149" s="1464"/>
      <c r="S149" s="1464"/>
      <c r="T149" s="1464"/>
      <c r="U149" s="1502">
        <f>U128+U129-U282</f>
        <v>0</v>
      </c>
      <c r="V149" s="1502">
        <f>U149-V282</f>
        <v>0</v>
      </c>
      <c r="W149" s="1502">
        <f t="shared" ref="W149:Z149" si="100">V149-W282</f>
        <v>0</v>
      </c>
      <c r="X149" s="1502">
        <f t="shared" si="100"/>
        <v>0</v>
      </c>
      <c r="Y149" s="1502">
        <f t="shared" si="100"/>
        <v>0</v>
      </c>
      <c r="Z149" s="1502">
        <f t="shared" si="100"/>
        <v>0</v>
      </c>
      <c r="AA149" s="1502"/>
      <c r="AB149" s="1502"/>
      <c r="AC149" s="1502"/>
      <c r="AD149" s="1502"/>
      <c r="AE149" s="1502"/>
      <c r="AF149" s="1502"/>
      <c r="AG149" s="1502"/>
      <c r="AH149" s="1502"/>
      <c r="AI149" s="1502"/>
      <c r="AJ149" s="1502"/>
      <c r="AK149" s="1502"/>
      <c r="AL149" s="1502"/>
      <c r="AM149" s="1502"/>
      <c r="AN149" s="1502"/>
      <c r="AO149" s="1502"/>
      <c r="AP149" s="1502"/>
      <c r="AQ149" s="1502"/>
      <c r="AR149" s="1502"/>
      <c r="AS149" s="1502"/>
      <c r="AT149" s="1502"/>
      <c r="AU149" s="1502"/>
      <c r="AV149" s="1502"/>
      <c r="AW149" s="1502"/>
      <c r="AX149" s="1502"/>
      <c r="AY149" s="1502"/>
      <c r="AZ149" s="1502"/>
      <c r="BA149" s="1502"/>
      <c r="BB149" s="1465"/>
      <c r="BC149" s="1466"/>
      <c r="BD149" s="1466"/>
      <c r="BE149" s="1466"/>
    </row>
    <row r="150" spans="2:57" s="1458" customFormat="1" ht="25.95" customHeight="1" x14ac:dyDescent="0.3">
      <c r="B150" s="1481" t="str">
        <f>"- Giá trị còn lại của tài sản đầu tư thêm năm "&amp;YEAR($P$3)+6</f>
        <v>- Giá trị còn lại của tài sản đầu tư thêm năm 2027</v>
      </c>
      <c r="C150" s="1459"/>
      <c r="D150" s="1459"/>
      <c r="E150" s="1460"/>
      <c r="F150" s="1460"/>
      <c r="G150" s="1460"/>
      <c r="H150" s="1460"/>
      <c r="I150" s="1461"/>
      <c r="J150" s="1461"/>
      <c r="K150" s="1461"/>
      <c r="L150" s="1461"/>
      <c r="M150" s="1461"/>
      <c r="N150" s="1461"/>
      <c r="O150" s="1461"/>
      <c r="P150" s="1472"/>
      <c r="Q150" s="1464"/>
      <c r="R150" s="1464"/>
      <c r="S150" s="1464"/>
      <c r="T150" s="1464"/>
      <c r="U150" s="1464"/>
      <c r="V150" s="1502">
        <f>V128+V129-V283</f>
        <v>0</v>
      </c>
      <c r="W150" s="1502">
        <f>V150-W283</f>
        <v>0</v>
      </c>
      <c r="X150" s="1502">
        <f t="shared" ref="X150:Z150" si="101">W150-X283</f>
        <v>0</v>
      </c>
      <c r="Y150" s="1502">
        <f t="shared" si="101"/>
        <v>0</v>
      </c>
      <c r="Z150" s="1502">
        <f t="shared" si="101"/>
        <v>0</v>
      </c>
      <c r="AA150" s="1502"/>
      <c r="AB150" s="1502"/>
      <c r="AC150" s="1502"/>
      <c r="AD150" s="1502"/>
      <c r="AE150" s="1502"/>
      <c r="AF150" s="1502"/>
      <c r="AG150" s="1502"/>
      <c r="AH150" s="1502"/>
      <c r="AI150" s="1502"/>
      <c r="AJ150" s="1502"/>
      <c r="AK150" s="1502"/>
      <c r="AL150" s="1502"/>
      <c r="AM150" s="1502"/>
      <c r="AN150" s="1502"/>
      <c r="AO150" s="1502"/>
      <c r="AP150" s="1502"/>
      <c r="AQ150" s="1502"/>
      <c r="AR150" s="1502"/>
      <c r="AS150" s="1502"/>
      <c r="AT150" s="1502"/>
      <c r="AU150" s="1502"/>
      <c r="AV150" s="1502"/>
      <c r="AW150" s="1502"/>
      <c r="AX150" s="1502"/>
      <c r="AY150" s="1502"/>
      <c r="AZ150" s="1502"/>
      <c r="BA150" s="1502"/>
      <c r="BB150" s="1465"/>
      <c r="BC150" s="1466"/>
      <c r="BD150" s="1466"/>
      <c r="BE150" s="1466"/>
    </row>
    <row r="151" spans="2:57" s="1458" customFormat="1" ht="30" customHeight="1" x14ac:dyDescent="0.3">
      <c r="B151" s="1481" t="str">
        <f>"- Giá trị còn lại của tài sản đầu tư thêm năm "&amp;YEAR($P$3)+7</f>
        <v>- Giá trị còn lại của tài sản đầu tư thêm năm 2028</v>
      </c>
      <c r="C151" s="1459"/>
      <c r="D151" s="1459"/>
      <c r="E151" s="1460"/>
      <c r="F151" s="1460"/>
      <c r="G151" s="1460"/>
      <c r="H151" s="1460"/>
      <c r="I151" s="1461"/>
      <c r="J151" s="1461"/>
      <c r="K151" s="1461"/>
      <c r="L151" s="1461"/>
      <c r="M151" s="1461"/>
      <c r="N151" s="1461"/>
      <c r="O151" s="1461"/>
      <c r="P151" s="1472"/>
      <c r="Q151" s="1464"/>
      <c r="R151" s="1464"/>
      <c r="S151" s="1464"/>
      <c r="T151" s="1464"/>
      <c r="U151" s="1464"/>
      <c r="V151" s="1464"/>
      <c r="W151" s="1502">
        <f>W128+W129-W284</f>
        <v>0</v>
      </c>
      <c r="X151" s="1502">
        <f>W151-X284</f>
        <v>0</v>
      </c>
      <c r="Y151" s="1502">
        <f t="shared" ref="Y151:Z151" si="102">X151-Y284</f>
        <v>0</v>
      </c>
      <c r="Z151" s="1502">
        <f t="shared" si="102"/>
        <v>0</v>
      </c>
      <c r="AA151" s="1502"/>
      <c r="AB151" s="1502"/>
      <c r="AC151" s="1502"/>
      <c r="AD151" s="1502"/>
      <c r="AE151" s="1502"/>
      <c r="AF151" s="1502"/>
      <c r="AG151" s="1502"/>
      <c r="AH151" s="1502"/>
      <c r="AI151" s="1502"/>
      <c r="AJ151" s="1502"/>
      <c r="AK151" s="1502"/>
      <c r="AL151" s="1502"/>
      <c r="AM151" s="1502"/>
      <c r="AN151" s="1502"/>
      <c r="AO151" s="1502"/>
      <c r="AP151" s="1502"/>
      <c r="AQ151" s="1502"/>
      <c r="AR151" s="1502"/>
      <c r="AS151" s="1502"/>
      <c r="AT151" s="1502"/>
      <c r="AU151" s="1502"/>
      <c r="AV151" s="1502"/>
      <c r="AW151" s="1502"/>
      <c r="AX151" s="1502"/>
      <c r="AY151" s="1502"/>
      <c r="AZ151" s="1502"/>
      <c r="BA151" s="1502"/>
      <c r="BB151" s="1465"/>
      <c r="BC151" s="1466"/>
      <c r="BD151" s="1466"/>
      <c r="BE151" s="1466"/>
    </row>
    <row r="152" spans="2:57" s="1458" customFormat="1" ht="30.6" customHeight="1" x14ac:dyDescent="0.3">
      <c r="B152" s="1481" t="str">
        <f>"- Giá trị còn lại của tài sản đầu tư thêm năm "&amp;YEAR($P$3)+8</f>
        <v>- Giá trị còn lại của tài sản đầu tư thêm năm 2029</v>
      </c>
      <c r="C152" s="1459"/>
      <c r="D152" s="1459"/>
      <c r="E152" s="1460"/>
      <c r="F152" s="1460"/>
      <c r="G152" s="1460"/>
      <c r="H152" s="1460"/>
      <c r="I152" s="1461"/>
      <c r="J152" s="1461"/>
      <c r="K152" s="1461"/>
      <c r="L152" s="1461"/>
      <c r="M152" s="1461"/>
      <c r="N152" s="1461"/>
      <c r="O152" s="1461"/>
      <c r="P152" s="1472"/>
      <c r="Q152" s="1464"/>
      <c r="R152" s="1464"/>
      <c r="S152" s="1464"/>
      <c r="T152" s="1464"/>
      <c r="U152" s="1464"/>
      <c r="V152" s="1464"/>
      <c r="W152" s="1464"/>
      <c r="X152" s="1502">
        <f>X128+X129-X285</f>
        <v>0</v>
      </c>
      <c r="Y152" s="1502">
        <f>X152-Y285</f>
        <v>0</v>
      </c>
      <c r="Z152" s="1502">
        <f>Y152-Z285</f>
        <v>0</v>
      </c>
      <c r="AA152" s="1502"/>
      <c r="AB152" s="1502"/>
      <c r="AC152" s="1502"/>
      <c r="AD152" s="1502"/>
      <c r="AE152" s="1502"/>
      <c r="AF152" s="1502"/>
      <c r="AG152" s="1502"/>
      <c r="AH152" s="1502"/>
      <c r="AI152" s="1502"/>
      <c r="AJ152" s="1502"/>
      <c r="AK152" s="1502"/>
      <c r="AL152" s="1502"/>
      <c r="AM152" s="1502"/>
      <c r="AN152" s="1502"/>
      <c r="AO152" s="1502"/>
      <c r="AP152" s="1502"/>
      <c r="AQ152" s="1502"/>
      <c r="AR152" s="1502"/>
      <c r="AS152" s="1502"/>
      <c r="AT152" s="1502"/>
      <c r="AU152" s="1502"/>
      <c r="AV152" s="1502"/>
      <c r="AW152" s="1502"/>
      <c r="AX152" s="1502"/>
      <c r="AY152" s="1502"/>
      <c r="AZ152" s="1502"/>
      <c r="BA152" s="1502"/>
      <c r="BB152" s="1465"/>
      <c r="BC152" s="1466"/>
      <c r="BD152" s="1466"/>
      <c r="BE152" s="1466"/>
    </row>
    <row r="153" spans="2:57" s="1458" customFormat="1" ht="30.6" customHeight="1" x14ac:dyDescent="0.3">
      <c r="B153" s="1481" t="str">
        <f>"- Giá trị còn lại của tài sản đầu tư thêm năm "&amp;YEAR($P$3)+9</f>
        <v>- Giá trị còn lại của tài sản đầu tư thêm năm 2030</v>
      </c>
      <c r="C153" s="1459"/>
      <c r="D153" s="1459"/>
      <c r="E153" s="1460"/>
      <c r="F153" s="1460"/>
      <c r="G153" s="1460"/>
      <c r="H153" s="1460"/>
      <c r="I153" s="1461"/>
      <c r="J153" s="1461"/>
      <c r="K153" s="1461"/>
      <c r="L153" s="1461"/>
      <c r="M153" s="1461"/>
      <c r="N153" s="1461"/>
      <c r="O153" s="1461"/>
      <c r="P153" s="1472"/>
      <c r="Q153" s="1464"/>
      <c r="R153" s="1464"/>
      <c r="S153" s="1464"/>
      <c r="T153" s="1464"/>
      <c r="U153" s="1464"/>
      <c r="V153" s="1464"/>
      <c r="W153" s="1464"/>
      <c r="X153" s="1464"/>
      <c r="Y153" s="1502">
        <f>Y128+Y129-Y286</f>
        <v>0</v>
      </c>
      <c r="Z153" s="1502">
        <f>Y153-Z286</f>
        <v>0</v>
      </c>
      <c r="AA153" s="1502"/>
      <c r="AB153" s="1502"/>
      <c r="AC153" s="1502"/>
      <c r="AD153" s="1502"/>
      <c r="AE153" s="1502"/>
      <c r="AF153" s="1502"/>
      <c r="AG153" s="1502"/>
      <c r="AH153" s="1502"/>
      <c r="AI153" s="1502"/>
      <c r="AJ153" s="1502"/>
      <c r="AK153" s="1502"/>
      <c r="AL153" s="1502"/>
      <c r="AM153" s="1502"/>
      <c r="AN153" s="1502"/>
      <c r="AO153" s="1502"/>
      <c r="AP153" s="1502"/>
      <c r="AQ153" s="1502"/>
      <c r="AR153" s="1502"/>
      <c r="AS153" s="1502"/>
      <c r="AT153" s="1502"/>
      <c r="AU153" s="1502"/>
      <c r="AV153" s="1502"/>
      <c r="AW153" s="1502"/>
      <c r="AX153" s="1502"/>
      <c r="AY153" s="1502"/>
      <c r="AZ153" s="1502"/>
      <c r="BA153" s="1502"/>
      <c r="BB153" s="1465"/>
      <c r="BC153" s="1466"/>
      <c r="BD153" s="1466"/>
      <c r="BE153" s="1466"/>
    </row>
    <row r="154" spans="2:57" s="1458" customFormat="1" ht="32.4" customHeight="1" x14ac:dyDescent="0.3">
      <c r="B154" s="1481" t="str">
        <f>"- Giá trị còn lại của tài sản đầu tư thêm năm "&amp;YEAR($P$3)+10</f>
        <v>- Giá trị còn lại của tài sản đầu tư thêm năm 2031</v>
      </c>
      <c r="C154" s="1459"/>
      <c r="D154" s="1459"/>
      <c r="E154" s="1460"/>
      <c r="F154" s="1460"/>
      <c r="G154" s="1460"/>
      <c r="H154" s="1460"/>
      <c r="I154" s="1461"/>
      <c r="J154" s="1461"/>
      <c r="K154" s="1461"/>
      <c r="L154" s="1461"/>
      <c r="M154" s="1461"/>
      <c r="N154" s="1461"/>
      <c r="O154" s="1461"/>
      <c r="P154" s="1472"/>
      <c r="Q154" s="1464"/>
      <c r="R154" s="1464"/>
      <c r="S154" s="1464"/>
      <c r="T154" s="1464"/>
      <c r="U154" s="1464"/>
      <c r="V154" s="1464"/>
      <c r="W154" s="1464"/>
      <c r="X154" s="1464"/>
      <c r="Y154" s="1464"/>
      <c r="Z154" s="1502">
        <f>Z128+Z129-Z287</f>
        <v>0</v>
      </c>
      <c r="AA154" s="1502"/>
      <c r="AB154" s="1502"/>
      <c r="AC154" s="1502"/>
      <c r="AD154" s="1502"/>
      <c r="AE154" s="1502"/>
      <c r="AF154" s="1502"/>
      <c r="AG154" s="1502"/>
      <c r="AH154" s="1502"/>
      <c r="AI154" s="1502"/>
      <c r="AJ154" s="1502"/>
      <c r="AK154" s="1502"/>
      <c r="AL154" s="1502"/>
      <c r="AM154" s="1502"/>
      <c r="AN154" s="1502"/>
      <c r="AO154" s="1502"/>
      <c r="AP154" s="1502"/>
      <c r="AQ154" s="1502"/>
      <c r="AR154" s="1502"/>
      <c r="AS154" s="1502"/>
      <c r="AT154" s="1502"/>
      <c r="AU154" s="1502"/>
      <c r="AV154" s="1502"/>
      <c r="AW154" s="1502"/>
      <c r="AX154" s="1502"/>
      <c r="AY154" s="1502"/>
      <c r="AZ154" s="1502"/>
      <c r="BA154" s="1502"/>
      <c r="BB154" s="1465"/>
      <c r="BC154" s="1466"/>
      <c r="BD154" s="1466"/>
      <c r="BE154" s="1466"/>
    </row>
    <row r="155" spans="2:57" s="1458" customFormat="1" ht="32.4" customHeight="1" x14ac:dyDescent="0.3">
      <c r="B155" s="1481" t="str">
        <f>"- Giá trị còn lại của tài sản đầu tư thêm năm "&amp;YEAR($P$3)+11</f>
        <v>- Giá trị còn lại của tài sản đầu tư thêm năm 2032</v>
      </c>
      <c r="C155" s="1459"/>
      <c r="D155" s="1459"/>
      <c r="E155" s="1460"/>
      <c r="F155" s="1460"/>
      <c r="G155" s="1460"/>
      <c r="H155" s="1460"/>
      <c r="I155" s="1461"/>
      <c r="J155" s="1461"/>
      <c r="K155" s="1461"/>
      <c r="L155" s="1461"/>
      <c r="M155" s="1461"/>
      <c r="N155" s="1461"/>
      <c r="O155" s="1461"/>
      <c r="P155" s="1472"/>
      <c r="Q155" s="1464"/>
      <c r="R155" s="1464"/>
      <c r="S155" s="1464"/>
      <c r="T155" s="1464"/>
      <c r="U155" s="1464"/>
      <c r="V155" s="1464"/>
      <c r="W155" s="1464"/>
      <c r="X155" s="1464"/>
      <c r="Y155" s="1464"/>
      <c r="Z155" s="1464"/>
      <c r="AA155" s="1502"/>
      <c r="AB155" s="1502"/>
      <c r="AC155" s="1502"/>
      <c r="AD155" s="1502"/>
      <c r="AE155" s="1502"/>
      <c r="AF155" s="1502"/>
      <c r="AG155" s="1502"/>
      <c r="AH155" s="1502"/>
      <c r="AI155" s="1502"/>
      <c r="AJ155" s="1502"/>
      <c r="AK155" s="1502"/>
      <c r="AL155" s="1502"/>
      <c r="AM155" s="1502"/>
      <c r="AN155" s="1502"/>
      <c r="AO155" s="1502"/>
      <c r="AP155" s="1502"/>
      <c r="AQ155" s="1502"/>
      <c r="AR155" s="1502"/>
      <c r="AS155" s="1502"/>
      <c r="AT155" s="1502"/>
      <c r="AU155" s="1502"/>
      <c r="AV155" s="1502"/>
      <c r="AW155" s="1502"/>
      <c r="AX155" s="1502"/>
      <c r="AY155" s="1502"/>
      <c r="AZ155" s="1502"/>
      <c r="BA155" s="1502"/>
      <c r="BB155" s="1465"/>
      <c r="BC155" s="1466"/>
      <c r="BD155" s="1466"/>
      <c r="BE155" s="1466"/>
    </row>
    <row r="156" spans="2:57" x14ac:dyDescent="0.3">
      <c r="E156" s="1513"/>
      <c r="F156" s="1513"/>
      <c r="G156" s="1513"/>
      <c r="H156" s="1513"/>
      <c r="I156" s="1513"/>
      <c r="J156" s="1513"/>
      <c r="K156" s="1513"/>
      <c r="L156" s="1513"/>
      <c r="M156" s="1513"/>
      <c r="N156" s="1513"/>
      <c r="O156" s="1513"/>
      <c r="P156" s="1514"/>
      <c r="Q156" s="1513"/>
      <c r="R156" s="1513"/>
      <c r="S156" s="1513"/>
      <c r="T156" s="1513"/>
      <c r="U156" s="1513"/>
      <c r="V156" s="1513"/>
      <c r="W156" s="1513"/>
      <c r="X156" s="1513"/>
      <c r="Y156" s="1513"/>
      <c r="Z156" s="1513"/>
      <c r="AA156" s="1513"/>
      <c r="AB156" s="1513"/>
      <c r="AC156" s="1513"/>
      <c r="AD156" s="1513"/>
      <c r="AE156" s="1513"/>
      <c r="AF156" s="1513"/>
      <c r="AG156" s="1513"/>
      <c r="AH156" s="1513"/>
      <c r="AI156" s="1513"/>
      <c r="AJ156" s="1513"/>
      <c r="AK156" s="1513"/>
      <c r="AL156" s="1513"/>
      <c r="AM156" s="1513"/>
      <c r="AN156" s="1513"/>
      <c r="AO156" s="1513"/>
      <c r="AP156" s="1513"/>
      <c r="AQ156" s="1513"/>
      <c r="AR156" s="1513"/>
      <c r="AS156" s="1513"/>
      <c r="AT156" s="1513"/>
      <c r="AU156" s="1513"/>
      <c r="AV156" s="1513"/>
      <c r="AW156" s="1513"/>
      <c r="AX156" s="1513"/>
      <c r="AY156" s="1513"/>
      <c r="AZ156" s="1513"/>
      <c r="BA156" s="1513"/>
    </row>
    <row r="157" spans="2:57" s="522" customFormat="1" x14ac:dyDescent="0.3">
      <c r="B157" s="1515" t="s">
        <v>1571</v>
      </c>
      <c r="C157" s="1426"/>
      <c r="D157" s="1426"/>
      <c r="E157" s="1434"/>
      <c r="F157" s="1434"/>
      <c r="G157" s="1434"/>
      <c r="H157" s="1516"/>
      <c r="I157" s="1516"/>
      <c r="J157" s="1516"/>
      <c r="K157" s="1516"/>
      <c r="L157" s="1516"/>
      <c r="M157" s="1516"/>
      <c r="N157" s="1516"/>
      <c r="O157" s="1516"/>
      <c r="P157" s="1517"/>
      <c r="Q157" s="122"/>
      <c r="R157" s="122"/>
      <c r="S157" s="122"/>
      <c r="T157" s="122"/>
      <c r="U157" s="122"/>
      <c r="V157" s="122"/>
      <c r="W157" s="122"/>
      <c r="X157" s="122"/>
      <c r="Y157" s="122"/>
      <c r="Z157" s="122"/>
      <c r="AA157" s="122"/>
      <c r="AB157" s="122"/>
      <c r="AC157" s="122"/>
      <c r="AD157" s="122"/>
      <c r="AE157" s="122"/>
      <c r="AF157" s="122"/>
      <c r="AG157" s="122"/>
      <c r="AH157" s="122"/>
      <c r="AI157" s="122"/>
      <c r="AJ157" s="122"/>
      <c r="AK157" s="122"/>
      <c r="AL157" s="122"/>
      <c r="AM157" s="122"/>
      <c r="AN157" s="122"/>
      <c r="AO157" s="122"/>
      <c r="AP157" s="122"/>
      <c r="AQ157" s="122"/>
      <c r="AR157" s="122"/>
      <c r="AS157" s="122"/>
      <c r="AT157" s="122"/>
      <c r="AU157" s="122"/>
      <c r="AV157" s="122"/>
      <c r="AW157" s="122"/>
      <c r="AX157" s="122"/>
      <c r="AY157" s="122"/>
      <c r="AZ157" s="122"/>
      <c r="BA157" s="122"/>
      <c r="BB157" s="1387"/>
      <c r="BC157" s="466"/>
      <c r="BD157" s="466"/>
      <c r="BE157" s="466"/>
    </row>
    <row r="158" spans="2:57" s="1406" customFormat="1" x14ac:dyDescent="0.3">
      <c r="B158" s="1518"/>
      <c r="C158" s="1426"/>
      <c r="D158" s="1426"/>
      <c r="E158" s="1434"/>
      <c r="F158" s="1434"/>
      <c r="G158" s="1434"/>
      <c r="H158" s="155"/>
      <c r="I158" s="155"/>
      <c r="J158" s="155"/>
      <c r="K158" s="155"/>
      <c r="L158" s="155"/>
      <c r="M158" s="155"/>
      <c r="N158" s="155"/>
      <c r="O158" s="155"/>
      <c r="P158" s="1519"/>
      <c r="Q158" s="155"/>
      <c r="R158" s="155"/>
      <c r="S158" s="155"/>
      <c r="T158" s="155"/>
      <c r="U158" s="155"/>
      <c r="V158" s="155"/>
      <c r="W158" s="155"/>
      <c r="X158" s="155"/>
      <c r="Y158" s="155"/>
      <c r="Z158" s="155"/>
      <c r="AA158" s="155"/>
      <c r="AB158" s="155"/>
      <c r="AC158" s="155"/>
      <c r="AD158" s="155"/>
      <c r="AE158" s="155"/>
      <c r="AF158" s="155"/>
      <c r="AG158" s="155"/>
      <c r="AH158" s="155"/>
      <c r="AI158" s="155"/>
      <c r="AJ158" s="155"/>
      <c r="AK158" s="155"/>
      <c r="AL158" s="155"/>
      <c r="AM158" s="155"/>
      <c r="AN158" s="155"/>
      <c r="AO158" s="155"/>
      <c r="AP158" s="155"/>
      <c r="AQ158" s="155"/>
      <c r="AR158" s="155"/>
      <c r="AS158" s="155"/>
      <c r="AT158" s="155"/>
      <c r="AU158" s="155"/>
      <c r="AV158" s="155"/>
      <c r="AW158" s="155"/>
      <c r="AX158" s="155"/>
      <c r="AY158" s="155"/>
      <c r="AZ158" s="155"/>
      <c r="BA158" s="155"/>
      <c r="BB158" s="1407"/>
      <c r="BC158" s="1520"/>
      <c r="BD158" s="1520"/>
      <c r="BE158" s="1520"/>
    </row>
    <row r="159" spans="2:57" s="522" customFormat="1" x14ac:dyDescent="0.3">
      <c r="B159" s="1521" t="s">
        <v>1572</v>
      </c>
      <c r="C159" s="1426"/>
      <c r="D159" s="1426"/>
      <c r="E159" s="1434"/>
      <c r="F159" s="1434"/>
      <c r="G159" s="1434"/>
      <c r="H159" s="155"/>
      <c r="I159" s="155"/>
      <c r="J159" s="155"/>
      <c r="K159" s="155"/>
      <c r="L159" s="155"/>
      <c r="M159" s="155"/>
      <c r="N159" s="155"/>
      <c r="O159" s="155"/>
      <c r="P159" s="1519"/>
      <c r="Q159" s="155"/>
      <c r="R159" s="155"/>
      <c r="S159" s="155"/>
      <c r="T159" s="155"/>
      <c r="U159" s="155"/>
      <c r="V159" s="155"/>
      <c r="W159" s="155"/>
      <c r="X159" s="155"/>
      <c r="Y159" s="155"/>
      <c r="Z159" s="155"/>
      <c r="AA159" s="155"/>
      <c r="AB159" s="155"/>
      <c r="AC159" s="155"/>
      <c r="AD159" s="155"/>
      <c r="AE159" s="155"/>
      <c r="AF159" s="155"/>
      <c r="AG159" s="155"/>
      <c r="AH159" s="155"/>
      <c r="AI159" s="155"/>
      <c r="AJ159" s="155"/>
      <c r="AK159" s="155"/>
      <c r="AL159" s="155"/>
      <c r="AM159" s="155"/>
      <c r="AN159" s="155"/>
      <c r="AO159" s="155"/>
      <c r="AP159" s="155"/>
      <c r="AQ159" s="155"/>
      <c r="AR159" s="155"/>
      <c r="AS159" s="155"/>
      <c r="AT159" s="155"/>
      <c r="AU159" s="155"/>
      <c r="AV159" s="155"/>
      <c r="AW159" s="155"/>
      <c r="AX159" s="155"/>
      <c r="AY159" s="155"/>
      <c r="AZ159" s="155"/>
      <c r="BA159" s="155"/>
      <c r="BB159" s="1407"/>
      <c r="BC159" s="466"/>
      <c r="BD159" s="466"/>
      <c r="BE159" s="466"/>
    </row>
    <row r="160" spans="2:57" s="522" customFormat="1" x14ac:dyDescent="0.3">
      <c r="B160" s="1522" t="s">
        <v>1573</v>
      </c>
      <c r="C160" s="1438"/>
      <c r="D160" s="1438"/>
      <c r="E160" s="1439"/>
      <c r="F160" s="1439"/>
      <c r="G160" s="1439"/>
      <c r="H160" s="122"/>
      <c r="I160" s="1440"/>
      <c r="J160" s="1441">
        <f>'BS Raw'!I64</f>
        <v>29.992621136</v>
      </c>
      <c r="K160" s="1441">
        <f>'BS Raw'!J64</f>
        <v>21.415993584999999</v>
      </c>
      <c r="L160" s="1441">
        <f>'BS Raw'!K64</f>
        <v>31.104990451999999</v>
      </c>
      <c r="M160" s="1441">
        <f>'BS Raw'!L64</f>
        <v>11.268113916000001</v>
      </c>
      <c r="N160" s="1441">
        <f>'BS Raw'!M64</f>
        <v>25.129864154</v>
      </c>
      <c r="O160" s="1441">
        <f>'BS Raw'!N64</f>
        <v>164.76199041800001</v>
      </c>
      <c r="P160" s="1574">
        <f>'BS Raw'!O64</f>
        <v>170.57785144900001</v>
      </c>
      <c r="Q160" s="1442">
        <f>P164</f>
        <v>159.58735877699999</v>
      </c>
      <c r="R160" s="1442">
        <f t="shared" ref="R160:Z160" si="103">Q164</f>
        <v>188.6132290947628</v>
      </c>
      <c r="S160" s="1442">
        <f t="shared" si="103"/>
        <v>211.43553137692058</v>
      </c>
      <c r="T160" s="1442">
        <f t="shared" si="103"/>
        <v>216.55063307270822</v>
      </c>
      <c r="U160" s="1442">
        <f t="shared" si="103"/>
        <v>222.33387308527756</v>
      </c>
      <c r="V160" s="1442">
        <f t="shared" si="103"/>
        <v>228.23208263096086</v>
      </c>
      <c r="W160" s="1442">
        <f t="shared" si="103"/>
        <v>234.57693230621507</v>
      </c>
      <c r="X160" s="1442">
        <f t="shared" si="103"/>
        <v>241.50219927170494</v>
      </c>
      <c r="Y160" s="1442">
        <f t="shared" si="103"/>
        <v>247.50638218538592</v>
      </c>
      <c r="Z160" s="1442">
        <f t="shared" si="103"/>
        <v>253.76480401718493</v>
      </c>
      <c r="AA160" s="1442"/>
      <c r="AB160" s="1442"/>
      <c r="AC160" s="1442"/>
      <c r="AD160" s="1442"/>
      <c r="AE160" s="1442"/>
      <c r="AF160" s="1442"/>
      <c r="AG160" s="1442"/>
      <c r="AH160" s="1442"/>
      <c r="AI160" s="1442"/>
      <c r="AJ160" s="1442"/>
      <c r="AK160" s="1442"/>
      <c r="AL160" s="1442"/>
      <c r="AM160" s="1442"/>
      <c r="AN160" s="1442"/>
      <c r="AO160" s="1442"/>
      <c r="AP160" s="1442"/>
      <c r="AQ160" s="1442"/>
      <c r="AR160" s="1442"/>
      <c r="AS160" s="1442"/>
      <c r="AT160" s="1442"/>
      <c r="AU160" s="1442"/>
      <c r="AV160" s="1442"/>
      <c r="AW160" s="1442"/>
      <c r="AX160" s="1442"/>
      <c r="AY160" s="1442"/>
      <c r="AZ160" s="1442"/>
      <c r="BA160" s="1442"/>
      <c r="BB160" s="1387"/>
      <c r="BC160" s="466"/>
      <c r="BD160" s="466"/>
      <c r="BE160" s="466"/>
    </row>
    <row r="161" spans="2:57" s="522" customFormat="1" x14ac:dyDescent="0.3">
      <c r="B161" s="1522" t="s">
        <v>1574</v>
      </c>
      <c r="C161" s="1438"/>
      <c r="D161" s="1438"/>
      <c r="E161" s="1439"/>
      <c r="F161" s="1439"/>
      <c r="G161" s="1439"/>
      <c r="H161" s="122"/>
      <c r="I161" s="1440"/>
      <c r="J161" s="1440"/>
      <c r="K161" s="1440"/>
      <c r="L161" s="1440"/>
      <c r="M161" s="1440"/>
      <c r="N161" s="1440"/>
      <c r="O161" s="1440"/>
      <c r="P161" s="1473"/>
      <c r="Q161" s="1442">
        <f>Q9*Q17</f>
        <v>29.025870317762813</v>
      </c>
      <c r="R161" s="1442">
        <f t="shared" ref="R161:Z161" si="104">R9*R17</f>
        <v>22.822302282157786</v>
      </c>
      <c r="S161" s="1442">
        <f t="shared" si="104"/>
        <v>5.1151016957876427</v>
      </c>
      <c r="T161" s="1442">
        <f t="shared" si="104"/>
        <v>5.7832400125693466</v>
      </c>
      <c r="U161" s="1442">
        <f t="shared" si="104"/>
        <v>5.8982095456832893</v>
      </c>
      <c r="V161" s="1442">
        <f t="shared" si="104"/>
        <v>6.3448496752541992</v>
      </c>
      <c r="W161" s="1442">
        <f t="shared" si="104"/>
        <v>6.9252669654898558</v>
      </c>
      <c r="X161" s="1442">
        <f t="shared" si="104"/>
        <v>6.0041829136809746</v>
      </c>
      <c r="Y161" s="1442">
        <f t="shared" si="104"/>
        <v>6.2584218317990077</v>
      </c>
      <c r="Z161" s="1442">
        <f t="shared" si="104"/>
        <v>6.5359282577519444</v>
      </c>
      <c r="AA161" s="1442"/>
      <c r="AB161" s="1442"/>
      <c r="AC161" s="1442"/>
      <c r="AD161" s="1442"/>
      <c r="AE161" s="1442"/>
      <c r="AF161" s="1442"/>
      <c r="AG161" s="1442"/>
      <c r="AH161" s="1442"/>
      <c r="AI161" s="1442"/>
      <c r="AJ161" s="1442"/>
      <c r="AK161" s="1442"/>
      <c r="AL161" s="1442"/>
      <c r="AM161" s="1442"/>
      <c r="AN161" s="1442"/>
      <c r="AO161" s="1442"/>
      <c r="AP161" s="1442"/>
      <c r="AQ161" s="1442"/>
      <c r="AR161" s="1442"/>
      <c r="AS161" s="1442"/>
      <c r="AT161" s="1442"/>
      <c r="AU161" s="1442"/>
      <c r="AV161" s="1442"/>
      <c r="AW161" s="1442"/>
      <c r="AX161" s="1442"/>
      <c r="AY161" s="1442"/>
      <c r="AZ161" s="1442"/>
      <c r="BA161" s="1442"/>
      <c r="BB161" s="1387"/>
      <c r="BC161" s="466"/>
      <c r="BD161" s="466"/>
      <c r="BE161" s="466"/>
    </row>
    <row r="162" spans="2:57" s="522" customFormat="1" x14ac:dyDescent="0.3">
      <c r="B162" s="1522" t="s">
        <v>1575</v>
      </c>
      <c r="C162" s="1438"/>
      <c r="D162" s="1438"/>
      <c r="E162" s="1439"/>
      <c r="F162" s="1439"/>
      <c r="G162" s="1439"/>
      <c r="H162" s="122"/>
      <c r="I162" s="1440"/>
      <c r="J162" s="1440"/>
      <c r="K162" s="1440"/>
      <c r="L162" s="1440"/>
      <c r="M162" s="1440"/>
      <c r="N162" s="1440"/>
      <c r="O162" s="1440"/>
      <c r="P162" s="1473"/>
      <c r="Q162" s="1410"/>
      <c r="R162" s="1410"/>
      <c r="S162" s="1410"/>
      <c r="T162" s="1410"/>
      <c r="U162" s="1410"/>
      <c r="V162" s="1410"/>
      <c r="W162" s="1410"/>
      <c r="X162" s="1410"/>
      <c r="Y162" s="1410"/>
      <c r="Z162" s="1410"/>
      <c r="AA162" s="1410"/>
      <c r="AB162" s="1410"/>
      <c r="AC162" s="1410"/>
      <c r="AD162" s="1410"/>
      <c r="AE162" s="1410"/>
      <c r="AF162" s="1410"/>
      <c r="AG162" s="1410"/>
      <c r="AH162" s="1410"/>
      <c r="AI162" s="1410"/>
      <c r="AJ162" s="1410"/>
      <c r="AK162" s="1410"/>
      <c r="AL162" s="1410"/>
      <c r="AM162" s="1410"/>
      <c r="AN162" s="1410"/>
      <c r="AO162" s="1410"/>
      <c r="AP162" s="1410"/>
      <c r="AQ162" s="1410"/>
      <c r="AR162" s="1410"/>
      <c r="AS162" s="1410"/>
      <c r="AT162" s="1410"/>
      <c r="AU162" s="1410"/>
      <c r="AV162" s="1410"/>
      <c r="AW162" s="1410"/>
      <c r="AX162" s="1410"/>
      <c r="AY162" s="1410"/>
      <c r="AZ162" s="1410"/>
      <c r="BA162" s="1410"/>
      <c r="BB162" s="1387"/>
      <c r="BC162" s="466"/>
      <c r="BD162" s="466"/>
      <c r="BE162" s="466"/>
    </row>
    <row r="163" spans="2:57" s="522" customFormat="1" x14ac:dyDescent="0.3">
      <c r="B163" s="1522" t="s">
        <v>1576</v>
      </c>
      <c r="C163" s="1438"/>
      <c r="D163" s="1438"/>
      <c r="E163" s="1439"/>
      <c r="F163" s="1439"/>
      <c r="G163" s="1439"/>
      <c r="H163" s="122"/>
      <c r="I163" s="1440"/>
      <c r="J163" s="1440"/>
      <c r="K163" s="1440"/>
      <c r="L163" s="1440"/>
      <c r="M163" s="1440"/>
      <c r="N163" s="1440"/>
      <c r="O163" s="1440"/>
      <c r="P163" s="1473"/>
      <c r="Q163" s="1410"/>
      <c r="R163" s="1410"/>
      <c r="S163" s="1410"/>
      <c r="T163" s="1410"/>
      <c r="U163" s="1410"/>
      <c r="V163" s="1410"/>
      <c r="W163" s="1410"/>
      <c r="X163" s="1410"/>
      <c r="Y163" s="1410"/>
      <c r="Z163" s="1410"/>
      <c r="AA163" s="1410"/>
      <c r="AB163" s="1410"/>
      <c r="AC163" s="1410"/>
      <c r="AD163" s="1410"/>
      <c r="AE163" s="1410"/>
      <c r="AF163" s="1410"/>
      <c r="AG163" s="1410"/>
      <c r="AH163" s="1410"/>
      <c r="AI163" s="1410"/>
      <c r="AJ163" s="1410"/>
      <c r="AK163" s="1410"/>
      <c r="AL163" s="1410"/>
      <c r="AM163" s="1410"/>
      <c r="AN163" s="1410"/>
      <c r="AO163" s="1410"/>
      <c r="AP163" s="1410"/>
      <c r="AQ163" s="1410"/>
      <c r="AR163" s="1410"/>
      <c r="AS163" s="1410"/>
      <c r="AT163" s="1410"/>
      <c r="AU163" s="1410"/>
      <c r="AV163" s="1410"/>
      <c r="AW163" s="1410"/>
      <c r="AX163" s="1410"/>
      <c r="AY163" s="1410"/>
      <c r="AZ163" s="1410"/>
      <c r="BA163" s="1410"/>
      <c r="BB163" s="1387"/>
      <c r="BC163" s="466"/>
      <c r="BD163" s="466"/>
      <c r="BE163" s="466"/>
    </row>
    <row r="164" spans="2:57" s="522" customFormat="1" x14ac:dyDescent="0.3">
      <c r="B164" s="1522" t="s">
        <v>1577</v>
      </c>
      <c r="C164" s="1438"/>
      <c r="D164" s="1438"/>
      <c r="E164" s="1439"/>
      <c r="F164" s="1439"/>
      <c r="G164" s="1439"/>
      <c r="H164" s="122"/>
      <c r="I164" s="1440"/>
      <c r="J164" s="1441">
        <f>'BS Raw'!J64</f>
        <v>21.415993584999999</v>
      </c>
      <c r="K164" s="1441">
        <f>'BS Raw'!K64</f>
        <v>31.104990451999999</v>
      </c>
      <c r="L164" s="1441">
        <f>'BS Raw'!L64</f>
        <v>11.268113916000001</v>
      </c>
      <c r="M164" s="1441">
        <f>'BS Raw'!M64</f>
        <v>25.129864154</v>
      </c>
      <c r="N164" s="1441">
        <f>'BS Raw'!N64</f>
        <v>164.76199041800001</v>
      </c>
      <c r="O164" s="1441">
        <f>'BS Raw'!O64</f>
        <v>170.57785144900001</v>
      </c>
      <c r="P164" s="1574">
        <f>'BS Raw'!P64</f>
        <v>159.58735877699999</v>
      </c>
      <c r="Q164" s="1442">
        <f>SUM(Q160:Q163)</f>
        <v>188.6132290947628</v>
      </c>
      <c r="R164" s="1442">
        <f t="shared" ref="R164:Z164" si="105">SUM(R160:R163)</f>
        <v>211.43553137692058</v>
      </c>
      <c r="S164" s="1442">
        <f t="shared" si="105"/>
        <v>216.55063307270822</v>
      </c>
      <c r="T164" s="1442">
        <f t="shared" si="105"/>
        <v>222.33387308527756</v>
      </c>
      <c r="U164" s="1442">
        <f t="shared" si="105"/>
        <v>228.23208263096086</v>
      </c>
      <c r="V164" s="1442">
        <f t="shared" si="105"/>
        <v>234.57693230621507</v>
      </c>
      <c r="W164" s="1442">
        <f t="shared" si="105"/>
        <v>241.50219927170494</v>
      </c>
      <c r="X164" s="1442">
        <f t="shared" si="105"/>
        <v>247.50638218538592</v>
      </c>
      <c r="Y164" s="1442">
        <f t="shared" si="105"/>
        <v>253.76480401718493</v>
      </c>
      <c r="Z164" s="1442">
        <f t="shared" si="105"/>
        <v>260.30073227493688</v>
      </c>
      <c r="AA164" s="1442"/>
      <c r="AB164" s="1442"/>
      <c r="AC164" s="1442"/>
      <c r="AD164" s="1442"/>
      <c r="AE164" s="1442"/>
      <c r="AF164" s="1442"/>
      <c r="AG164" s="1442"/>
      <c r="AH164" s="1442"/>
      <c r="AI164" s="1442"/>
      <c r="AJ164" s="1442"/>
      <c r="AK164" s="1442"/>
      <c r="AL164" s="1442"/>
      <c r="AM164" s="1442"/>
      <c r="AN164" s="1442"/>
      <c r="AO164" s="1442"/>
      <c r="AP164" s="1442"/>
      <c r="AQ164" s="1442"/>
      <c r="AR164" s="1442"/>
      <c r="AS164" s="1442"/>
      <c r="AT164" s="1442"/>
      <c r="AU164" s="1442"/>
      <c r="AV164" s="1442"/>
      <c r="AW164" s="1442"/>
      <c r="AX164" s="1442"/>
      <c r="AY164" s="1442"/>
      <c r="AZ164" s="1442"/>
      <c r="BA164" s="1442"/>
      <c r="BB164" s="1387"/>
      <c r="BC164" s="466"/>
      <c r="BD164" s="466"/>
      <c r="BE164" s="466"/>
    </row>
    <row r="165" spans="2:57" s="522" customFormat="1" x14ac:dyDescent="0.3">
      <c r="B165" s="1522"/>
      <c r="C165" s="1438"/>
      <c r="D165" s="1438"/>
      <c r="E165" s="1439"/>
      <c r="F165" s="1439"/>
      <c r="G165" s="1439"/>
      <c r="H165" s="122"/>
      <c r="I165" s="122"/>
      <c r="J165" s="122"/>
      <c r="K165" s="122"/>
      <c r="L165" s="122"/>
      <c r="M165" s="122"/>
      <c r="N165" s="122"/>
      <c r="O165" s="122"/>
      <c r="P165" s="1487"/>
      <c r="Q165" s="122"/>
      <c r="R165" s="122"/>
      <c r="S165" s="122"/>
      <c r="T165" s="122"/>
      <c r="U165" s="122"/>
      <c r="V165" s="122"/>
      <c r="W165" s="122"/>
      <c r="X165" s="122"/>
      <c r="Y165" s="122"/>
      <c r="Z165" s="122"/>
      <c r="AA165" s="122"/>
      <c r="AB165" s="122"/>
      <c r="AC165" s="122"/>
      <c r="AD165" s="122"/>
      <c r="AE165" s="122"/>
      <c r="AF165" s="122"/>
      <c r="AG165" s="122"/>
      <c r="AH165" s="122"/>
      <c r="AI165" s="122"/>
      <c r="AJ165" s="122"/>
      <c r="AK165" s="122"/>
      <c r="AL165" s="122"/>
      <c r="AM165" s="122"/>
      <c r="AN165" s="122"/>
      <c r="AO165" s="122"/>
      <c r="AP165" s="122"/>
      <c r="AQ165" s="122"/>
      <c r="AR165" s="122"/>
      <c r="AS165" s="122"/>
      <c r="AT165" s="122"/>
      <c r="AU165" s="122"/>
      <c r="AV165" s="122"/>
      <c r="AW165" s="122"/>
      <c r="AX165" s="122"/>
      <c r="AY165" s="122"/>
      <c r="AZ165" s="122"/>
      <c r="BA165" s="122"/>
      <c r="BB165" s="1387"/>
      <c r="BC165" s="466"/>
      <c r="BD165" s="466"/>
      <c r="BE165" s="466"/>
    </row>
    <row r="166" spans="2:57" s="1406" customFormat="1" x14ac:dyDescent="0.3">
      <c r="B166" s="1523" t="s">
        <v>1578</v>
      </c>
      <c r="C166" s="1426"/>
      <c r="D166" s="1426"/>
      <c r="E166" s="1434"/>
      <c r="F166" s="1434"/>
      <c r="G166" s="1434"/>
      <c r="H166" s="155"/>
      <c r="I166" s="155"/>
      <c r="J166" s="155"/>
      <c r="K166" s="155"/>
      <c r="L166" s="155"/>
      <c r="M166" s="155"/>
      <c r="N166" s="155"/>
      <c r="O166" s="155"/>
      <c r="P166" s="1519"/>
      <c r="Q166" s="155"/>
      <c r="R166" s="155"/>
      <c r="S166" s="155"/>
      <c r="T166" s="155"/>
      <c r="U166" s="155"/>
      <c r="V166" s="155"/>
      <c r="W166" s="155"/>
      <c r="X166" s="155"/>
      <c r="Y166" s="155"/>
      <c r="Z166" s="155"/>
      <c r="AA166" s="155"/>
      <c r="AB166" s="155"/>
      <c r="AC166" s="155"/>
      <c r="AD166" s="155"/>
      <c r="AE166" s="155"/>
      <c r="AF166" s="155"/>
      <c r="AG166" s="155"/>
      <c r="AH166" s="155"/>
      <c r="AI166" s="155"/>
      <c r="AJ166" s="155"/>
      <c r="AK166" s="155"/>
      <c r="AL166" s="155"/>
      <c r="AM166" s="155"/>
      <c r="AN166" s="155"/>
      <c r="AO166" s="155"/>
      <c r="AP166" s="155"/>
      <c r="AQ166" s="155"/>
      <c r="AR166" s="155"/>
      <c r="AS166" s="155"/>
      <c r="AT166" s="155"/>
      <c r="AU166" s="155"/>
      <c r="AV166" s="155"/>
      <c r="AW166" s="155"/>
      <c r="AX166" s="155"/>
      <c r="AY166" s="155"/>
      <c r="AZ166" s="155"/>
      <c r="BA166" s="155"/>
      <c r="BB166" s="1407"/>
      <c r="BC166" s="1520"/>
      <c r="BD166" s="1520"/>
      <c r="BE166" s="1520"/>
    </row>
    <row r="167" spans="2:57" s="522" customFormat="1" x14ac:dyDescent="0.3">
      <c r="B167" s="1522" t="s">
        <v>1573</v>
      </c>
      <c r="C167" s="1438"/>
      <c r="D167" s="1438"/>
      <c r="E167" s="1439"/>
      <c r="F167" s="1439"/>
      <c r="G167" s="1439"/>
      <c r="H167" s="122"/>
      <c r="I167" s="1440"/>
      <c r="J167" s="1440"/>
      <c r="K167" s="1440"/>
      <c r="L167" s="1440"/>
      <c r="M167" s="1440"/>
      <c r="N167" s="1440"/>
      <c r="O167" s="1440"/>
      <c r="P167" s="1473"/>
      <c r="Q167" s="1410">
        <f>P171</f>
        <v>0</v>
      </c>
      <c r="R167" s="1410">
        <f t="shared" ref="R167:Z167" si="106">Q171</f>
        <v>0</v>
      </c>
      <c r="S167" s="1410">
        <f t="shared" si="106"/>
        <v>0</v>
      </c>
      <c r="T167" s="1410">
        <f t="shared" si="106"/>
        <v>0</v>
      </c>
      <c r="U167" s="1410">
        <f t="shared" si="106"/>
        <v>0</v>
      </c>
      <c r="V167" s="1410">
        <f t="shared" si="106"/>
        <v>0</v>
      </c>
      <c r="W167" s="1410">
        <f t="shared" si="106"/>
        <v>0</v>
      </c>
      <c r="X167" s="1410">
        <f t="shared" si="106"/>
        <v>0</v>
      </c>
      <c r="Y167" s="1410">
        <f t="shared" si="106"/>
        <v>0</v>
      </c>
      <c r="Z167" s="1410">
        <f t="shared" si="106"/>
        <v>0</v>
      </c>
      <c r="AA167" s="1410"/>
      <c r="AB167" s="1410"/>
      <c r="AC167" s="1410"/>
      <c r="AD167" s="1410"/>
      <c r="AE167" s="1410"/>
      <c r="AF167" s="1410"/>
      <c r="AG167" s="1410"/>
      <c r="AH167" s="1410"/>
      <c r="AI167" s="1410"/>
      <c r="AJ167" s="1410"/>
      <c r="AK167" s="1410"/>
      <c r="AL167" s="1410"/>
      <c r="AM167" s="1410"/>
      <c r="AN167" s="1410"/>
      <c r="AO167" s="1410"/>
      <c r="AP167" s="1410"/>
      <c r="AQ167" s="1410"/>
      <c r="AR167" s="1410"/>
      <c r="AS167" s="1410"/>
      <c r="AT167" s="1410"/>
      <c r="AU167" s="1410"/>
      <c r="AV167" s="1410"/>
      <c r="AW167" s="1410"/>
      <c r="AX167" s="1410"/>
      <c r="AY167" s="1410"/>
      <c r="AZ167" s="1410"/>
      <c r="BA167" s="1410"/>
      <c r="BB167" s="1387"/>
      <c r="BC167" s="466"/>
      <c r="BD167" s="466"/>
      <c r="BE167" s="466"/>
    </row>
    <row r="168" spans="2:57" s="522" customFormat="1" x14ac:dyDescent="0.3">
      <c r="B168" s="1522" t="s">
        <v>1574</v>
      </c>
      <c r="C168" s="1438"/>
      <c r="D168" s="1438"/>
      <c r="E168" s="1439"/>
      <c r="F168" s="1439"/>
      <c r="G168" s="1439"/>
      <c r="H168" s="122"/>
      <c r="I168" s="1440"/>
      <c r="J168" s="1440"/>
      <c r="K168" s="1440"/>
      <c r="L168" s="1440"/>
      <c r="M168" s="1440"/>
      <c r="N168" s="1440"/>
      <c r="O168" s="1440"/>
      <c r="P168" s="1473"/>
      <c r="Q168" s="1410">
        <v>0</v>
      </c>
      <c r="R168" s="1410">
        <v>0</v>
      </c>
      <c r="S168" s="1410">
        <v>0</v>
      </c>
      <c r="T168" s="1410">
        <v>0</v>
      </c>
      <c r="U168" s="1410">
        <v>0</v>
      </c>
      <c r="V168" s="1410">
        <v>0</v>
      </c>
      <c r="W168" s="1410">
        <v>0</v>
      </c>
      <c r="X168" s="1410">
        <v>0</v>
      </c>
      <c r="Y168" s="1410">
        <v>0</v>
      </c>
      <c r="Z168" s="1410">
        <v>0</v>
      </c>
      <c r="AA168" s="1410"/>
      <c r="AB168" s="1410"/>
      <c r="AC168" s="1410"/>
      <c r="AD168" s="1410"/>
      <c r="AE168" s="1410"/>
      <c r="AF168" s="1410"/>
      <c r="AG168" s="1410"/>
      <c r="AH168" s="1410"/>
      <c r="AI168" s="1410"/>
      <c r="AJ168" s="1410"/>
      <c r="AK168" s="1410"/>
      <c r="AL168" s="1410"/>
      <c r="AM168" s="1410"/>
      <c r="AN168" s="1410"/>
      <c r="AO168" s="1410"/>
      <c r="AP168" s="1410"/>
      <c r="AQ168" s="1410"/>
      <c r="AR168" s="1410"/>
      <c r="AS168" s="1410"/>
      <c r="AT168" s="1410"/>
      <c r="AU168" s="1410"/>
      <c r="AV168" s="1410"/>
      <c r="AW168" s="1410"/>
      <c r="AX168" s="1410"/>
      <c r="AY168" s="1410"/>
      <c r="AZ168" s="1410"/>
      <c r="BA168" s="1410"/>
      <c r="BB168" s="1387"/>
      <c r="BC168" s="466"/>
      <c r="BD168" s="466"/>
      <c r="BE168" s="466"/>
    </row>
    <row r="169" spans="2:57" s="522" customFormat="1" x14ac:dyDescent="0.3">
      <c r="B169" s="1522" t="s">
        <v>1575</v>
      </c>
      <c r="C169" s="1438"/>
      <c r="D169" s="1438"/>
      <c r="E169" s="1439"/>
      <c r="F169" s="1439"/>
      <c r="G169" s="1439"/>
      <c r="H169" s="122"/>
      <c r="I169" s="1440"/>
      <c r="J169" s="1440"/>
      <c r="K169" s="1440"/>
      <c r="L169" s="1440"/>
      <c r="M169" s="1440"/>
      <c r="N169" s="1440"/>
      <c r="O169" s="1440"/>
      <c r="P169" s="1473"/>
      <c r="Q169" s="1410">
        <v>0</v>
      </c>
      <c r="R169" s="1410">
        <v>0</v>
      </c>
      <c r="S169" s="1410">
        <v>0</v>
      </c>
      <c r="T169" s="1410">
        <v>0</v>
      </c>
      <c r="U169" s="1410">
        <v>0</v>
      </c>
      <c r="V169" s="1410">
        <v>0</v>
      </c>
      <c r="W169" s="1410">
        <v>0</v>
      </c>
      <c r="X169" s="1410">
        <v>0</v>
      </c>
      <c r="Y169" s="1410">
        <v>0</v>
      </c>
      <c r="Z169" s="1410">
        <v>0</v>
      </c>
      <c r="AA169" s="1410"/>
      <c r="AB169" s="1410"/>
      <c r="AC169" s="1410"/>
      <c r="AD169" s="1410"/>
      <c r="AE169" s="1410"/>
      <c r="AF169" s="1410"/>
      <c r="AG169" s="1410"/>
      <c r="AH169" s="1410"/>
      <c r="AI169" s="1410"/>
      <c r="AJ169" s="1410"/>
      <c r="AK169" s="1410"/>
      <c r="AL169" s="1410"/>
      <c r="AM169" s="1410"/>
      <c r="AN169" s="1410"/>
      <c r="AO169" s="1410"/>
      <c r="AP169" s="1410"/>
      <c r="AQ169" s="1410"/>
      <c r="AR169" s="1410"/>
      <c r="AS169" s="1410"/>
      <c r="AT169" s="1410"/>
      <c r="AU169" s="1410"/>
      <c r="AV169" s="1410"/>
      <c r="AW169" s="1410"/>
      <c r="AX169" s="1410"/>
      <c r="AY169" s="1410"/>
      <c r="AZ169" s="1410"/>
      <c r="BA169" s="1410"/>
      <c r="BB169" s="1387"/>
      <c r="BC169" s="466"/>
      <c r="BD169" s="466"/>
      <c r="BE169" s="466"/>
    </row>
    <row r="170" spans="2:57" s="522" customFormat="1" x14ac:dyDescent="0.3">
      <c r="B170" s="1522" t="s">
        <v>1576</v>
      </c>
      <c r="C170" s="1438"/>
      <c r="D170" s="1438"/>
      <c r="E170" s="1439"/>
      <c r="F170" s="1439"/>
      <c r="G170" s="1439"/>
      <c r="H170" s="122"/>
      <c r="I170" s="1440"/>
      <c r="J170" s="1440"/>
      <c r="K170" s="1440"/>
      <c r="L170" s="1440"/>
      <c r="M170" s="1440"/>
      <c r="N170" s="1440"/>
      <c r="O170" s="1440"/>
      <c r="P170" s="1473"/>
      <c r="Q170" s="1410">
        <v>0</v>
      </c>
      <c r="R170" s="1410">
        <v>0</v>
      </c>
      <c r="S170" s="1410">
        <v>0</v>
      </c>
      <c r="T170" s="1410">
        <v>0</v>
      </c>
      <c r="U170" s="1410">
        <v>0</v>
      </c>
      <c r="V170" s="1410">
        <v>0</v>
      </c>
      <c r="W170" s="1410">
        <v>0</v>
      </c>
      <c r="X170" s="1410">
        <v>0</v>
      </c>
      <c r="Y170" s="1410">
        <v>0</v>
      </c>
      <c r="Z170" s="1410">
        <v>0</v>
      </c>
      <c r="AA170" s="1410"/>
      <c r="AB170" s="1410"/>
      <c r="AC170" s="1410"/>
      <c r="AD170" s="1410"/>
      <c r="AE170" s="1410"/>
      <c r="AF170" s="1410"/>
      <c r="AG170" s="1410"/>
      <c r="AH170" s="1410"/>
      <c r="AI170" s="1410"/>
      <c r="AJ170" s="1410"/>
      <c r="AK170" s="1410"/>
      <c r="AL170" s="1410"/>
      <c r="AM170" s="1410"/>
      <c r="AN170" s="1410"/>
      <c r="AO170" s="1410"/>
      <c r="AP170" s="1410"/>
      <c r="AQ170" s="1410"/>
      <c r="AR170" s="1410"/>
      <c r="AS170" s="1410"/>
      <c r="AT170" s="1410"/>
      <c r="AU170" s="1410"/>
      <c r="AV170" s="1410"/>
      <c r="AW170" s="1410"/>
      <c r="AX170" s="1410"/>
      <c r="AY170" s="1410"/>
      <c r="AZ170" s="1410"/>
      <c r="BA170" s="1410"/>
      <c r="BB170" s="1387"/>
      <c r="BC170" s="466"/>
      <c r="BD170" s="466"/>
      <c r="BE170" s="466"/>
    </row>
    <row r="171" spans="2:57" s="1406" customFormat="1" x14ac:dyDescent="0.3">
      <c r="B171" s="1522" t="s">
        <v>1577</v>
      </c>
      <c r="C171" s="1426"/>
      <c r="D171" s="1426"/>
      <c r="E171" s="1434"/>
      <c r="F171" s="1434"/>
      <c r="G171" s="1434"/>
      <c r="H171" s="122"/>
      <c r="I171" s="1440"/>
      <c r="J171" s="1440"/>
      <c r="K171" s="1440"/>
      <c r="L171" s="1440"/>
      <c r="M171" s="1440"/>
      <c r="N171" s="1440"/>
      <c r="O171" s="1440"/>
      <c r="P171" s="1473">
        <v>0</v>
      </c>
      <c r="Q171" s="1410">
        <f>SUM(Q167:Q170)</f>
        <v>0</v>
      </c>
      <c r="R171" s="1410">
        <f t="shared" ref="R171:Z171" si="107">SUM(R167:R170)</f>
        <v>0</v>
      </c>
      <c r="S171" s="1410">
        <f t="shared" si="107"/>
        <v>0</v>
      </c>
      <c r="T171" s="1410">
        <f t="shared" si="107"/>
        <v>0</v>
      </c>
      <c r="U171" s="1410">
        <f t="shared" si="107"/>
        <v>0</v>
      </c>
      <c r="V171" s="1410">
        <f t="shared" si="107"/>
        <v>0</v>
      </c>
      <c r="W171" s="1410">
        <f t="shared" si="107"/>
        <v>0</v>
      </c>
      <c r="X171" s="1410">
        <f t="shared" si="107"/>
        <v>0</v>
      </c>
      <c r="Y171" s="1410">
        <f t="shared" si="107"/>
        <v>0</v>
      </c>
      <c r="Z171" s="1410">
        <f t="shared" si="107"/>
        <v>0</v>
      </c>
      <c r="AA171" s="1410"/>
      <c r="AB171" s="1410"/>
      <c r="AC171" s="1410"/>
      <c r="AD171" s="1410"/>
      <c r="AE171" s="1410"/>
      <c r="AF171" s="1410"/>
      <c r="AG171" s="1410"/>
      <c r="AH171" s="1410"/>
      <c r="AI171" s="1410"/>
      <c r="AJ171" s="1410"/>
      <c r="AK171" s="1410"/>
      <c r="AL171" s="1410"/>
      <c r="AM171" s="1410"/>
      <c r="AN171" s="1410"/>
      <c r="AO171" s="1410"/>
      <c r="AP171" s="1410"/>
      <c r="AQ171" s="1410"/>
      <c r="AR171" s="1410"/>
      <c r="AS171" s="1410"/>
      <c r="AT171" s="1410"/>
      <c r="AU171" s="1410"/>
      <c r="AV171" s="1410"/>
      <c r="AW171" s="1410"/>
      <c r="AX171" s="1410"/>
      <c r="AY171" s="1410"/>
      <c r="AZ171" s="1410"/>
      <c r="BA171" s="1410"/>
      <c r="BB171" s="1387"/>
      <c r="BC171" s="1520"/>
      <c r="BD171" s="1520"/>
      <c r="BE171" s="1520"/>
    </row>
    <row r="172" spans="2:57" s="1406" customFormat="1" x14ac:dyDescent="0.3">
      <c r="B172" s="1522"/>
      <c r="C172" s="1426"/>
      <c r="D172" s="1426"/>
      <c r="E172" s="1434"/>
      <c r="F172" s="1434"/>
      <c r="G172" s="1434"/>
      <c r="H172" s="122"/>
      <c r="I172" s="122"/>
      <c r="J172" s="122"/>
      <c r="K172" s="122"/>
      <c r="L172" s="122"/>
      <c r="M172" s="155"/>
      <c r="N172" s="155"/>
      <c r="O172" s="155"/>
      <c r="P172" s="1519"/>
      <c r="Q172" s="155"/>
      <c r="R172" s="155"/>
      <c r="S172" s="155"/>
      <c r="T172" s="155"/>
      <c r="U172" s="155"/>
      <c r="V172" s="155"/>
      <c r="W172" s="155"/>
      <c r="X172" s="155"/>
      <c r="Y172" s="155"/>
      <c r="Z172" s="155"/>
      <c r="AA172" s="155"/>
      <c r="AB172" s="155"/>
      <c r="AC172" s="155"/>
      <c r="AD172" s="155"/>
      <c r="AE172" s="155"/>
      <c r="AF172" s="155"/>
      <c r="AG172" s="155"/>
      <c r="AH172" s="155"/>
      <c r="AI172" s="155"/>
      <c r="AJ172" s="155"/>
      <c r="AK172" s="155"/>
      <c r="AL172" s="155"/>
      <c r="AM172" s="155"/>
      <c r="AN172" s="155"/>
      <c r="AO172" s="155"/>
      <c r="AP172" s="155"/>
      <c r="AQ172" s="155"/>
      <c r="AR172" s="155"/>
      <c r="AS172" s="155"/>
      <c r="AT172" s="155"/>
      <c r="AU172" s="155"/>
      <c r="AV172" s="155"/>
      <c r="AW172" s="155"/>
      <c r="AX172" s="155"/>
      <c r="AY172" s="155"/>
      <c r="AZ172" s="155"/>
      <c r="BA172" s="155"/>
      <c r="BB172" s="1407"/>
      <c r="BC172" s="1520"/>
      <c r="BD172" s="1520"/>
      <c r="BE172" s="1520"/>
    </row>
    <row r="173" spans="2:57" s="1406" customFormat="1" x14ac:dyDescent="0.3">
      <c r="B173" s="1523" t="s">
        <v>1579</v>
      </c>
      <c r="C173" s="1426"/>
      <c r="D173" s="1426"/>
      <c r="E173" s="1434"/>
      <c r="F173" s="1434"/>
      <c r="G173" s="1434"/>
      <c r="H173" s="122"/>
      <c r="I173" s="122"/>
      <c r="J173" s="122"/>
      <c r="K173" s="122"/>
      <c r="L173" s="122"/>
      <c r="M173" s="155"/>
      <c r="N173" s="155"/>
      <c r="O173" s="155"/>
      <c r="P173" s="1519"/>
      <c r="Q173" s="155"/>
      <c r="R173" s="155"/>
      <c r="S173" s="155"/>
      <c r="T173" s="155"/>
      <c r="U173" s="155"/>
      <c r="V173" s="155"/>
      <c r="W173" s="155"/>
      <c r="X173" s="155"/>
      <c r="Y173" s="155"/>
      <c r="Z173" s="155"/>
      <c r="AA173" s="155"/>
      <c r="AB173" s="155"/>
      <c r="AC173" s="155"/>
      <c r="AD173" s="155"/>
      <c r="AE173" s="155"/>
      <c r="AF173" s="155"/>
      <c r="AG173" s="155"/>
      <c r="AH173" s="155"/>
      <c r="AI173" s="155"/>
      <c r="AJ173" s="155"/>
      <c r="AK173" s="155"/>
      <c r="AL173" s="155"/>
      <c r="AM173" s="155"/>
      <c r="AN173" s="155"/>
      <c r="AO173" s="155"/>
      <c r="AP173" s="155"/>
      <c r="AQ173" s="155"/>
      <c r="AR173" s="155"/>
      <c r="AS173" s="155"/>
      <c r="AT173" s="155"/>
      <c r="AU173" s="155"/>
      <c r="AV173" s="155"/>
      <c r="AW173" s="155"/>
      <c r="AX173" s="155"/>
      <c r="AY173" s="155"/>
      <c r="AZ173" s="155"/>
      <c r="BA173" s="155"/>
      <c r="BB173" s="1407"/>
      <c r="BC173" s="1520"/>
      <c r="BD173" s="1520"/>
      <c r="BE173" s="1520"/>
    </row>
    <row r="174" spans="2:57" s="1406" customFormat="1" x14ac:dyDescent="0.3">
      <c r="B174" s="1522" t="s">
        <v>1573</v>
      </c>
      <c r="C174" s="1426"/>
      <c r="D174" s="1426"/>
      <c r="E174" s="1434"/>
      <c r="F174" s="1434"/>
      <c r="G174" s="1434"/>
      <c r="H174" s="122"/>
      <c r="I174" s="1440"/>
      <c r="J174" s="1440"/>
      <c r="K174" s="1440"/>
      <c r="L174" s="1440"/>
      <c r="M174" s="1440"/>
      <c r="N174" s="1440"/>
      <c r="O174" s="1440"/>
      <c r="P174" s="1473"/>
      <c r="Q174" s="1410">
        <f>P179</f>
        <v>0</v>
      </c>
      <c r="R174" s="1410">
        <f t="shared" ref="R174:Z174" si="108">Q179</f>
        <v>0</v>
      </c>
      <c r="S174" s="1410">
        <f t="shared" si="108"/>
        <v>0</v>
      </c>
      <c r="T174" s="1410">
        <f t="shared" si="108"/>
        <v>0</v>
      </c>
      <c r="U174" s="1410">
        <f t="shared" si="108"/>
        <v>0</v>
      </c>
      <c r="V174" s="1410">
        <f t="shared" si="108"/>
        <v>0</v>
      </c>
      <c r="W174" s="1410">
        <f t="shared" si="108"/>
        <v>0</v>
      </c>
      <c r="X174" s="1410">
        <f t="shared" si="108"/>
        <v>0</v>
      </c>
      <c r="Y174" s="1410">
        <f t="shared" si="108"/>
        <v>0</v>
      </c>
      <c r="Z174" s="1410">
        <f t="shared" si="108"/>
        <v>0</v>
      </c>
      <c r="AA174" s="1410"/>
      <c r="AB174" s="1410"/>
      <c r="AC174" s="1410"/>
      <c r="AD174" s="1410"/>
      <c r="AE174" s="1410"/>
      <c r="AF174" s="1410"/>
      <c r="AG174" s="1410"/>
      <c r="AH174" s="1410"/>
      <c r="AI174" s="1410"/>
      <c r="AJ174" s="1410"/>
      <c r="AK174" s="1410"/>
      <c r="AL174" s="1410"/>
      <c r="AM174" s="1410"/>
      <c r="AN174" s="1410"/>
      <c r="AO174" s="1410"/>
      <c r="AP174" s="1410"/>
      <c r="AQ174" s="1410"/>
      <c r="AR174" s="1410"/>
      <c r="AS174" s="1410"/>
      <c r="AT174" s="1410"/>
      <c r="AU174" s="1410"/>
      <c r="AV174" s="1410"/>
      <c r="AW174" s="1410"/>
      <c r="AX174" s="1410"/>
      <c r="AY174" s="1410"/>
      <c r="AZ174" s="1410"/>
      <c r="BA174" s="1410"/>
      <c r="BB174" s="1407"/>
      <c r="BC174" s="1520"/>
      <c r="BD174" s="1520"/>
      <c r="BE174" s="1520"/>
    </row>
    <row r="175" spans="2:57" s="1406" customFormat="1" x14ac:dyDescent="0.3">
      <c r="B175" s="1522" t="s">
        <v>1574</v>
      </c>
      <c r="C175" s="1426"/>
      <c r="D175" s="1426"/>
      <c r="E175" s="1434"/>
      <c r="F175" s="1434"/>
      <c r="G175" s="1434"/>
      <c r="H175" s="122"/>
      <c r="I175" s="1440"/>
      <c r="J175" s="1440"/>
      <c r="K175" s="1440"/>
      <c r="L175" s="1440"/>
      <c r="M175" s="1524"/>
      <c r="N175" s="1524"/>
      <c r="O175" s="1524"/>
      <c r="P175" s="1525"/>
      <c r="Q175" s="1410">
        <v>0</v>
      </c>
      <c r="R175" s="1410">
        <f>Q175</f>
        <v>0</v>
      </c>
      <c r="S175" s="1410">
        <f t="shared" ref="S175:Z175" si="109">R175</f>
        <v>0</v>
      </c>
      <c r="T175" s="1410">
        <f t="shared" si="109"/>
        <v>0</v>
      </c>
      <c r="U175" s="1410">
        <f t="shared" si="109"/>
        <v>0</v>
      </c>
      <c r="V175" s="1410">
        <f t="shared" si="109"/>
        <v>0</v>
      </c>
      <c r="W175" s="1410">
        <f t="shared" si="109"/>
        <v>0</v>
      </c>
      <c r="X175" s="1410">
        <f t="shared" si="109"/>
        <v>0</v>
      </c>
      <c r="Y175" s="1410">
        <f t="shared" si="109"/>
        <v>0</v>
      </c>
      <c r="Z175" s="1410">
        <f t="shared" si="109"/>
        <v>0</v>
      </c>
      <c r="AA175" s="1526"/>
      <c r="AB175" s="1526"/>
      <c r="AC175" s="1526"/>
      <c r="AD175" s="1526"/>
      <c r="AE175" s="1526"/>
      <c r="AF175" s="1526"/>
      <c r="AG175" s="1526"/>
      <c r="AH175" s="1526"/>
      <c r="AI175" s="1526"/>
      <c r="AJ175" s="1526"/>
      <c r="AK175" s="1526"/>
      <c r="AL175" s="1526"/>
      <c r="AM175" s="1526"/>
      <c r="AN175" s="1526"/>
      <c r="AO175" s="1526"/>
      <c r="AP175" s="1526"/>
      <c r="AQ175" s="1526"/>
      <c r="AR175" s="1526"/>
      <c r="AS175" s="1526"/>
      <c r="AT175" s="1526"/>
      <c r="AU175" s="1526"/>
      <c r="AV175" s="1526"/>
      <c r="AW175" s="1526"/>
      <c r="AX175" s="1526"/>
      <c r="AY175" s="1526"/>
      <c r="AZ175" s="1526"/>
      <c r="BA175" s="1526"/>
      <c r="BB175" s="1407"/>
      <c r="BC175" s="1520"/>
      <c r="BD175" s="1520"/>
      <c r="BE175" s="1520"/>
    </row>
    <row r="176" spans="2:57" s="1406" customFormat="1" x14ac:dyDescent="0.3">
      <c r="B176" s="1522" t="s">
        <v>1580</v>
      </c>
      <c r="C176" s="1426"/>
      <c r="D176" s="1426"/>
      <c r="E176" s="1434"/>
      <c r="F176" s="1434"/>
      <c r="G176" s="1434"/>
      <c r="H176" s="122"/>
      <c r="I176" s="1440"/>
      <c r="J176" s="1440"/>
      <c r="K176" s="1440"/>
      <c r="L176" s="1440"/>
      <c r="M176" s="1524"/>
      <c r="N176" s="1524"/>
      <c r="O176" s="1524"/>
      <c r="P176" s="1525"/>
      <c r="Q176" s="1410">
        <v>0</v>
      </c>
      <c r="R176" s="1410">
        <f t="shared" ref="R176:Z178" si="110">Q176</f>
        <v>0</v>
      </c>
      <c r="S176" s="1410">
        <f t="shared" si="110"/>
        <v>0</v>
      </c>
      <c r="T176" s="1410">
        <f t="shared" si="110"/>
        <v>0</v>
      </c>
      <c r="U176" s="1410">
        <f t="shared" si="110"/>
        <v>0</v>
      </c>
      <c r="V176" s="1410">
        <f t="shared" si="110"/>
        <v>0</v>
      </c>
      <c r="W176" s="1410">
        <f t="shared" si="110"/>
        <v>0</v>
      </c>
      <c r="X176" s="1410">
        <f t="shared" si="110"/>
        <v>0</v>
      </c>
      <c r="Y176" s="1410">
        <f t="shared" si="110"/>
        <v>0</v>
      </c>
      <c r="Z176" s="1410">
        <f t="shared" si="110"/>
        <v>0</v>
      </c>
      <c r="AA176" s="1526"/>
      <c r="AB176" s="1526"/>
      <c r="AC176" s="1526"/>
      <c r="AD176" s="1526"/>
      <c r="AE176" s="1526"/>
      <c r="AF176" s="1526"/>
      <c r="AG176" s="1526"/>
      <c r="AH176" s="1526"/>
      <c r="AI176" s="1526"/>
      <c r="AJ176" s="1526"/>
      <c r="AK176" s="1526"/>
      <c r="AL176" s="1526"/>
      <c r="AM176" s="1526"/>
      <c r="AN176" s="1526"/>
      <c r="AO176" s="1526"/>
      <c r="AP176" s="1526"/>
      <c r="AQ176" s="1526"/>
      <c r="AR176" s="1526"/>
      <c r="AS176" s="1526"/>
      <c r="AT176" s="1526"/>
      <c r="AU176" s="1526"/>
      <c r="AV176" s="1526"/>
      <c r="AW176" s="1526"/>
      <c r="AX176" s="1526"/>
      <c r="AY176" s="1526"/>
      <c r="AZ176" s="1526"/>
      <c r="BA176" s="1526"/>
      <c r="BB176" s="1407"/>
      <c r="BC176" s="1520"/>
      <c r="BD176" s="1520"/>
      <c r="BE176" s="1520"/>
    </row>
    <row r="177" spans="2:57" s="1406" customFormat="1" x14ac:dyDescent="0.3">
      <c r="B177" s="1522" t="s">
        <v>1581</v>
      </c>
      <c r="C177" s="1426"/>
      <c r="D177" s="1426"/>
      <c r="E177" s="1434"/>
      <c r="F177" s="1434"/>
      <c r="G177" s="1434"/>
      <c r="H177" s="122"/>
      <c r="I177" s="1440"/>
      <c r="J177" s="1440"/>
      <c r="K177" s="1440"/>
      <c r="L177" s="1440"/>
      <c r="M177" s="1524"/>
      <c r="N177" s="1524"/>
      <c r="O177" s="1524"/>
      <c r="P177" s="1525"/>
      <c r="Q177" s="1410">
        <v>0</v>
      </c>
      <c r="R177" s="1410">
        <f t="shared" si="110"/>
        <v>0</v>
      </c>
      <c r="S177" s="1410">
        <f t="shared" si="110"/>
        <v>0</v>
      </c>
      <c r="T177" s="1410">
        <f t="shared" si="110"/>
        <v>0</v>
      </c>
      <c r="U177" s="1410">
        <f t="shared" si="110"/>
        <v>0</v>
      </c>
      <c r="V177" s="1410">
        <f t="shared" si="110"/>
        <v>0</v>
      </c>
      <c r="W177" s="1410">
        <f t="shared" si="110"/>
        <v>0</v>
      </c>
      <c r="X177" s="1410">
        <f t="shared" si="110"/>
        <v>0</v>
      </c>
      <c r="Y177" s="1410">
        <f t="shared" si="110"/>
        <v>0</v>
      </c>
      <c r="Z177" s="1410">
        <f t="shared" si="110"/>
        <v>0</v>
      </c>
      <c r="AA177" s="1526"/>
      <c r="AB177" s="1526"/>
      <c r="AC177" s="1526"/>
      <c r="AD177" s="1526"/>
      <c r="AE177" s="1526"/>
      <c r="AF177" s="1526"/>
      <c r="AG177" s="1526"/>
      <c r="AH177" s="1526"/>
      <c r="AI177" s="1526"/>
      <c r="AJ177" s="1526"/>
      <c r="AK177" s="1526"/>
      <c r="AL177" s="1526"/>
      <c r="AM177" s="1526"/>
      <c r="AN177" s="1526"/>
      <c r="AO177" s="1526"/>
      <c r="AP177" s="1526"/>
      <c r="AQ177" s="1526"/>
      <c r="AR177" s="1526"/>
      <c r="AS177" s="1526"/>
      <c r="AT177" s="1526"/>
      <c r="AU177" s="1526"/>
      <c r="AV177" s="1526"/>
      <c r="AW177" s="1526"/>
      <c r="AX177" s="1526"/>
      <c r="AY177" s="1526"/>
      <c r="AZ177" s="1526"/>
      <c r="BA177" s="1526"/>
      <c r="BB177" s="1407"/>
      <c r="BC177" s="1520"/>
      <c r="BD177" s="1520"/>
      <c r="BE177" s="1520"/>
    </row>
    <row r="178" spans="2:57" s="1406" customFormat="1" x14ac:dyDescent="0.3">
      <c r="B178" s="1522" t="s">
        <v>1576</v>
      </c>
      <c r="C178" s="1426"/>
      <c r="D178" s="1426"/>
      <c r="E178" s="1434"/>
      <c r="F178" s="1434"/>
      <c r="G178" s="1434"/>
      <c r="H178" s="122"/>
      <c r="I178" s="1440"/>
      <c r="J178" s="1440"/>
      <c r="K178" s="1440"/>
      <c r="L178" s="1440"/>
      <c r="M178" s="1524"/>
      <c r="N178" s="1524"/>
      <c r="O178" s="1524"/>
      <c r="P178" s="1525"/>
      <c r="Q178" s="1410">
        <v>0</v>
      </c>
      <c r="R178" s="1410">
        <f t="shared" si="110"/>
        <v>0</v>
      </c>
      <c r="S178" s="1410">
        <f t="shared" si="110"/>
        <v>0</v>
      </c>
      <c r="T178" s="1410">
        <f t="shared" si="110"/>
        <v>0</v>
      </c>
      <c r="U178" s="1410">
        <f t="shared" si="110"/>
        <v>0</v>
      </c>
      <c r="V178" s="1410">
        <f t="shared" si="110"/>
        <v>0</v>
      </c>
      <c r="W178" s="1410">
        <f t="shared" si="110"/>
        <v>0</v>
      </c>
      <c r="X178" s="1410">
        <f t="shared" si="110"/>
        <v>0</v>
      </c>
      <c r="Y178" s="1410">
        <f t="shared" si="110"/>
        <v>0</v>
      </c>
      <c r="Z178" s="1410">
        <f t="shared" si="110"/>
        <v>0</v>
      </c>
      <c r="AA178" s="1526"/>
      <c r="AB178" s="1526"/>
      <c r="AC178" s="1526"/>
      <c r="AD178" s="1526"/>
      <c r="AE178" s="1526"/>
      <c r="AF178" s="1526"/>
      <c r="AG178" s="1526"/>
      <c r="AH178" s="1526"/>
      <c r="AI178" s="1526"/>
      <c r="AJ178" s="1526"/>
      <c r="AK178" s="1526"/>
      <c r="AL178" s="1526"/>
      <c r="AM178" s="1526"/>
      <c r="AN178" s="1526"/>
      <c r="AO178" s="1526"/>
      <c r="AP178" s="1526"/>
      <c r="AQ178" s="1526"/>
      <c r="AR178" s="1526"/>
      <c r="AS178" s="1526"/>
      <c r="AT178" s="1526"/>
      <c r="AU178" s="1526"/>
      <c r="AV178" s="1526"/>
      <c r="AW178" s="1526"/>
      <c r="AX178" s="1526"/>
      <c r="AY178" s="1526"/>
      <c r="AZ178" s="1526"/>
      <c r="BA178" s="1526"/>
      <c r="BB178" s="1407"/>
      <c r="BC178" s="1520"/>
      <c r="BD178" s="1520"/>
      <c r="BE178" s="1520"/>
    </row>
    <row r="179" spans="2:57" s="1406" customFormat="1" x14ac:dyDescent="0.3">
      <c r="B179" s="1522" t="s">
        <v>1577</v>
      </c>
      <c r="C179" s="1426"/>
      <c r="D179" s="1426"/>
      <c r="E179" s="1434"/>
      <c r="F179" s="1434"/>
      <c r="G179" s="1434"/>
      <c r="H179" s="122"/>
      <c r="I179" s="1440"/>
      <c r="J179" s="1440"/>
      <c r="K179" s="1440"/>
      <c r="L179" s="1440"/>
      <c r="M179" s="1440"/>
      <c r="N179" s="1440"/>
      <c r="O179" s="1440"/>
      <c r="P179" s="1473">
        <v>0</v>
      </c>
      <c r="Q179" s="1410">
        <f>SUM(Q174:Q178)</f>
        <v>0</v>
      </c>
      <c r="R179" s="1410">
        <f t="shared" ref="R179:Z179" si="111">SUM(R174:R178)</f>
        <v>0</v>
      </c>
      <c r="S179" s="1410">
        <f t="shared" si="111"/>
        <v>0</v>
      </c>
      <c r="T179" s="1410">
        <f t="shared" si="111"/>
        <v>0</v>
      </c>
      <c r="U179" s="1410">
        <f t="shared" si="111"/>
        <v>0</v>
      </c>
      <c r="V179" s="1410">
        <f t="shared" si="111"/>
        <v>0</v>
      </c>
      <c r="W179" s="1410">
        <f t="shared" si="111"/>
        <v>0</v>
      </c>
      <c r="X179" s="1410">
        <f t="shared" si="111"/>
        <v>0</v>
      </c>
      <c r="Y179" s="1410">
        <f t="shared" si="111"/>
        <v>0</v>
      </c>
      <c r="Z179" s="1410">
        <f t="shared" si="111"/>
        <v>0</v>
      </c>
      <c r="AA179" s="1410"/>
      <c r="AB179" s="1410"/>
      <c r="AC179" s="1410"/>
      <c r="AD179" s="1410"/>
      <c r="AE179" s="1410"/>
      <c r="AF179" s="1410"/>
      <c r="AG179" s="1410"/>
      <c r="AH179" s="1410"/>
      <c r="AI179" s="1410"/>
      <c r="AJ179" s="1410"/>
      <c r="AK179" s="1410"/>
      <c r="AL179" s="1410"/>
      <c r="AM179" s="1410"/>
      <c r="AN179" s="1410"/>
      <c r="AO179" s="1410"/>
      <c r="AP179" s="1410"/>
      <c r="AQ179" s="1410"/>
      <c r="AR179" s="1410"/>
      <c r="AS179" s="1410"/>
      <c r="AT179" s="1410"/>
      <c r="AU179" s="1410"/>
      <c r="AV179" s="1410"/>
      <c r="AW179" s="1410"/>
      <c r="AX179" s="1410"/>
      <c r="AY179" s="1410"/>
      <c r="AZ179" s="1410"/>
      <c r="BA179" s="1410"/>
      <c r="BB179" s="1387"/>
      <c r="BC179" s="1520"/>
      <c r="BD179" s="1520"/>
      <c r="BE179" s="1520"/>
    </row>
    <row r="180" spans="2:57" s="1406" customFormat="1" x14ac:dyDescent="0.3">
      <c r="B180" s="1522"/>
      <c r="C180" s="1426"/>
      <c r="D180" s="1426"/>
      <c r="E180" s="1434"/>
      <c r="F180" s="1434"/>
      <c r="G180" s="1434"/>
      <c r="H180" s="122"/>
      <c r="I180" s="122"/>
      <c r="J180" s="122"/>
      <c r="K180" s="122"/>
      <c r="L180" s="122"/>
      <c r="M180" s="122"/>
      <c r="N180" s="122"/>
      <c r="O180" s="122"/>
      <c r="P180" s="1487"/>
      <c r="Q180" s="122"/>
      <c r="R180" s="122"/>
      <c r="S180" s="122"/>
      <c r="T180" s="122"/>
      <c r="U180" s="122"/>
      <c r="V180" s="122"/>
      <c r="W180" s="122"/>
      <c r="X180" s="122"/>
      <c r="Y180" s="122"/>
      <c r="Z180" s="122"/>
      <c r="AA180" s="122"/>
      <c r="AB180" s="122"/>
      <c r="AC180" s="122"/>
      <c r="AD180" s="122"/>
      <c r="AE180" s="122"/>
      <c r="AF180" s="122"/>
      <c r="AG180" s="122"/>
      <c r="AH180" s="122"/>
      <c r="AI180" s="122"/>
      <c r="AJ180" s="122"/>
      <c r="AK180" s="122"/>
      <c r="AL180" s="122"/>
      <c r="AM180" s="122"/>
      <c r="AN180" s="122"/>
      <c r="AO180" s="122"/>
      <c r="AP180" s="122"/>
      <c r="AQ180" s="122"/>
      <c r="AR180" s="122"/>
      <c r="AS180" s="122"/>
      <c r="AT180" s="122"/>
      <c r="AU180" s="122"/>
      <c r="AV180" s="122"/>
      <c r="AW180" s="122"/>
      <c r="AX180" s="122"/>
      <c r="AY180" s="122"/>
      <c r="AZ180" s="122"/>
      <c r="BA180" s="122"/>
      <c r="BB180" s="1387"/>
      <c r="BC180" s="1520"/>
      <c r="BD180" s="1520"/>
      <c r="BE180" s="1520"/>
    </row>
    <row r="181" spans="2:57" s="1406" customFormat="1" x14ac:dyDescent="0.3">
      <c r="B181" s="1523" t="s">
        <v>1582</v>
      </c>
      <c r="C181" s="1426"/>
      <c r="D181" s="1426"/>
      <c r="E181" s="1434"/>
      <c r="F181" s="1434"/>
      <c r="G181" s="1434"/>
      <c r="H181" s="122"/>
      <c r="I181" s="122"/>
      <c r="J181" s="122"/>
      <c r="K181" s="122"/>
      <c r="L181" s="122"/>
      <c r="M181" s="122"/>
      <c r="N181" s="122"/>
      <c r="O181" s="122"/>
      <c r="P181" s="1487"/>
      <c r="Q181" s="122"/>
      <c r="R181" s="122"/>
      <c r="S181" s="122"/>
      <c r="T181" s="122"/>
      <c r="U181" s="122"/>
      <c r="V181" s="122"/>
      <c r="W181" s="122"/>
      <c r="X181" s="122"/>
      <c r="Y181" s="122"/>
      <c r="Z181" s="122"/>
      <c r="AA181" s="122"/>
      <c r="AB181" s="122"/>
      <c r="AC181" s="122"/>
      <c r="AD181" s="122"/>
      <c r="AE181" s="122"/>
      <c r="AF181" s="122"/>
      <c r="AG181" s="122"/>
      <c r="AH181" s="122"/>
      <c r="AI181" s="122"/>
      <c r="AJ181" s="122"/>
      <c r="AK181" s="122"/>
      <c r="AL181" s="122"/>
      <c r="AM181" s="122"/>
      <c r="AN181" s="122"/>
      <c r="AO181" s="122"/>
      <c r="AP181" s="122"/>
      <c r="AQ181" s="122"/>
      <c r="AR181" s="122"/>
      <c r="AS181" s="122"/>
      <c r="AT181" s="122"/>
      <c r="AU181" s="122"/>
      <c r="AV181" s="122"/>
      <c r="AW181" s="122"/>
      <c r="AX181" s="122"/>
      <c r="AY181" s="122"/>
      <c r="AZ181" s="122"/>
      <c r="BA181" s="122"/>
      <c r="BB181" s="1387"/>
      <c r="BC181" s="1520"/>
      <c r="BD181" s="1520"/>
      <c r="BE181" s="1520"/>
    </row>
    <row r="182" spans="2:57" s="1406" customFormat="1" x14ac:dyDescent="0.3">
      <c r="B182" s="1522" t="s">
        <v>1573</v>
      </c>
      <c r="C182" s="1426"/>
      <c r="D182" s="1426"/>
      <c r="E182" s="1434"/>
      <c r="F182" s="1434"/>
      <c r="G182" s="1434"/>
      <c r="H182" s="122"/>
      <c r="I182" s="1440"/>
      <c r="J182" s="1440"/>
      <c r="K182" s="1440"/>
      <c r="L182" s="1440"/>
      <c r="M182" s="1440"/>
      <c r="N182" s="1440"/>
      <c r="O182" s="1440"/>
      <c r="P182" s="1473"/>
      <c r="Q182" s="1410">
        <f>P186</f>
        <v>0</v>
      </c>
      <c r="R182" s="1410">
        <f t="shared" ref="R182:Z182" si="112">Q186</f>
        <v>0</v>
      </c>
      <c r="S182" s="1410">
        <f t="shared" si="112"/>
        <v>0</v>
      </c>
      <c r="T182" s="1410">
        <f t="shared" si="112"/>
        <v>0</v>
      </c>
      <c r="U182" s="1410">
        <f t="shared" si="112"/>
        <v>0</v>
      </c>
      <c r="V182" s="1410">
        <f t="shared" si="112"/>
        <v>0</v>
      </c>
      <c r="W182" s="1410">
        <f t="shared" si="112"/>
        <v>0</v>
      </c>
      <c r="X182" s="1410">
        <f t="shared" si="112"/>
        <v>0</v>
      </c>
      <c r="Y182" s="1410">
        <f t="shared" si="112"/>
        <v>0</v>
      </c>
      <c r="Z182" s="1410">
        <f t="shared" si="112"/>
        <v>0</v>
      </c>
      <c r="AA182" s="1410"/>
      <c r="AB182" s="1410"/>
      <c r="AC182" s="1410"/>
      <c r="AD182" s="1410"/>
      <c r="AE182" s="1410"/>
      <c r="AF182" s="1410"/>
      <c r="AG182" s="1410"/>
      <c r="AH182" s="1410"/>
      <c r="AI182" s="1410"/>
      <c r="AJ182" s="1410"/>
      <c r="AK182" s="1410"/>
      <c r="AL182" s="1410"/>
      <c r="AM182" s="1410"/>
      <c r="AN182" s="1410"/>
      <c r="AO182" s="1410"/>
      <c r="AP182" s="1410"/>
      <c r="AQ182" s="1410"/>
      <c r="AR182" s="1410"/>
      <c r="AS182" s="1410"/>
      <c r="AT182" s="1410"/>
      <c r="AU182" s="1410"/>
      <c r="AV182" s="1410"/>
      <c r="AW182" s="1410"/>
      <c r="AX182" s="1410"/>
      <c r="AY182" s="1410"/>
      <c r="AZ182" s="1410"/>
      <c r="BA182" s="1410"/>
      <c r="BB182" s="1387"/>
      <c r="BC182" s="1520"/>
      <c r="BD182" s="1520"/>
      <c r="BE182" s="1520"/>
    </row>
    <row r="183" spans="2:57" s="1406" customFormat="1" x14ac:dyDescent="0.3">
      <c r="B183" s="1522" t="s">
        <v>1574</v>
      </c>
      <c r="C183" s="1426"/>
      <c r="D183" s="1426"/>
      <c r="E183" s="1434"/>
      <c r="F183" s="1434"/>
      <c r="G183" s="1434"/>
      <c r="H183" s="122"/>
      <c r="I183" s="1440"/>
      <c r="J183" s="1440"/>
      <c r="K183" s="1440"/>
      <c r="L183" s="1440"/>
      <c r="M183" s="1440"/>
      <c r="N183" s="1440"/>
      <c r="O183" s="1440"/>
      <c r="P183" s="1473"/>
      <c r="Q183" s="1410">
        <v>0</v>
      </c>
      <c r="R183" s="1410">
        <f>Q183</f>
        <v>0</v>
      </c>
      <c r="S183" s="1410">
        <f t="shared" ref="S183:Z183" si="113">R183</f>
        <v>0</v>
      </c>
      <c r="T183" s="1410">
        <f t="shared" si="113"/>
        <v>0</v>
      </c>
      <c r="U183" s="1410">
        <f t="shared" si="113"/>
        <v>0</v>
      </c>
      <c r="V183" s="1410">
        <f t="shared" si="113"/>
        <v>0</v>
      </c>
      <c r="W183" s="1410">
        <f t="shared" si="113"/>
        <v>0</v>
      </c>
      <c r="X183" s="1410">
        <f t="shared" si="113"/>
        <v>0</v>
      </c>
      <c r="Y183" s="1410">
        <f t="shared" si="113"/>
        <v>0</v>
      </c>
      <c r="Z183" s="1410">
        <f t="shared" si="113"/>
        <v>0</v>
      </c>
      <c r="AA183" s="1410"/>
      <c r="AB183" s="1410"/>
      <c r="AC183" s="1410"/>
      <c r="AD183" s="1410"/>
      <c r="AE183" s="1410"/>
      <c r="AF183" s="1410"/>
      <c r="AG183" s="1410"/>
      <c r="AH183" s="1410"/>
      <c r="AI183" s="1410"/>
      <c r="AJ183" s="1410"/>
      <c r="AK183" s="1410"/>
      <c r="AL183" s="1410"/>
      <c r="AM183" s="1410"/>
      <c r="AN183" s="1410"/>
      <c r="AO183" s="1410"/>
      <c r="AP183" s="1410"/>
      <c r="AQ183" s="1410"/>
      <c r="AR183" s="1410"/>
      <c r="AS183" s="1410"/>
      <c r="AT183" s="1410"/>
      <c r="AU183" s="1410"/>
      <c r="AV183" s="1410"/>
      <c r="AW183" s="1410"/>
      <c r="AX183" s="1410"/>
      <c r="AY183" s="1410"/>
      <c r="AZ183" s="1410"/>
      <c r="BA183" s="1410"/>
      <c r="BB183" s="1387"/>
      <c r="BC183" s="1520"/>
      <c r="BD183" s="1520"/>
      <c r="BE183" s="1520"/>
    </row>
    <row r="184" spans="2:57" s="1406" customFormat="1" x14ac:dyDescent="0.3">
      <c r="B184" s="1522" t="s">
        <v>1583</v>
      </c>
      <c r="C184" s="1426"/>
      <c r="D184" s="1426"/>
      <c r="E184" s="1434"/>
      <c r="F184" s="1434"/>
      <c r="G184" s="1434"/>
      <c r="H184" s="122"/>
      <c r="I184" s="1440"/>
      <c r="J184" s="1440"/>
      <c r="K184" s="1440"/>
      <c r="L184" s="1440"/>
      <c r="M184" s="1440"/>
      <c r="N184" s="1440"/>
      <c r="O184" s="1440"/>
      <c r="P184" s="1473"/>
      <c r="Q184" s="1410">
        <v>0</v>
      </c>
      <c r="R184" s="1410">
        <f t="shared" ref="R184:Z185" si="114">Q184</f>
        <v>0</v>
      </c>
      <c r="S184" s="1410">
        <f t="shared" si="114"/>
        <v>0</v>
      </c>
      <c r="T184" s="1410">
        <f t="shared" si="114"/>
        <v>0</v>
      </c>
      <c r="U184" s="1410">
        <f t="shared" si="114"/>
        <v>0</v>
      </c>
      <c r="V184" s="1410">
        <f t="shared" si="114"/>
        <v>0</v>
      </c>
      <c r="W184" s="1410">
        <f t="shared" si="114"/>
        <v>0</v>
      </c>
      <c r="X184" s="1410">
        <f t="shared" si="114"/>
        <v>0</v>
      </c>
      <c r="Y184" s="1410">
        <f t="shared" si="114"/>
        <v>0</v>
      </c>
      <c r="Z184" s="1410">
        <f t="shared" si="114"/>
        <v>0</v>
      </c>
      <c r="AA184" s="1410"/>
      <c r="AB184" s="1410"/>
      <c r="AC184" s="1410"/>
      <c r="AD184" s="1410"/>
      <c r="AE184" s="1410"/>
      <c r="AF184" s="1410"/>
      <c r="AG184" s="1410"/>
      <c r="AH184" s="1410"/>
      <c r="AI184" s="1410"/>
      <c r="AJ184" s="1410"/>
      <c r="AK184" s="1410"/>
      <c r="AL184" s="1410"/>
      <c r="AM184" s="1410"/>
      <c r="AN184" s="1410"/>
      <c r="AO184" s="1410"/>
      <c r="AP184" s="1410"/>
      <c r="AQ184" s="1410"/>
      <c r="AR184" s="1410"/>
      <c r="AS184" s="1410"/>
      <c r="AT184" s="1410"/>
      <c r="AU184" s="1410"/>
      <c r="AV184" s="1410"/>
      <c r="AW184" s="1410"/>
      <c r="AX184" s="1410"/>
      <c r="AY184" s="1410"/>
      <c r="AZ184" s="1410"/>
      <c r="BA184" s="1410"/>
      <c r="BB184" s="1387"/>
      <c r="BC184" s="1520"/>
      <c r="BD184" s="1520"/>
      <c r="BE184" s="1520"/>
    </row>
    <row r="185" spans="2:57" s="522" customFormat="1" x14ac:dyDescent="0.3">
      <c r="B185" s="1522" t="s">
        <v>1576</v>
      </c>
      <c r="C185" s="1438"/>
      <c r="D185" s="1438"/>
      <c r="E185" s="1439"/>
      <c r="F185" s="1439"/>
      <c r="G185" s="1439"/>
      <c r="H185" s="122"/>
      <c r="I185" s="1440"/>
      <c r="J185" s="1440"/>
      <c r="K185" s="1440"/>
      <c r="L185" s="1440"/>
      <c r="M185" s="1440"/>
      <c r="N185" s="1440"/>
      <c r="O185" s="1440"/>
      <c r="P185" s="1473"/>
      <c r="Q185" s="1410">
        <v>0</v>
      </c>
      <c r="R185" s="1410">
        <f t="shared" si="114"/>
        <v>0</v>
      </c>
      <c r="S185" s="1410">
        <f t="shared" si="114"/>
        <v>0</v>
      </c>
      <c r="T185" s="1410">
        <f t="shared" si="114"/>
        <v>0</v>
      </c>
      <c r="U185" s="1410">
        <f t="shared" si="114"/>
        <v>0</v>
      </c>
      <c r="V185" s="1410">
        <f t="shared" si="114"/>
        <v>0</v>
      </c>
      <c r="W185" s="1410">
        <f t="shared" si="114"/>
        <v>0</v>
      </c>
      <c r="X185" s="1410">
        <f t="shared" si="114"/>
        <v>0</v>
      </c>
      <c r="Y185" s="1410">
        <f t="shared" si="114"/>
        <v>0</v>
      </c>
      <c r="Z185" s="1410">
        <f t="shared" si="114"/>
        <v>0</v>
      </c>
      <c r="AA185" s="1410"/>
      <c r="AB185" s="1410"/>
      <c r="AC185" s="1410"/>
      <c r="AD185" s="1410"/>
      <c r="AE185" s="1410"/>
      <c r="AF185" s="1410"/>
      <c r="AG185" s="1410"/>
      <c r="AH185" s="1410"/>
      <c r="AI185" s="1410"/>
      <c r="AJ185" s="1410"/>
      <c r="AK185" s="1410"/>
      <c r="AL185" s="1410"/>
      <c r="AM185" s="1410"/>
      <c r="AN185" s="1410"/>
      <c r="AO185" s="1410"/>
      <c r="AP185" s="1410"/>
      <c r="AQ185" s="1410"/>
      <c r="AR185" s="1410"/>
      <c r="AS185" s="1410"/>
      <c r="AT185" s="1410"/>
      <c r="AU185" s="1410"/>
      <c r="AV185" s="1410"/>
      <c r="AW185" s="1410"/>
      <c r="AX185" s="1410"/>
      <c r="AY185" s="1410"/>
      <c r="AZ185" s="1410"/>
      <c r="BA185" s="1410"/>
      <c r="BB185" s="1387"/>
      <c r="BC185" s="466"/>
      <c r="BD185" s="466"/>
      <c r="BE185" s="466"/>
    </row>
    <row r="186" spans="2:57" s="1406" customFormat="1" x14ac:dyDescent="0.3">
      <c r="B186" s="1522" t="s">
        <v>1577</v>
      </c>
      <c r="C186" s="1426"/>
      <c r="D186" s="1426"/>
      <c r="E186" s="1434"/>
      <c r="F186" s="1434"/>
      <c r="G186" s="1434"/>
      <c r="H186" s="122"/>
      <c r="I186" s="1440"/>
      <c r="J186" s="1440"/>
      <c r="K186" s="1440"/>
      <c r="L186" s="1440"/>
      <c r="M186" s="1440"/>
      <c r="N186" s="1440"/>
      <c r="O186" s="1440"/>
      <c r="P186" s="1473">
        <v>0</v>
      </c>
      <c r="Q186" s="1410">
        <f>SUM(Q182:Q185)</f>
        <v>0</v>
      </c>
      <c r="R186" s="1410">
        <f t="shared" ref="R186:Z186" si="115">SUM(R182:R185)</f>
        <v>0</v>
      </c>
      <c r="S186" s="1410">
        <f t="shared" si="115"/>
        <v>0</v>
      </c>
      <c r="T186" s="1410">
        <f t="shared" si="115"/>
        <v>0</v>
      </c>
      <c r="U186" s="1410">
        <f t="shared" si="115"/>
        <v>0</v>
      </c>
      <c r="V186" s="1410">
        <f t="shared" si="115"/>
        <v>0</v>
      </c>
      <c r="W186" s="1410">
        <f t="shared" si="115"/>
        <v>0</v>
      </c>
      <c r="X186" s="1410">
        <f t="shared" si="115"/>
        <v>0</v>
      </c>
      <c r="Y186" s="1410">
        <f t="shared" si="115"/>
        <v>0</v>
      </c>
      <c r="Z186" s="1410">
        <f t="shared" si="115"/>
        <v>0</v>
      </c>
      <c r="AA186" s="1410"/>
      <c r="AB186" s="1410"/>
      <c r="AC186" s="1410"/>
      <c r="AD186" s="1410"/>
      <c r="AE186" s="1410"/>
      <c r="AF186" s="1410"/>
      <c r="AG186" s="1410"/>
      <c r="AH186" s="1410"/>
      <c r="AI186" s="1410"/>
      <c r="AJ186" s="1410"/>
      <c r="AK186" s="1410"/>
      <c r="AL186" s="1410"/>
      <c r="AM186" s="1410"/>
      <c r="AN186" s="1410"/>
      <c r="AO186" s="1410"/>
      <c r="AP186" s="1410"/>
      <c r="AQ186" s="1410"/>
      <c r="AR186" s="1410"/>
      <c r="AS186" s="1410"/>
      <c r="AT186" s="1410"/>
      <c r="AU186" s="1410"/>
      <c r="AV186" s="1410"/>
      <c r="AW186" s="1410"/>
      <c r="AX186" s="1410"/>
      <c r="AY186" s="1410"/>
      <c r="AZ186" s="1410"/>
      <c r="BA186" s="1410"/>
      <c r="BB186" s="1387"/>
      <c r="BC186" s="1520"/>
      <c r="BD186" s="1520"/>
      <c r="BE186" s="1520"/>
    </row>
    <row r="187" spans="2:57" s="1406" customFormat="1" x14ac:dyDescent="0.3">
      <c r="B187" s="1522"/>
      <c r="C187" s="1426"/>
      <c r="D187" s="1426"/>
      <c r="E187" s="1434"/>
      <c r="F187" s="1434"/>
      <c r="G187" s="1434"/>
      <c r="H187" s="122"/>
      <c r="I187" s="122"/>
      <c r="J187" s="122"/>
      <c r="K187" s="122"/>
      <c r="L187" s="122"/>
      <c r="M187" s="122"/>
      <c r="N187" s="122"/>
      <c r="O187" s="122"/>
      <c r="P187" s="1487"/>
      <c r="Q187" s="122"/>
      <c r="R187" s="122"/>
      <c r="S187" s="122"/>
      <c r="T187" s="122"/>
      <c r="U187" s="122"/>
      <c r="V187" s="122"/>
      <c r="W187" s="122"/>
      <c r="X187" s="122"/>
      <c r="Y187" s="122"/>
      <c r="Z187" s="122"/>
      <c r="AA187" s="122"/>
      <c r="AB187" s="122"/>
      <c r="AC187" s="122"/>
      <c r="AD187" s="122"/>
      <c r="AE187" s="122"/>
      <c r="AF187" s="122"/>
      <c r="AG187" s="122"/>
      <c r="AH187" s="122"/>
      <c r="AI187" s="122"/>
      <c r="AJ187" s="122"/>
      <c r="AK187" s="122"/>
      <c r="AL187" s="122"/>
      <c r="AM187" s="122"/>
      <c r="AN187" s="122"/>
      <c r="AO187" s="122"/>
      <c r="AP187" s="122"/>
      <c r="AQ187" s="122"/>
      <c r="AR187" s="122"/>
      <c r="AS187" s="122"/>
      <c r="AT187" s="122"/>
      <c r="AU187" s="122"/>
      <c r="AV187" s="122"/>
      <c r="AW187" s="122"/>
      <c r="AX187" s="122"/>
      <c r="AY187" s="122"/>
      <c r="AZ187" s="122"/>
      <c r="BA187" s="122"/>
      <c r="BB187" s="1387"/>
      <c r="BC187" s="1520"/>
      <c r="BD187" s="1520"/>
      <c r="BE187" s="1520"/>
    </row>
    <row r="188" spans="2:57" s="1406" customFormat="1" x14ac:dyDescent="0.3">
      <c r="B188" s="1523" t="s">
        <v>1584</v>
      </c>
      <c r="C188" s="1426"/>
      <c r="D188" s="1426"/>
      <c r="E188" s="1434"/>
      <c r="F188" s="1434"/>
      <c r="G188" s="1434"/>
      <c r="H188" s="122"/>
      <c r="I188" s="122"/>
      <c r="J188" s="122"/>
      <c r="K188" s="122"/>
      <c r="L188" s="122"/>
      <c r="M188" s="122"/>
      <c r="N188" s="122"/>
      <c r="O188" s="122"/>
      <c r="P188" s="1487"/>
      <c r="Q188" s="122"/>
      <c r="R188" s="122"/>
      <c r="S188" s="122"/>
      <c r="T188" s="122"/>
      <c r="U188" s="122"/>
      <c r="V188" s="122"/>
      <c r="W188" s="122"/>
      <c r="X188" s="122"/>
      <c r="Y188" s="122"/>
      <c r="Z188" s="122"/>
      <c r="AA188" s="122"/>
      <c r="AB188" s="122"/>
      <c r="AC188" s="122"/>
      <c r="AD188" s="122"/>
      <c r="AE188" s="122"/>
      <c r="AF188" s="122"/>
      <c r="AG188" s="122"/>
      <c r="AH188" s="122"/>
      <c r="AI188" s="122"/>
      <c r="AJ188" s="122"/>
      <c r="AK188" s="122"/>
      <c r="AL188" s="122"/>
      <c r="AM188" s="122"/>
      <c r="AN188" s="122"/>
      <c r="AO188" s="122"/>
      <c r="AP188" s="122"/>
      <c r="AQ188" s="122"/>
      <c r="AR188" s="122"/>
      <c r="AS188" s="122"/>
      <c r="AT188" s="122"/>
      <c r="AU188" s="122"/>
      <c r="AV188" s="122"/>
      <c r="AW188" s="122"/>
      <c r="AX188" s="122"/>
      <c r="AY188" s="122"/>
      <c r="AZ188" s="122"/>
      <c r="BA188" s="122"/>
      <c r="BB188" s="1387"/>
      <c r="BC188" s="1520"/>
      <c r="BD188" s="1520"/>
      <c r="BE188" s="1520"/>
    </row>
    <row r="189" spans="2:57" s="1406" customFormat="1" x14ac:dyDescent="0.3">
      <c r="B189" s="1522" t="s">
        <v>1573</v>
      </c>
      <c r="C189" s="1426"/>
      <c r="D189" s="1426"/>
      <c r="E189" s="1434"/>
      <c r="F189" s="1434"/>
      <c r="G189" s="1434"/>
      <c r="H189" s="122"/>
      <c r="I189" s="1440"/>
      <c r="J189" s="1440"/>
      <c r="K189" s="1440"/>
      <c r="L189" s="1440"/>
      <c r="M189" s="1440"/>
      <c r="N189" s="1440"/>
      <c r="O189" s="1440"/>
      <c r="P189" s="1473"/>
      <c r="Q189" s="1410">
        <f>P193</f>
        <v>0</v>
      </c>
      <c r="R189" s="1410">
        <f t="shared" ref="R189:Z189" si="116">Q193</f>
        <v>0</v>
      </c>
      <c r="S189" s="1410">
        <f t="shared" si="116"/>
        <v>0</v>
      </c>
      <c r="T189" s="1410">
        <f t="shared" si="116"/>
        <v>0</v>
      </c>
      <c r="U189" s="1410">
        <f t="shared" si="116"/>
        <v>0</v>
      </c>
      <c r="V189" s="1410">
        <f t="shared" si="116"/>
        <v>0</v>
      </c>
      <c r="W189" s="1410">
        <f t="shared" si="116"/>
        <v>0</v>
      </c>
      <c r="X189" s="1410">
        <f t="shared" si="116"/>
        <v>0</v>
      </c>
      <c r="Y189" s="1410">
        <f t="shared" si="116"/>
        <v>0</v>
      </c>
      <c r="Z189" s="1410">
        <f t="shared" si="116"/>
        <v>0</v>
      </c>
      <c r="AA189" s="1410"/>
      <c r="AB189" s="1410"/>
      <c r="AC189" s="1410"/>
      <c r="AD189" s="1410"/>
      <c r="AE189" s="1410"/>
      <c r="AF189" s="1410"/>
      <c r="AG189" s="1410"/>
      <c r="AH189" s="1410"/>
      <c r="AI189" s="1410"/>
      <c r="AJ189" s="1410"/>
      <c r="AK189" s="1410"/>
      <c r="AL189" s="1410"/>
      <c r="AM189" s="1410"/>
      <c r="AN189" s="1410"/>
      <c r="AO189" s="1410"/>
      <c r="AP189" s="1410"/>
      <c r="AQ189" s="1410"/>
      <c r="AR189" s="1410"/>
      <c r="AS189" s="1410"/>
      <c r="AT189" s="1410"/>
      <c r="AU189" s="1410"/>
      <c r="AV189" s="1410"/>
      <c r="AW189" s="1410"/>
      <c r="AX189" s="1410"/>
      <c r="AY189" s="1410"/>
      <c r="AZ189" s="1410"/>
      <c r="BA189" s="1410"/>
      <c r="BB189" s="1387"/>
      <c r="BC189" s="1520"/>
      <c r="BD189" s="1520"/>
      <c r="BE189" s="1520"/>
    </row>
    <row r="190" spans="2:57" s="1406" customFormat="1" x14ac:dyDescent="0.3">
      <c r="B190" s="1522" t="s">
        <v>1574</v>
      </c>
      <c r="C190" s="1426"/>
      <c r="D190" s="1426"/>
      <c r="E190" s="1434"/>
      <c r="F190" s="1434"/>
      <c r="G190" s="1434"/>
      <c r="H190" s="122"/>
      <c r="I190" s="1440"/>
      <c r="J190" s="1440"/>
      <c r="K190" s="1440"/>
      <c r="L190" s="1440"/>
      <c r="M190" s="1440"/>
      <c r="N190" s="1440"/>
      <c r="O190" s="1440"/>
      <c r="P190" s="1473"/>
      <c r="Q190" s="1410">
        <v>0</v>
      </c>
      <c r="R190" s="1410">
        <f>Q190</f>
        <v>0</v>
      </c>
      <c r="S190" s="1410">
        <f t="shared" ref="S190:Z190" si="117">R190</f>
        <v>0</v>
      </c>
      <c r="T190" s="1410">
        <f t="shared" si="117"/>
        <v>0</v>
      </c>
      <c r="U190" s="1410">
        <f t="shared" si="117"/>
        <v>0</v>
      </c>
      <c r="V190" s="1410">
        <f t="shared" si="117"/>
        <v>0</v>
      </c>
      <c r="W190" s="1410">
        <f t="shared" si="117"/>
        <v>0</v>
      </c>
      <c r="X190" s="1410">
        <f t="shared" si="117"/>
        <v>0</v>
      </c>
      <c r="Y190" s="1410">
        <f t="shared" si="117"/>
        <v>0</v>
      </c>
      <c r="Z190" s="1410">
        <f t="shared" si="117"/>
        <v>0</v>
      </c>
      <c r="AA190" s="1410"/>
      <c r="AB190" s="1410"/>
      <c r="AC190" s="1410"/>
      <c r="AD190" s="1410"/>
      <c r="AE190" s="1410"/>
      <c r="AF190" s="1410"/>
      <c r="AG190" s="1410"/>
      <c r="AH190" s="1410"/>
      <c r="AI190" s="1410"/>
      <c r="AJ190" s="1410"/>
      <c r="AK190" s="1410"/>
      <c r="AL190" s="1410"/>
      <c r="AM190" s="1410"/>
      <c r="AN190" s="1410"/>
      <c r="AO190" s="1410"/>
      <c r="AP190" s="1410"/>
      <c r="AQ190" s="1410"/>
      <c r="AR190" s="1410"/>
      <c r="AS190" s="1410"/>
      <c r="AT190" s="1410"/>
      <c r="AU190" s="1410"/>
      <c r="AV190" s="1410"/>
      <c r="AW190" s="1410"/>
      <c r="AX190" s="1410"/>
      <c r="AY190" s="1410"/>
      <c r="AZ190" s="1410"/>
      <c r="BA190" s="1410"/>
      <c r="BB190" s="1387"/>
      <c r="BC190" s="1520"/>
      <c r="BD190" s="1520"/>
      <c r="BE190" s="1520"/>
    </row>
    <row r="191" spans="2:57" s="1406" customFormat="1" x14ac:dyDescent="0.3">
      <c r="B191" s="1522" t="s">
        <v>1583</v>
      </c>
      <c r="C191" s="1426"/>
      <c r="D191" s="1426"/>
      <c r="E191" s="1434"/>
      <c r="F191" s="1434"/>
      <c r="G191" s="1434"/>
      <c r="H191" s="122"/>
      <c r="I191" s="1440"/>
      <c r="J191" s="1440"/>
      <c r="K191" s="1440"/>
      <c r="L191" s="1440"/>
      <c r="M191" s="1440"/>
      <c r="N191" s="1440"/>
      <c r="O191" s="1440"/>
      <c r="P191" s="1473"/>
      <c r="Q191" s="1410">
        <v>0</v>
      </c>
      <c r="R191" s="1410">
        <f t="shared" ref="R191:Z192" si="118">Q191</f>
        <v>0</v>
      </c>
      <c r="S191" s="1410">
        <f t="shared" si="118"/>
        <v>0</v>
      </c>
      <c r="T191" s="1410">
        <f t="shared" si="118"/>
        <v>0</v>
      </c>
      <c r="U191" s="1410">
        <f t="shared" si="118"/>
        <v>0</v>
      </c>
      <c r="V191" s="1410">
        <f t="shared" si="118"/>
        <v>0</v>
      </c>
      <c r="W191" s="1410">
        <f t="shared" si="118"/>
        <v>0</v>
      </c>
      <c r="X191" s="1410">
        <f t="shared" si="118"/>
        <v>0</v>
      </c>
      <c r="Y191" s="1410">
        <f t="shared" si="118"/>
        <v>0</v>
      </c>
      <c r="Z191" s="1410">
        <f t="shared" si="118"/>
        <v>0</v>
      </c>
      <c r="AA191" s="1410"/>
      <c r="AB191" s="1410"/>
      <c r="AC191" s="1410"/>
      <c r="AD191" s="1410"/>
      <c r="AE191" s="1410"/>
      <c r="AF191" s="1410"/>
      <c r="AG191" s="1410"/>
      <c r="AH191" s="1410"/>
      <c r="AI191" s="1410"/>
      <c r="AJ191" s="1410"/>
      <c r="AK191" s="1410"/>
      <c r="AL191" s="1410"/>
      <c r="AM191" s="1410"/>
      <c r="AN191" s="1410"/>
      <c r="AO191" s="1410"/>
      <c r="AP191" s="1410"/>
      <c r="AQ191" s="1410"/>
      <c r="AR191" s="1410"/>
      <c r="AS191" s="1410"/>
      <c r="AT191" s="1410"/>
      <c r="AU191" s="1410"/>
      <c r="AV191" s="1410"/>
      <c r="AW191" s="1410"/>
      <c r="AX191" s="1410"/>
      <c r="AY191" s="1410"/>
      <c r="AZ191" s="1410"/>
      <c r="BA191" s="1410"/>
      <c r="BB191" s="1387"/>
      <c r="BC191" s="1520"/>
      <c r="BD191" s="1520"/>
      <c r="BE191" s="1520"/>
    </row>
    <row r="192" spans="2:57" s="1406" customFormat="1" x14ac:dyDescent="0.3">
      <c r="B192" s="1522" t="s">
        <v>1576</v>
      </c>
      <c r="C192" s="1426"/>
      <c r="D192" s="1426"/>
      <c r="E192" s="1434"/>
      <c r="F192" s="1434"/>
      <c r="G192" s="1434"/>
      <c r="H192" s="122"/>
      <c r="I192" s="1440"/>
      <c r="J192" s="1440"/>
      <c r="K192" s="1440"/>
      <c r="L192" s="1440"/>
      <c r="M192" s="1440"/>
      <c r="N192" s="1440"/>
      <c r="O192" s="1440"/>
      <c r="P192" s="1473"/>
      <c r="Q192" s="1410">
        <v>0</v>
      </c>
      <c r="R192" s="1410">
        <f t="shared" si="118"/>
        <v>0</v>
      </c>
      <c r="S192" s="1410">
        <f t="shared" si="118"/>
        <v>0</v>
      </c>
      <c r="T192" s="1410">
        <f t="shared" si="118"/>
        <v>0</v>
      </c>
      <c r="U192" s="1410">
        <f t="shared" si="118"/>
        <v>0</v>
      </c>
      <c r="V192" s="1410">
        <f t="shared" si="118"/>
        <v>0</v>
      </c>
      <c r="W192" s="1410">
        <f t="shared" si="118"/>
        <v>0</v>
      </c>
      <c r="X192" s="1410">
        <f t="shared" si="118"/>
        <v>0</v>
      </c>
      <c r="Y192" s="1410">
        <f t="shared" si="118"/>
        <v>0</v>
      </c>
      <c r="Z192" s="1410">
        <f t="shared" si="118"/>
        <v>0</v>
      </c>
      <c r="AA192" s="1410"/>
      <c r="AB192" s="1410"/>
      <c r="AC192" s="1410"/>
      <c r="AD192" s="1410"/>
      <c r="AE192" s="1410"/>
      <c r="AF192" s="1410"/>
      <c r="AG192" s="1410"/>
      <c r="AH192" s="1410"/>
      <c r="AI192" s="1410"/>
      <c r="AJ192" s="1410"/>
      <c r="AK192" s="1410"/>
      <c r="AL192" s="1410"/>
      <c r="AM192" s="1410"/>
      <c r="AN192" s="1410"/>
      <c r="AO192" s="1410"/>
      <c r="AP192" s="1410"/>
      <c r="AQ192" s="1410"/>
      <c r="AR192" s="1410"/>
      <c r="AS192" s="1410"/>
      <c r="AT192" s="1410"/>
      <c r="AU192" s="1410"/>
      <c r="AV192" s="1410"/>
      <c r="AW192" s="1410"/>
      <c r="AX192" s="1410"/>
      <c r="AY192" s="1410"/>
      <c r="AZ192" s="1410"/>
      <c r="BA192" s="1410"/>
      <c r="BB192" s="1387"/>
      <c r="BC192" s="1520"/>
      <c r="BD192" s="1520"/>
      <c r="BE192" s="1520"/>
    </row>
    <row r="193" spans="2:57" s="1406" customFormat="1" x14ac:dyDescent="0.3">
      <c r="B193" s="1522" t="s">
        <v>1577</v>
      </c>
      <c r="C193" s="1426"/>
      <c r="D193" s="1426"/>
      <c r="E193" s="1434"/>
      <c r="F193" s="1434"/>
      <c r="G193" s="1434"/>
      <c r="H193" s="122"/>
      <c r="I193" s="1440"/>
      <c r="J193" s="1440"/>
      <c r="K193" s="1440"/>
      <c r="L193" s="1440"/>
      <c r="M193" s="1440"/>
      <c r="N193" s="1440"/>
      <c r="O193" s="1440"/>
      <c r="P193" s="1473">
        <v>0</v>
      </c>
      <c r="Q193" s="1410">
        <f>SUM(Q189:Q192)</f>
        <v>0</v>
      </c>
      <c r="R193" s="1410">
        <f t="shared" ref="R193:Z193" si="119">SUM(R189:R192)</f>
        <v>0</v>
      </c>
      <c r="S193" s="1410">
        <f t="shared" si="119"/>
        <v>0</v>
      </c>
      <c r="T193" s="1410">
        <f t="shared" si="119"/>
        <v>0</v>
      </c>
      <c r="U193" s="1410">
        <f t="shared" si="119"/>
        <v>0</v>
      </c>
      <c r="V193" s="1410">
        <f t="shared" si="119"/>
        <v>0</v>
      </c>
      <c r="W193" s="1410">
        <f t="shared" si="119"/>
        <v>0</v>
      </c>
      <c r="X193" s="1410">
        <f t="shared" si="119"/>
        <v>0</v>
      </c>
      <c r="Y193" s="1410">
        <f t="shared" si="119"/>
        <v>0</v>
      </c>
      <c r="Z193" s="1410">
        <f t="shared" si="119"/>
        <v>0</v>
      </c>
      <c r="AA193" s="1410"/>
      <c r="AB193" s="1410"/>
      <c r="AC193" s="1410"/>
      <c r="AD193" s="1410"/>
      <c r="AE193" s="1410"/>
      <c r="AF193" s="1410"/>
      <c r="AG193" s="1410"/>
      <c r="AH193" s="1410"/>
      <c r="AI193" s="1410"/>
      <c r="AJ193" s="1410"/>
      <c r="AK193" s="1410"/>
      <c r="AL193" s="1410"/>
      <c r="AM193" s="1410"/>
      <c r="AN193" s="1410"/>
      <c r="AO193" s="1410"/>
      <c r="AP193" s="1410"/>
      <c r="AQ193" s="1410"/>
      <c r="AR193" s="1410"/>
      <c r="AS193" s="1410"/>
      <c r="AT193" s="1410"/>
      <c r="AU193" s="1410"/>
      <c r="AV193" s="1410"/>
      <c r="AW193" s="1410"/>
      <c r="AX193" s="1410"/>
      <c r="AY193" s="1410"/>
      <c r="AZ193" s="1410"/>
      <c r="BA193" s="1410"/>
      <c r="BB193" s="1387"/>
      <c r="BC193" s="1520"/>
      <c r="BD193" s="1520"/>
      <c r="BE193" s="1520"/>
    </row>
    <row r="194" spans="2:57" s="1406" customFormat="1" x14ac:dyDescent="0.3">
      <c r="B194" s="1522"/>
      <c r="C194" s="1426"/>
      <c r="D194" s="1426"/>
      <c r="E194" s="1434"/>
      <c r="F194" s="1434"/>
      <c r="G194" s="1434"/>
      <c r="H194" s="122"/>
      <c r="I194" s="122"/>
      <c r="J194" s="122"/>
      <c r="K194" s="122"/>
      <c r="L194" s="122"/>
      <c r="M194" s="122"/>
      <c r="N194" s="122"/>
      <c r="O194" s="122"/>
      <c r="P194" s="1487"/>
      <c r="Q194" s="122"/>
      <c r="R194" s="122"/>
      <c r="S194" s="122"/>
      <c r="T194" s="122"/>
      <c r="U194" s="122"/>
      <c r="V194" s="122"/>
      <c r="W194" s="122"/>
      <c r="X194" s="122"/>
      <c r="Y194" s="122"/>
      <c r="Z194" s="122"/>
      <c r="AA194" s="122"/>
      <c r="AB194" s="122"/>
      <c r="AC194" s="122"/>
      <c r="AD194" s="122"/>
      <c r="AE194" s="122"/>
      <c r="AF194" s="122"/>
      <c r="AG194" s="122"/>
      <c r="AH194" s="122"/>
      <c r="AI194" s="122"/>
      <c r="AJ194" s="122"/>
      <c r="AK194" s="122"/>
      <c r="AL194" s="122"/>
      <c r="AM194" s="122"/>
      <c r="AN194" s="122"/>
      <c r="AO194" s="122"/>
      <c r="AP194" s="122"/>
      <c r="AQ194" s="122"/>
      <c r="AR194" s="122"/>
      <c r="AS194" s="122"/>
      <c r="AT194" s="122"/>
      <c r="AU194" s="122"/>
      <c r="AV194" s="122"/>
      <c r="AW194" s="122"/>
      <c r="AX194" s="122"/>
      <c r="AY194" s="122"/>
      <c r="AZ194" s="122"/>
      <c r="BA194" s="122"/>
      <c r="BB194" s="1387"/>
      <c r="BC194" s="1520"/>
      <c r="BD194" s="1520"/>
      <c r="BE194" s="1520"/>
    </row>
    <row r="195" spans="2:57" s="1406" customFormat="1" x14ac:dyDescent="0.3">
      <c r="B195" s="1523" t="s">
        <v>1585</v>
      </c>
      <c r="C195" s="1426"/>
      <c r="D195" s="1426"/>
      <c r="E195" s="1434"/>
      <c r="F195" s="1434"/>
      <c r="G195" s="1434"/>
      <c r="H195" s="122"/>
      <c r="I195" s="122"/>
      <c r="J195" s="122"/>
      <c r="K195" s="122"/>
      <c r="L195" s="122"/>
      <c r="M195" s="122"/>
      <c r="N195" s="122"/>
      <c r="O195" s="122"/>
      <c r="P195" s="1487"/>
      <c r="Q195" s="122"/>
      <c r="R195" s="122"/>
      <c r="S195" s="122"/>
      <c r="T195" s="122"/>
      <c r="U195" s="122"/>
      <c r="V195" s="122"/>
      <c r="W195" s="122"/>
      <c r="X195" s="122"/>
      <c r="Y195" s="122"/>
      <c r="Z195" s="122"/>
      <c r="AA195" s="122"/>
      <c r="AB195" s="122"/>
      <c r="AC195" s="122"/>
      <c r="AD195" s="122"/>
      <c r="AE195" s="122"/>
      <c r="AF195" s="122"/>
      <c r="AG195" s="122"/>
      <c r="AH195" s="122"/>
      <c r="AI195" s="122"/>
      <c r="AJ195" s="122"/>
      <c r="AK195" s="122"/>
      <c r="AL195" s="122"/>
      <c r="AM195" s="122"/>
      <c r="AN195" s="122"/>
      <c r="AO195" s="122"/>
      <c r="AP195" s="122"/>
      <c r="AQ195" s="122"/>
      <c r="AR195" s="122"/>
      <c r="AS195" s="122"/>
      <c r="AT195" s="122"/>
      <c r="AU195" s="122"/>
      <c r="AV195" s="122"/>
      <c r="AW195" s="122"/>
      <c r="AX195" s="122"/>
      <c r="AY195" s="122"/>
      <c r="AZ195" s="122"/>
      <c r="BA195" s="122"/>
      <c r="BB195" s="1387"/>
      <c r="BC195" s="1520"/>
      <c r="BD195" s="1520"/>
      <c r="BE195" s="1520"/>
    </row>
    <row r="196" spans="2:57" s="1406" customFormat="1" x14ac:dyDescent="0.3">
      <c r="B196" s="1522" t="s">
        <v>1573</v>
      </c>
      <c r="C196" s="1426"/>
      <c r="D196" s="1426"/>
      <c r="E196" s="1434"/>
      <c r="F196" s="1434"/>
      <c r="G196" s="1434"/>
      <c r="H196" s="122"/>
      <c r="I196" s="1440"/>
      <c r="J196" s="1440"/>
      <c r="K196" s="1440"/>
      <c r="L196" s="1440"/>
      <c r="M196" s="1440"/>
      <c r="N196" s="1440"/>
      <c r="O196" s="1440"/>
      <c r="P196" s="1473"/>
      <c r="Q196" s="1410">
        <f>P200</f>
        <v>0</v>
      </c>
      <c r="R196" s="1410">
        <f t="shared" ref="R196:Z196" si="120">Q200</f>
        <v>0</v>
      </c>
      <c r="S196" s="1410">
        <f t="shared" si="120"/>
        <v>0</v>
      </c>
      <c r="T196" s="1410">
        <f t="shared" si="120"/>
        <v>0</v>
      </c>
      <c r="U196" s="1410">
        <f t="shared" si="120"/>
        <v>0</v>
      </c>
      <c r="V196" s="1410">
        <f t="shared" si="120"/>
        <v>0</v>
      </c>
      <c r="W196" s="1410">
        <f t="shared" si="120"/>
        <v>0</v>
      </c>
      <c r="X196" s="1410">
        <f t="shared" si="120"/>
        <v>0</v>
      </c>
      <c r="Y196" s="1410">
        <f t="shared" si="120"/>
        <v>0</v>
      </c>
      <c r="Z196" s="1410">
        <f t="shared" si="120"/>
        <v>0</v>
      </c>
      <c r="AA196" s="1410"/>
      <c r="AB196" s="1410"/>
      <c r="AC196" s="1410"/>
      <c r="AD196" s="1410"/>
      <c r="AE196" s="1410"/>
      <c r="AF196" s="1410"/>
      <c r="AG196" s="1410"/>
      <c r="AH196" s="1410"/>
      <c r="AI196" s="1410"/>
      <c r="AJ196" s="1410"/>
      <c r="AK196" s="1410"/>
      <c r="AL196" s="1410"/>
      <c r="AM196" s="1410"/>
      <c r="AN196" s="1410"/>
      <c r="AO196" s="1410"/>
      <c r="AP196" s="1410"/>
      <c r="AQ196" s="1410"/>
      <c r="AR196" s="1410"/>
      <c r="AS196" s="1410"/>
      <c r="AT196" s="1410"/>
      <c r="AU196" s="1410"/>
      <c r="AV196" s="1410"/>
      <c r="AW196" s="1410"/>
      <c r="AX196" s="1410"/>
      <c r="AY196" s="1410"/>
      <c r="AZ196" s="1410"/>
      <c r="BA196" s="1410"/>
      <c r="BB196" s="1387"/>
      <c r="BC196" s="1520"/>
      <c r="BD196" s="1520"/>
      <c r="BE196" s="1520"/>
    </row>
    <row r="197" spans="2:57" s="1406" customFormat="1" x14ac:dyDescent="0.3">
      <c r="B197" s="1522" t="s">
        <v>1574</v>
      </c>
      <c r="C197" s="1426"/>
      <c r="D197" s="1426"/>
      <c r="E197" s="1434"/>
      <c r="F197" s="1434"/>
      <c r="G197" s="1434"/>
      <c r="H197" s="122"/>
      <c r="I197" s="1440"/>
      <c r="J197" s="1440"/>
      <c r="K197" s="1440"/>
      <c r="L197" s="1440"/>
      <c r="M197" s="1440"/>
      <c r="N197" s="1440"/>
      <c r="O197" s="1440"/>
      <c r="P197" s="1473"/>
      <c r="Q197" s="1410">
        <v>0</v>
      </c>
      <c r="R197" s="1410">
        <f>Q197</f>
        <v>0</v>
      </c>
      <c r="S197" s="1410">
        <f t="shared" ref="S197:Z197" si="121">R197</f>
        <v>0</v>
      </c>
      <c r="T197" s="1410">
        <f t="shared" si="121"/>
        <v>0</v>
      </c>
      <c r="U197" s="1410">
        <f t="shared" si="121"/>
        <v>0</v>
      </c>
      <c r="V197" s="1410">
        <f t="shared" si="121"/>
        <v>0</v>
      </c>
      <c r="W197" s="1410">
        <f t="shared" si="121"/>
        <v>0</v>
      </c>
      <c r="X197" s="1410">
        <f t="shared" si="121"/>
        <v>0</v>
      </c>
      <c r="Y197" s="1410">
        <f t="shared" si="121"/>
        <v>0</v>
      </c>
      <c r="Z197" s="1410">
        <f t="shared" si="121"/>
        <v>0</v>
      </c>
      <c r="AA197" s="1410"/>
      <c r="AB197" s="1410"/>
      <c r="AC197" s="1410"/>
      <c r="AD197" s="1410"/>
      <c r="AE197" s="1410"/>
      <c r="AF197" s="1410"/>
      <c r="AG197" s="1410"/>
      <c r="AH197" s="1410"/>
      <c r="AI197" s="1410"/>
      <c r="AJ197" s="1410"/>
      <c r="AK197" s="1410"/>
      <c r="AL197" s="1410"/>
      <c r="AM197" s="1410"/>
      <c r="AN197" s="1410"/>
      <c r="AO197" s="1410"/>
      <c r="AP197" s="1410"/>
      <c r="AQ197" s="1410"/>
      <c r="AR197" s="1410"/>
      <c r="AS197" s="1410"/>
      <c r="AT197" s="1410"/>
      <c r="AU197" s="1410"/>
      <c r="AV197" s="1410"/>
      <c r="AW197" s="1410"/>
      <c r="AX197" s="1410"/>
      <c r="AY197" s="1410"/>
      <c r="AZ197" s="1410"/>
      <c r="BA197" s="1410"/>
      <c r="BB197" s="1387"/>
      <c r="BC197" s="1520"/>
      <c r="BD197" s="1520"/>
      <c r="BE197" s="1520"/>
    </row>
    <row r="198" spans="2:57" s="1406" customFormat="1" x14ac:dyDescent="0.3">
      <c r="B198" s="1522" t="s">
        <v>1583</v>
      </c>
      <c r="C198" s="1426"/>
      <c r="D198" s="1426"/>
      <c r="E198" s="1434"/>
      <c r="F198" s="1434"/>
      <c r="G198" s="1434"/>
      <c r="H198" s="122"/>
      <c r="I198" s="1440"/>
      <c r="J198" s="1440"/>
      <c r="K198" s="1440"/>
      <c r="L198" s="1440"/>
      <c r="M198" s="1440"/>
      <c r="N198" s="1440"/>
      <c r="O198" s="1440"/>
      <c r="P198" s="1473"/>
      <c r="Q198" s="1410">
        <v>0</v>
      </c>
      <c r="R198" s="1410">
        <f t="shared" ref="R198:Z199" si="122">Q198</f>
        <v>0</v>
      </c>
      <c r="S198" s="1410">
        <f t="shared" si="122"/>
        <v>0</v>
      </c>
      <c r="T198" s="1410">
        <f t="shared" si="122"/>
        <v>0</v>
      </c>
      <c r="U198" s="1410">
        <f t="shared" si="122"/>
        <v>0</v>
      </c>
      <c r="V198" s="1410">
        <f t="shared" si="122"/>
        <v>0</v>
      </c>
      <c r="W198" s="1410">
        <f t="shared" si="122"/>
        <v>0</v>
      </c>
      <c r="X198" s="1410">
        <f t="shared" si="122"/>
        <v>0</v>
      </c>
      <c r="Y198" s="1410">
        <f t="shared" si="122"/>
        <v>0</v>
      </c>
      <c r="Z198" s="1410">
        <f t="shared" si="122"/>
        <v>0</v>
      </c>
      <c r="AA198" s="1410"/>
      <c r="AB198" s="1410"/>
      <c r="AC198" s="1410"/>
      <c r="AD198" s="1410"/>
      <c r="AE198" s="1410"/>
      <c r="AF198" s="1410"/>
      <c r="AG198" s="1410"/>
      <c r="AH198" s="1410"/>
      <c r="AI198" s="1410"/>
      <c r="AJ198" s="1410"/>
      <c r="AK198" s="1410"/>
      <c r="AL198" s="1410"/>
      <c r="AM198" s="1410"/>
      <c r="AN198" s="1410"/>
      <c r="AO198" s="1410"/>
      <c r="AP198" s="1410"/>
      <c r="AQ198" s="1410"/>
      <c r="AR198" s="1410"/>
      <c r="AS198" s="1410"/>
      <c r="AT198" s="1410"/>
      <c r="AU198" s="1410"/>
      <c r="AV198" s="1410"/>
      <c r="AW198" s="1410"/>
      <c r="AX198" s="1410"/>
      <c r="AY198" s="1410"/>
      <c r="AZ198" s="1410"/>
      <c r="BA198" s="1410"/>
      <c r="BB198" s="1387"/>
      <c r="BC198" s="1520"/>
      <c r="BD198" s="1520"/>
      <c r="BE198" s="1520"/>
    </row>
    <row r="199" spans="2:57" s="1406" customFormat="1" x14ac:dyDescent="0.3">
      <c r="B199" s="1522" t="s">
        <v>1576</v>
      </c>
      <c r="C199" s="1426"/>
      <c r="D199" s="1426"/>
      <c r="E199" s="1434"/>
      <c r="F199" s="1434"/>
      <c r="G199" s="1434"/>
      <c r="H199" s="122"/>
      <c r="I199" s="1440"/>
      <c r="J199" s="1440"/>
      <c r="K199" s="1440"/>
      <c r="L199" s="1440"/>
      <c r="M199" s="1440"/>
      <c r="N199" s="1440"/>
      <c r="O199" s="1440"/>
      <c r="P199" s="1473"/>
      <c r="Q199" s="1410">
        <v>0</v>
      </c>
      <c r="R199" s="1410">
        <f t="shared" si="122"/>
        <v>0</v>
      </c>
      <c r="S199" s="1410">
        <f t="shared" si="122"/>
        <v>0</v>
      </c>
      <c r="T199" s="1410">
        <f t="shared" si="122"/>
        <v>0</v>
      </c>
      <c r="U199" s="1410">
        <f t="shared" si="122"/>
        <v>0</v>
      </c>
      <c r="V199" s="1410">
        <f t="shared" si="122"/>
        <v>0</v>
      </c>
      <c r="W199" s="1410">
        <f t="shared" si="122"/>
        <v>0</v>
      </c>
      <c r="X199" s="1410">
        <f t="shared" si="122"/>
        <v>0</v>
      </c>
      <c r="Y199" s="1410">
        <f t="shared" si="122"/>
        <v>0</v>
      </c>
      <c r="Z199" s="1410">
        <f t="shared" si="122"/>
        <v>0</v>
      </c>
      <c r="AA199" s="1410"/>
      <c r="AB199" s="1410"/>
      <c r="AC199" s="1410"/>
      <c r="AD199" s="1410"/>
      <c r="AE199" s="1410"/>
      <c r="AF199" s="1410"/>
      <c r="AG199" s="1410"/>
      <c r="AH199" s="1410"/>
      <c r="AI199" s="1410"/>
      <c r="AJ199" s="1410"/>
      <c r="AK199" s="1410"/>
      <c r="AL199" s="1410"/>
      <c r="AM199" s="1410"/>
      <c r="AN199" s="1410"/>
      <c r="AO199" s="1410"/>
      <c r="AP199" s="1410"/>
      <c r="AQ199" s="1410"/>
      <c r="AR199" s="1410"/>
      <c r="AS199" s="1410"/>
      <c r="AT199" s="1410"/>
      <c r="AU199" s="1410"/>
      <c r="AV199" s="1410"/>
      <c r="AW199" s="1410"/>
      <c r="AX199" s="1410"/>
      <c r="AY199" s="1410"/>
      <c r="AZ199" s="1410"/>
      <c r="BA199" s="1410"/>
      <c r="BB199" s="1387"/>
      <c r="BC199" s="1520"/>
      <c r="BD199" s="1520"/>
      <c r="BE199" s="1520"/>
    </row>
    <row r="200" spans="2:57" s="1406" customFormat="1" x14ac:dyDescent="0.3">
      <c r="B200" s="1522" t="s">
        <v>1577</v>
      </c>
      <c r="C200" s="1426"/>
      <c r="D200" s="1426"/>
      <c r="E200" s="1434"/>
      <c r="F200" s="1434"/>
      <c r="G200" s="1434"/>
      <c r="H200" s="122"/>
      <c r="I200" s="1440"/>
      <c r="J200" s="1440"/>
      <c r="K200" s="1440"/>
      <c r="L200" s="1440"/>
      <c r="M200" s="1440"/>
      <c r="N200" s="1440"/>
      <c r="O200" s="1440"/>
      <c r="P200" s="1473">
        <v>0</v>
      </c>
      <c r="Q200" s="1410">
        <f>SUM(Q196:Q199)</f>
        <v>0</v>
      </c>
      <c r="R200" s="1410">
        <f t="shared" ref="R200:Z200" si="123">SUM(R196:R199)</f>
        <v>0</v>
      </c>
      <c r="S200" s="1410">
        <f t="shared" si="123"/>
        <v>0</v>
      </c>
      <c r="T200" s="1410">
        <f t="shared" si="123"/>
        <v>0</v>
      </c>
      <c r="U200" s="1410">
        <f t="shared" si="123"/>
        <v>0</v>
      </c>
      <c r="V200" s="1410">
        <f t="shared" si="123"/>
        <v>0</v>
      </c>
      <c r="W200" s="1410">
        <f t="shared" si="123"/>
        <v>0</v>
      </c>
      <c r="X200" s="1410">
        <f t="shared" si="123"/>
        <v>0</v>
      </c>
      <c r="Y200" s="1410">
        <f t="shared" si="123"/>
        <v>0</v>
      </c>
      <c r="Z200" s="1410">
        <f t="shared" si="123"/>
        <v>0</v>
      </c>
      <c r="AA200" s="1410"/>
      <c r="AB200" s="1410"/>
      <c r="AC200" s="1410"/>
      <c r="AD200" s="1410"/>
      <c r="AE200" s="1410"/>
      <c r="AF200" s="1410"/>
      <c r="AG200" s="1410"/>
      <c r="AH200" s="1410"/>
      <c r="AI200" s="1410"/>
      <c r="AJ200" s="1410"/>
      <c r="AK200" s="1410"/>
      <c r="AL200" s="1410"/>
      <c r="AM200" s="1410"/>
      <c r="AN200" s="1410"/>
      <c r="AO200" s="1410"/>
      <c r="AP200" s="1410"/>
      <c r="AQ200" s="1410"/>
      <c r="AR200" s="1410"/>
      <c r="AS200" s="1410"/>
      <c r="AT200" s="1410"/>
      <c r="AU200" s="1410"/>
      <c r="AV200" s="1410"/>
      <c r="AW200" s="1410"/>
      <c r="AX200" s="1410"/>
      <c r="AY200" s="1410"/>
      <c r="AZ200" s="1410"/>
      <c r="BA200" s="1410"/>
      <c r="BB200" s="1387"/>
      <c r="BC200" s="1520"/>
      <c r="BD200" s="1520"/>
      <c r="BE200" s="1520"/>
    </row>
    <row r="201" spans="2:57" s="1406" customFormat="1" x14ac:dyDescent="0.3">
      <c r="B201" s="1522"/>
      <c r="C201" s="1426"/>
      <c r="D201" s="1426"/>
      <c r="E201" s="1434"/>
      <c r="F201" s="1434"/>
      <c r="G201" s="1434"/>
      <c r="H201" s="122"/>
      <c r="I201" s="1440"/>
      <c r="J201" s="1440"/>
      <c r="K201" s="1440"/>
      <c r="L201" s="1440"/>
      <c r="M201" s="1440"/>
      <c r="N201" s="1440"/>
      <c r="O201" s="1440"/>
      <c r="P201" s="1473"/>
      <c r="Q201" s="1410"/>
      <c r="R201" s="1410"/>
      <c r="S201" s="1410"/>
      <c r="T201" s="1410"/>
      <c r="U201" s="1410"/>
      <c r="V201" s="1410"/>
      <c r="W201" s="1410"/>
      <c r="X201" s="1410"/>
      <c r="Y201" s="1410"/>
      <c r="Z201" s="1410"/>
      <c r="AA201" s="1410"/>
      <c r="AB201" s="1410"/>
      <c r="AC201" s="1410"/>
      <c r="AD201" s="1410"/>
      <c r="AE201" s="1410"/>
      <c r="AF201" s="1410"/>
      <c r="AG201" s="1410"/>
      <c r="AH201" s="1410"/>
      <c r="AI201" s="1410"/>
      <c r="AJ201" s="1410"/>
      <c r="AK201" s="1410"/>
      <c r="AL201" s="1410"/>
      <c r="AM201" s="1410"/>
      <c r="AN201" s="1410"/>
      <c r="AO201" s="1410"/>
      <c r="AP201" s="1410"/>
      <c r="AQ201" s="1410"/>
      <c r="AR201" s="1410"/>
      <c r="AS201" s="1410"/>
      <c r="AT201" s="1410"/>
      <c r="AU201" s="1410"/>
      <c r="AV201" s="1410"/>
      <c r="AW201" s="1410"/>
      <c r="AX201" s="1410"/>
      <c r="AY201" s="1410"/>
      <c r="AZ201" s="1410"/>
      <c r="BA201" s="1410"/>
      <c r="BB201" s="1387"/>
      <c r="BC201" s="1520"/>
      <c r="BD201" s="1520"/>
      <c r="BE201" s="1520"/>
    </row>
    <row r="202" spans="2:57" s="1406" customFormat="1" x14ac:dyDescent="0.3">
      <c r="B202" s="1523" t="s">
        <v>1586</v>
      </c>
      <c r="C202" s="1426"/>
      <c r="D202" s="1426"/>
      <c r="E202" s="1434"/>
      <c r="F202" s="1434"/>
      <c r="G202" s="1434"/>
      <c r="H202" s="122"/>
      <c r="I202" s="122"/>
      <c r="J202" s="122"/>
      <c r="K202" s="122"/>
      <c r="L202" s="122"/>
      <c r="M202" s="122"/>
      <c r="N202" s="122"/>
      <c r="O202" s="122"/>
      <c r="P202" s="1487"/>
      <c r="Q202" s="122"/>
      <c r="R202" s="122"/>
      <c r="S202" s="122"/>
      <c r="T202" s="122"/>
      <c r="U202" s="122"/>
      <c r="V202" s="122"/>
      <c r="W202" s="122"/>
      <c r="X202" s="122"/>
      <c r="Y202" s="122"/>
      <c r="Z202" s="122"/>
      <c r="AA202" s="122"/>
      <c r="AB202" s="122"/>
      <c r="AC202" s="122"/>
      <c r="AD202" s="122"/>
      <c r="AE202" s="122"/>
      <c r="AF202" s="122"/>
      <c r="AG202" s="122"/>
      <c r="AH202" s="122"/>
      <c r="AI202" s="122"/>
      <c r="AJ202" s="122"/>
      <c r="AK202" s="122"/>
      <c r="AL202" s="122"/>
      <c r="AM202" s="122"/>
      <c r="AN202" s="122"/>
      <c r="AO202" s="122"/>
      <c r="AP202" s="122"/>
      <c r="AQ202" s="122"/>
      <c r="AR202" s="122"/>
      <c r="AS202" s="122"/>
      <c r="AT202" s="122"/>
      <c r="AU202" s="122"/>
      <c r="AV202" s="122"/>
      <c r="AW202" s="122"/>
      <c r="AX202" s="122"/>
      <c r="AY202" s="122"/>
      <c r="AZ202" s="122"/>
      <c r="BA202" s="122"/>
      <c r="BB202" s="1387"/>
      <c r="BC202" s="1520"/>
      <c r="BD202" s="1520"/>
      <c r="BE202" s="1520"/>
    </row>
    <row r="203" spans="2:57" s="1406" customFormat="1" x14ac:dyDescent="0.3">
      <c r="B203" s="1522" t="s">
        <v>1573</v>
      </c>
      <c r="C203" s="1426"/>
      <c r="D203" s="1426"/>
      <c r="E203" s="1434"/>
      <c r="F203" s="1434"/>
      <c r="G203" s="1434"/>
      <c r="H203" s="122"/>
      <c r="I203" s="1440"/>
      <c r="J203" s="1440"/>
      <c r="K203" s="1440"/>
      <c r="L203" s="1440"/>
      <c r="M203" s="1440"/>
      <c r="N203" s="1440"/>
      <c r="O203" s="1440"/>
      <c r="P203" s="1473"/>
      <c r="Q203" s="1410">
        <f>P207</f>
        <v>0</v>
      </c>
      <c r="R203" s="1410">
        <f t="shared" ref="R203:Z203" si="124">Q207</f>
        <v>0</v>
      </c>
      <c r="S203" s="1410">
        <f t="shared" si="124"/>
        <v>0</v>
      </c>
      <c r="T203" s="1410">
        <f t="shared" si="124"/>
        <v>0</v>
      </c>
      <c r="U203" s="1410">
        <f t="shared" si="124"/>
        <v>0</v>
      </c>
      <c r="V203" s="1410">
        <f t="shared" si="124"/>
        <v>0</v>
      </c>
      <c r="W203" s="1410">
        <f t="shared" si="124"/>
        <v>0</v>
      </c>
      <c r="X203" s="1410">
        <f t="shared" si="124"/>
        <v>0</v>
      </c>
      <c r="Y203" s="1410">
        <f t="shared" si="124"/>
        <v>0</v>
      </c>
      <c r="Z203" s="1410">
        <f t="shared" si="124"/>
        <v>0</v>
      </c>
      <c r="AA203" s="1410"/>
      <c r="AB203" s="1410"/>
      <c r="AC203" s="1410"/>
      <c r="AD203" s="1410"/>
      <c r="AE203" s="1410"/>
      <c r="AF203" s="1410"/>
      <c r="AG203" s="1410"/>
      <c r="AH203" s="1410"/>
      <c r="AI203" s="1410"/>
      <c r="AJ203" s="1410"/>
      <c r="AK203" s="1410"/>
      <c r="AL203" s="1410"/>
      <c r="AM203" s="1410"/>
      <c r="AN203" s="1410"/>
      <c r="AO203" s="1410"/>
      <c r="AP203" s="1410"/>
      <c r="AQ203" s="1410"/>
      <c r="AR203" s="1410"/>
      <c r="AS203" s="1410"/>
      <c r="AT203" s="1410"/>
      <c r="AU203" s="1410"/>
      <c r="AV203" s="1410"/>
      <c r="AW203" s="1410"/>
      <c r="AX203" s="1410"/>
      <c r="AY203" s="1410"/>
      <c r="AZ203" s="1410"/>
      <c r="BA203" s="1410"/>
      <c r="BB203" s="1387"/>
      <c r="BC203" s="1520"/>
      <c r="BD203" s="1520"/>
      <c r="BE203" s="1520"/>
    </row>
    <row r="204" spans="2:57" s="1406" customFormat="1" x14ac:dyDescent="0.3">
      <c r="B204" s="1522" t="s">
        <v>1574</v>
      </c>
      <c r="C204" s="1426"/>
      <c r="D204" s="1426"/>
      <c r="E204" s="1434"/>
      <c r="F204" s="1434"/>
      <c r="G204" s="1434"/>
      <c r="H204" s="122"/>
      <c r="I204" s="1440"/>
      <c r="J204" s="1440"/>
      <c r="K204" s="1440"/>
      <c r="L204" s="1440"/>
      <c r="M204" s="1440"/>
      <c r="N204" s="1440"/>
      <c r="O204" s="1440"/>
      <c r="P204" s="1473"/>
      <c r="Q204" s="1410">
        <v>0</v>
      </c>
      <c r="R204" s="1410">
        <f>Q204</f>
        <v>0</v>
      </c>
      <c r="S204" s="1410">
        <f t="shared" ref="S204:Z204" si="125">R204</f>
        <v>0</v>
      </c>
      <c r="T204" s="1410">
        <f t="shared" si="125"/>
        <v>0</v>
      </c>
      <c r="U204" s="1410">
        <f t="shared" si="125"/>
        <v>0</v>
      </c>
      <c r="V204" s="1410">
        <f t="shared" si="125"/>
        <v>0</v>
      </c>
      <c r="W204" s="1410">
        <f t="shared" si="125"/>
        <v>0</v>
      </c>
      <c r="X204" s="1410">
        <f t="shared" si="125"/>
        <v>0</v>
      </c>
      <c r="Y204" s="1410">
        <f t="shared" si="125"/>
        <v>0</v>
      </c>
      <c r="Z204" s="1410">
        <f t="shared" si="125"/>
        <v>0</v>
      </c>
      <c r="AA204" s="1410"/>
      <c r="AB204" s="1410"/>
      <c r="AC204" s="1410"/>
      <c r="AD204" s="1410"/>
      <c r="AE204" s="1410"/>
      <c r="AF204" s="1410"/>
      <c r="AG204" s="1410"/>
      <c r="AH204" s="1410"/>
      <c r="AI204" s="1410"/>
      <c r="AJ204" s="1410"/>
      <c r="AK204" s="1410"/>
      <c r="AL204" s="1410"/>
      <c r="AM204" s="1410"/>
      <c r="AN204" s="1410"/>
      <c r="AO204" s="1410"/>
      <c r="AP204" s="1410"/>
      <c r="AQ204" s="1410"/>
      <c r="AR204" s="1410"/>
      <c r="AS204" s="1410"/>
      <c r="AT204" s="1410"/>
      <c r="AU204" s="1410"/>
      <c r="AV204" s="1410"/>
      <c r="AW204" s="1410"/>
      <c r="AX204" s="1410"/>
      <c r="AY204" s="1410"/>
      <c r="AZ204" s="1410"/>
      <c r="BA204" s="1410"/>
      <c r="BB204" s="1387"/>
      <c r="BC204" s="1520"/>
      <c r="BD204" s="1520"/>
      <c r="BE204" s="1520"/>
    </row>
    <row r="205" spans="2:57" s="1406" customFormat="1" x14ac:dyDescent="0.3">
      <c r="B205" s="1522" t="s">
        <v>1583</v>
      </c>
      <c r="C205" s="1426"/>
      <c r="D205" s="1426"/>
      <c r="E205" s="1434"/>
      <c r="F205" s="1434"/>
      <c r="G205" s="1434"/>
      <c r="H205" s="122"/>
      <c r="I205" s="1440"/>
      <c r="J205" s="1440"/>
      <c r="K205" s="1440"/>
      <c r="L205" s="1440"/>
      <c r="M205" s="1440"/>
      <c r="N205" s="1440"/>
      <c r="O205" s="1440"/>
      <c r="P205" s="1473"/>
      <c r="Q205" s="1410">
        <v>0</v>
      </c>
      <c r="R205" s="1410">
        <f t="shared" ref="R205:Z206" si="126">Q205</f>
        <v>0</v>
      </c>
      <c r="S205" s="1410">
        <f t="shared" si="126"/>
        <v>0</v>
      </c>
      <c r="T205" s="1410">
        <f t="shared" si="126"/>
        <v>0</v>
      </c>
      <c r="U205" s="1410">
        <f t="shared" si="126"/>
        <v>0</v>
      </c>
      <c r="V205" s="1410">
        <f t="shared" si="126"/>
        <v>0</v>
      </c>
      <c r="W205" s="1410">
        <f t="shared" si="126"/>
        <v>0</v>
      </c>
      <c r="X205" s="1410">
        <f t="shared" si="126"/>
        <v>0</v>
      </c>
      <c r="Y205" s="1410">
        <f t="shared" si="126"/>
        <v>0</v>
      </c>
      <c r="Z205" s="1410">
        <f t="shared" si="126"/>
        <v>0</v>
      </c>
      <c r="AA205" s="1410"/>
      <c r="AB205" s="1410"/>
      <c r="AC205" s="1410"/>
      <c r="AD205" s="1410"/>
      <c r="AE205" s="1410"/>
      <c r="AF205" s="1410"/>
      <c r="AG205" s="1410"/>
      <c r="AH205" s="1410"/>
      <c r="AI205" s="1410"/>
      <c r="AJ205" s="1410"/>
      <c r="AK205" s="1410"/>
      <c r="AL205" s="1410"/>
      <c r="AM205" s="1410"/>
      <c r="AN205" s="1410"/>
      <c r="AO205" s="1410"/>
      <c r="AP205" s="1410"/>
      <c r="AQ205" s="1410"/>
      <c r="AR205" s="1410"/>
      <c r="AS205" s="1410"/>
      <c r="AT205" s="1410"/>
      <c r="AU205" s="1410"/>
      <c r="AV205" s="1410"/>
      <c r="AW205" s="1410"/>
      <c r="AX205" s="1410"/>
      <c r="AY205" s="1410"/>
      <c r="AZ205" s="1410"/>
      <c r="BA205" s="1410"/>
      <c r="BB205" s="1387"/>
      <c r="BC205" s="1520"/>
      <c r="BD205" s="1520"/>
      <c r="BE205" s="1520"/>
    </row>
    <row r="206" spans="2:57" s="1406" customFormat="1" x14ac:dyDescent="0.3">
      <c r="B206" s="1522" t="s">
        <v>1576</v>
      </c>
      <c r="C206" s="1426"/>
      <c r="D206" s="1426"/>
      <c r="E206" s="1434"/>
      <c r="F206" s="1434"/>
      <c r="G206" s="1434"/>
      <c r="H206" s="122"/>
      <c r="I206" s="1440"/>
      <c r="J206" s="1440"/>
      <c r="K206" s="1440"/>
      <c r="L206" s="1440"/>
      <c r="M206" s="1440"/>
      <c r="N206" s="1440"/>
      <c r="O206" s="1440"/>
      <c r="P206" s="1473"/>
      <c r="Q206" s="1410">
        <v>0</v>
      </c>
      <c r="R206" s="1410">
        <f t="shared" si="126"/>
        <v>0</v>
      </c>
      <c r="S206" s="1410">
        <f t="shared" si="126"/>
        <v>0</v>
      </c>
      <c r="T206" s="1410">
        <f t="shared" si="126"/>
        <v>0</v>
      </c>
      <c r="U206" s="1410">
        <f t="shared" si="126"/>
        <v>0</v>
      </c>
      <c r="V206" s="1410">
        <f t="shared" si="126"/>
        <v>0</v>
      </c>
      <c r="W206" s="1410">
        <f t="shared" si="126"/>
        <v>0</v>
      </c>
      <c r="X206" s="1410">
        <f t="shared" si="126"/>
        <v>0</v>
      </c>
      <c r="Y206" s="1410">
        <f t="shared" si="126"/>
        <v>0</v>
      </c>
      <c r="Z206" s="1410">
        <f t="shared" si="126"/>
        <v>0</v>
      </c>
      <c r="AA206" s="1410"/>
      <c r="AB206" s="1410"/>
      <c r="AC206" s="1410"/>
      <c r="AD206" s="1410"/>
      <c r="AE206" s="1410"/>
      <c r="AF206" s="1410"/>
      <c r="AG206" s="1410"/>
      <c r="AH206" s="1410"/>
      <c r="AI206" s="1410"/>
      <c r="AJ206" s="1410"/>
      <c r="AK206" s="1410"/>
      <c r="AL206" s="1410"/>
      <c r="AM206" s="1410"/>
      <c r="AN206" s="1410"/>
      <c r="AO206" s="1410"/>
      <c r="AP206" s="1410"/>
      <c r="AQ206" s="1410"/>
      <c r="AR206" s="1410"/>
      <c r="AS206" s="1410"/>
      <c r="AT206" s="1410"/>
      <c r="AU206" s="1410"/>
      <c r="AV206" s="1410"/>
      <c r="AW206" s="1410"/>
      <c r="AX206" s="1410"/>
      <c r="AY206" s="1410"/>
      <c r="AZ206" s="1410"/>
      <c r="BA206" s="1410"/>
      <c r="BB206" s="1387"/>
      <c r="BC206" s="1520"/>
      <c r="BD206" s="1520"/>
      <c r="BE206" s="1520"/>
    </row>
    <row r="207" spans="2:57" s="1406" customFormat="1" x14ac:dyDescent="0.3">
      <c r="B207" s="1522" t="s">
        <v>1577</v>
      </c>
      <c r="C207" s="1426"/>
      <c r="D207" s="1426"/>
      <c r="E207" s="1434"/>
      <c r="F207" s="1434"/>
      <c r="G207" s="1434"/>
      <c r="H207" s="122"/>
      <c r="I207" s="1440"/>
      <c r="J207" s="1440"/>
      <c r="K207" s="1440"/>
      <c r="L207" s="1440"/>
      <c r="M207" s="1440"/>
      <c r="N207" s="1440"/>
      <c r="O207" s="1440"/>
      <c r="P207" s="1473">
        <v>0</v>
      </c>
      <c r="Q207" s="1410">
        <f>SUM(Q203:Q206)</f>
        <v>0</v>
      </c>
      <c r="R207" s="1410">
        <f t="shared" ref="R207:Z207" si="127">SUM(R203:R206)</f>
        <v>0</v>
      </c>
      <c r="S207" s="1410">
        <f t="shared" si="127"/>
        <v>0</v>
      </c>
      <c r="T207" s="1410">
        <f t="shared" si="127"/>
        <v>0</v>
      </c>
      <c r="U207" s="1410">
        <f t="shared" si="127"/>
        <v>0</v>
      </c>
      <c r="V207" s="1410">
        <f t="shared" si="127"/>
        <v>0</v>
      </c>
      <c r="W207" s="1410">
        <f t="shared" si="127"/>
        <v>0</v>
      </c>
      <c r="X207" s="1410">
        <f t="shared" si="127"/>
        <v>0</v>
      </c>
      <c r="Y207" s="1410">
        <f t="shared" si="127"/>
        <v>0</v>
      </c>
      <c r="Z207" s="1410">
        <f t="shared" si="127"/>
        <v>0</v>
      </c>
      <c r="AA207" s="1410"/>
      <c r="AB207" s="1410"/>
      <c r="AC207" s="1410"/>
      <c r="AD207" s="1410"/>
      <c r="AE207" s="1410"/>
      <c r="AF207" s="1410"/>
      <c r="AG207" s="1410"/>
      <c r="AH207" s="1410"/>
      <c r="AI207" s="1410"/>
      <c r="AJ207" s="1410"/>
      <c r="AK207" s="1410"/>
      <c r="AL207" s="1410"/>
      <c r="AM207" s="1410"/>
      <c r="AN207" s="1410"/>
      <c r="AO207" s="1410"/>
      <c r="AP207" s="1410"/>
      <c r="AQ207" s="1410"/>
      <c r="AR207" s="1410"/>
      <c r="AS207" s="1410"/>
      <c r="AT207" s="1410"/>
      <c r="AU207" s="1410"/>
      <c r="AV207" s="1410"/>
      <c r="AW207" s="1410"/>
      <c r="AX207" s="1410"/>
      <c r="AY207" s="1410"/>
      <c r="AZ207" s="1410"/>
      <c r="BA207" s="1410"/>
      <c r="BB207" s="1387"/>
      <c r="BC207" s="1520"/>
      <c r="BD207" s="1520"/>
      <c r="BE207" s="1520"/>
    </row>
    <row r="208" spans="2:57" s="1406" customFormat="1" x14ac:dyDescent="0.3">
      <c r="B208" s="1522"/>
      <c r="C208" s="1426"/>
      <c r="D208" s="1426"/>
      <c r="E208" s="1434"/>
      <c r="F208" s="1434"/>
      <c r="G208" s="1434"/>
      <c r="H208" s="122"/>
      <c r="I208" s="1440"/>
      <c r="J208" s="1440"/>
      <c r="K208" s="1440"/>
      <c r="L208" s="1440"/>
      <c r="M208" s="1440"/>
      <c r="N208" s="1440"/>
      <c r="O208" s="1440"/>
      <c r="P208" s="1473"/>
      <c r="Q208" s="1410"/>
      <c r="R208" s="1410"/>
      <c r="S208" s="1410"/>
      <c r="T208" s="1410"/>
      <c r="U208" s="1410"/>
      <c r="V208" s="1410"/>
      <c r="W208" s="1410"/>
      <c r="X208" s="1410"/>
      <c r="Y208" s="1410"/>
      <c r="Z208" s="1410"/>
      <c r="AA208" s="1410"/>
      <c r="AB208" s="1410"/>
      <c r="AC208" s="1410"/>
      <c r="AD208" s="1410"/>
      <c r="AE208" s="1410"/>
      <c r="AF208" s="1410"/>
      <c r="AG208" s="1410"/>
      <c r="AH208" s="1410"/>
      <c r="AI208" s="1410"/>
      <c r="AJ208" s="1410"/>
      <c r="AK208" s="1410"/>
      <c r="AL208" s="1410"/>
      <c r="AM208" s="1410"/>
      <c r="AN208" s="1410"/>
      <c r="AO208" s="1410"/>
      <c r="AP208" s="1410"/>
      <c r="AQ208" s="1410"/>
      <c r="AR208" s="1410"/>
      <c r="AS208" s="1410"/>
      <c r="AT208" s="1410"/>
      <c r="AU208" s="1410"/>
      <c r="AV208" s="1410"/>
      <c r="AW208" s="1410"/>
      <c r="AX208" s="1410"/>
      <c r="AY208" s="1410"/>
      <c r="AZ208" s="1410"/>
      <c r="BA208" s="1410"/>
      <c r="BB208" s="1387"/>
      <c r="BC208" s="1520"/>
      <c r="BD208" s="1520"/>
      <c r="BE208" s="1520"/>
    </row>
    <row r="209" spans="2:57" s="1406" customFormat="1" x14ac:dyDescent="0.3">
      <c r="B209" s="1523" t="s">
        <v>1587</v>
      </c>
      <c r="C209" s="1426"/>
      <c r="D209" s="1426"/>
      <c r="E209" s="1434"/>
      <c r="F209" s="1434"/>
      <c r="G209" s="1434"/>
      <c r="H209" s="122"/>
      <c r="I209" s="122"/>
      <c r="J209" s="122"/>
      <c r="K209" s="122"/>
      <c r="L209" s="122"/>
      <c r="M209" s="122"/>
      <c r="N209" s="122"/>
      <c r="O209" s="122"/>
      <c r="P209" s="1487"/>
      <c r="Q209" s="122"/>
      <c r="R209" s="122"/>
      <c r="S209" s="122"/>
      <c r="T209" s="122"/>
      <c r="U209" s="122"/>
      <c r="V209" s="122"/>
      <c r="W209" s="122"/>
      <c r="X209" s="122"/>
      <c r="Y209" s="122"/>
      <c r="Z209" s="122"/>
      <c r="AA209" s="122"/>
      <c r="AB209" s="122"/>
      <c r="AC209" s="122"/>
      <c r="AD209" s="122"/>
      <c r="AE209" s="122"/>
      <c r="AF209" s="122"/>
      <c r="AG209" s="122"/>
      <c r="AH209" s="122"/>
      <c r="AI209" s="122"/>
      <c r="AJ209" s="122"/>
      <c r="AK209" s="122"/>
      <c r="AL209" s="122"/>
      <c r="AM209" s="122"/>
      <c r="AN209" s="122"/>
      <c r="AO209" s="122"/>
      <c r="AP209" s="122"/>
      <c r="AQ209" s="122"/>
      <c r="AR209" s="122"/>
      <c r="AS209" s="122"/>
      <c r="AT209" s="122"/>
      <c r="AU209" s="122"/>
      <c r="AV209" s="122"/>
      <c r="AW209" s="122"/>
      <c r="AX209" s="122"/>
      <c r="AY209" s="122"/>
      <c r="AZ209" s="122"/>
      <c r="BA209" s="122"/>
      <c r="BB209" s="1387"/>
      <c r="BC209" s="1520"/>
      <c r="BD209" s="1520"/>
      <c r="BE209" s="1520"/>
    </row>
    <row r="210" spans="2:57" s="1406" customFormat="1" x14ac:dyDescent="0.3">
      <c r="B210" s="1522" t="s">
        <v>1573</v>
      </c>
      <c r="C210" s="1426"/>
      <c r="D210" s="1426"/>
      <c r="E210" s="1434"/>
      <c r="F210" s="1434"/>
      <c r="G210" s="1434"/>
      <c r="H210" s="122"/>
      <c r="I210" s="1440"/>
      <c r="J210" s="1440"/>
      <c r="K210" s="1440"/>
      <c r="L210" s="1440"/>
      <c r="M210" s="1440"/>
      <c r="N210" s="1440"/>
      <c r="O210" s="1440"/>
      <c r="P210" s="1473"/>
      <c r="Q210" s="1410">
        <f>P214</f>
        <v>0</v>
      </c>
      <c r="R210" s="1410">
        <f t="shared" ref="R210:Z210" si="128">Q214</f>
        <v>0</v>
      </c>
      <c r="S210" s="1410">
        <f t="shared" si="128"/>
        <v>0</v>
      </c>
      <c r="T210" s="1410">
        <f t="shared" si="128"/>
        <v>0</v>
      </c>
      <c r="U210" s="1410">
        <f t="shared" si="128"/>
        <v>0</v>
      </c>
      <c r="V210" s="1410">
        <f t="shared" si="128"/>
        <v>0</v>
      </c>
      <c r="W210" s="1410">
        <f t="shared" si="128"/>
        <v>0</v>
      </c>
      <c r="X210" s="1410">
        <f t="shared" si="128"/>
        <v>0</v>
      </c>
      <c r="Y210" s="1410">
        <f t="shared" si="128"/>
        <v>0</v>
      </c>
      <c r="Z210" s="1410">
        <f t="shared" si="128"/>
        <v>0</v>
      </c>
      <c r="AA210" s="1410"/>
      <c r="AB210" s="1410"/>
      <c r="AC210" s="1410"/>
      <c r="AD210" s="1410"/>
      <c r="AE210" s="1410"/>
      <c r="AF210" s="1410"/>
      <c r="AG210" s="1410"/>
      <c r="AH210" s="1410"/>
      <c r="AI210" s="1410"/>
      <c r="AJ210" s="1410"/>
      <c r="AK210" s="1410"/>
      <c r="AL210" s="1410"/>
      <c r="AM210" s="1410"/>
      <c r="AN210" s="1410"/>
      <c r="AO210" s="1410"/>
      <c r="AP210" s="1410"/>
      <c r="AQ210" s="1410"/>
      <c r="AR210" s="1410"/>
      <c r="AS210" s="1410"/>
      <c r="AT210" s="1410"/>
      <c r="AU210" s="1410"/>
      <c r="AV210" s="1410"/>
      <c r="AW210" s="1410"/>
      <c r="AX210" s="1410"/>
      <c r="AY210" s="1410"/>
      <c r="AZ210" s="1410"/>
      <c r="BA210" s="1410"/>
      <c r="BB210" s="1387"/>
      <c r="BC210" s="1520"/>
      <c r="BD210" s="1520"/>
      <c r="BE210" s="1520"/>
    </row>
    <row r="211" spans="2:57" s="1406" customFormat="1" x14ac:dyDescent="0.3">
      <c r="B211" s="1522" t="s">
        <v>1574</v>
      </c>
      <c r="C211" s="1426"/>
      <c r="D211" s="1426"/>
      <c r="E211" s="1434"/>
      <c r="F211" s="1434"/>
      <c r="G211" s="1434"/>
      <c r="H211" s="122"/>
      <c r="I211" s="1440"/>
      <c r="J211" s="1440"/>
      <c r="K211" s="1440"/>
      <c r="L211" s="1440"/>
      <c r="M211" s="1440"/>
      <c r="N211" s="1440"/>
      <c r="O211" s="1440"/>
      <c r="P211" s="1473"/>
      <c r="Q211" s="1410">
        <v>0</v>
      </c>
      <c r="R211" s="1410">
        <f>Q211</f>
        <v>0</v>
      </c>
      <c r="S211" s="1410">
        <f t="shared" ref="S211:Z211" si="129">R211</f>
        <v>0</v>
      </c>
      <c r="T211" s="1410">
        <f t="shared" si="129"/>
        <v>0</v>
      </c>
      <c r="U211" s="1410">
        <f t="shared" si="129"/>
        <v>0</v>
      </c>
      <c r="V211" s="1410">
        <f t="shared" si="129"/>
        <v>0</v>
      </c>
      <c r="W211" s="1410">
        <f t="shared" si="129"/>
        <v>0</v>
      </c>
      <c r="X211" s="1410">
        <f t="shared" si="129"/>
        <v>0</v>
      </c>
      <c r="Y211" s="1410">
        <f t="shared" si="129"/>
        <v>0</v>
      </c>
      <c r="Z211" s="1410">
        <f t="shared" si="129"/>
        <v>0</v>
      </c>
      <c r="AA211" s="1410"/>
      <c r="AB211" s="1410"/>
      <c r="AC211" s="1410"/>
      <c r="AD211" s="1410"/>
      <c r="AE211" s="1410"/>
      <c r="AF211" s="1410"/>
      <c r="AG211" s="1410"/>
      <c r="AH211" s="1410"/>
      <c r="AI211" s="1410"/>
      <c r="AJ211" s="1410"/>
      <c r="AK211" s="1410"/>
      <c r="AL211" s="1410"/>
      <c r="AM211" s="1410"/>
      <c r="AN211" s="1410"/>
      <c r="AO211" s="1410"/>
      <c r="AP211" s="1410"/>
      <c r="AQ211" s="1410"/>
      <c r="AR211" s="1410"/>
      <c r="AS211" s="1410"/>
      <c r="AT211" s="1410"/>
      <c r="AU211" s="1410"/>
      <c r="AV211" s="1410"/>
      <c r="AW211" s="1410"/>
      <c r="AX211" s="1410"/>
      <c r="AY211" s="1410"/>
      <c r="AZ211" s="1410"/>
      <c r="BA211" s="1410"/>
      <c r="BB211" s="1387"/>
      <c r="BC211" s="1520"/>
      <c r="BD211" s="1520"/>
      <c r="BE211" s="1520"/>
    </row>
    <row r="212" spans="2:57" s="1406" customFormat="1" x14ac:dyDescent="0.3">
      <c r="B212" s="1522" t="s">
        <v>1583</v>
      </c>
      <c r="C212" s="1426"/>
      <c r="D212" s="1426"/>
      <c r="E212" s="1434"/>
      <c r="F212" s="1434"/>
      <c r="G212" s="1434"/>
      <c r="H212" s="122"/>
      <c r="I212" s="1440"/>
      <c r="J212" s="1440"/>
      <c r="K212" s="1440"/>
      <c r="L212" s="1440"/>
      <c r="M212" s="1440"/>
      <c r="N212" s="1440"/>
      <c r="O212" s="1440"/>
      <c r="P212" s="1473"/>
      <c r="Q212" s="1410">
        <v>0</v>
      </c>
      <c r="R212" s="1410">
        <f>Q212</f>
        <v>0</v>
      </c>
      <c r="S212" s="1410">
        <f t="shared" ref="S212:Z212" si="130">R212</f>
        <v>0</v>
      </c>
      <c r="T212" s="1410">
        <f t="shared" si="130"/>
        <v>0</v>
      </c>
      <c r="U212" s="1410">
        <f t="shared" si="130"/>
        <v>0</v>
      </c>
      <c r="V212" s="1410">
        <f t="shared" si="130"/>
        <v>0</v>
      </c>
      <c r="W212" s="1410">
        <f t="shared" si="130"/>
        <v>0</v>
      </c>
      <c r="X212" s="1410">
        <f t="shared" si="130"/>
        <v>0</v>
      </c>
      <c r="Y212" s="1410">
        <f t="shared" si="130"/>
        <v>0</v>
      </c>
      <c r="Z212" s="1410">
        <f t="shared" si="130"/>
        <v>0</v>
      </c>
      <c r="AA212" s="1410"/>
      <c r="AB212" s="1410"/>
      <c r="AC212" s="1410"/>
      <c r="AD212" s="1410"/>
      <c r="AE212" s="1410"/>
      <c r="AF212" s="1410"/>
      <c r="AG212" s="1410"/>
      <c r="AH212" s="1410"/>
      <c r="AI212" s="1410"/>
      <c r="AJ212" s="1410"/>
      <c r="AK212" s="1410"/>
      <c r="AL212" s="1410"/>
      <c r="AM212" s="1410"/>
      <c r="AN212" s="1410"/>
      <c r="AO212" s="1410"/>
      <c r="AP212" s="1410"/>
      <c r="AQ212" s="1410"/>
      <c r="AR212" s="1410"/>
      <c r="AS212" s="1410"/>
      <c r="AT212" s="1410"/>
      <c r="AU212" s="1410"/>
      <c r="AV212" s="1410"/>
      <c r="AW212" s="1410"/>
      <c r="AX212" s="1410"/>
      <c r="AY212" s="1410"/>
      <c r="AZ212" s="1410"/>
      <c r="BA212" s="1410"/>
      <c r="BB212" s="1387"/>
      <c r="BC212" s="1520"/>
      <c r="BD212" s="1520"/>
      <c r="BE212" s="1520"/>
    </row>
    <row r="213" spans="2:57" s="1406" customFormat="1" x14ac:dyDescent="0.3">
      <c r="B213" s="1522" t="s">
        <v>1576</v>
      </c>
      <c r="C213" s="1426"/>
      <c r="D213" s="1426"/>
      <c r="E213" s="1434"/>
      <c r="F213" s="1434"/>
      <c r="G213" s="1434"/>
      <c r="H213" s="122"/>
      <c r="I213" s="1440"/>
      <c r="J213" s="1440"/>
      <c r="K213" s="1440"/>
      <c r="L213" s="1440"/>
      <c r="M213" s="1440"/>
      <c r="N213" s="1440"/>
      <c r="O213" s="1440"/>
      <c r="P213" s="1473"/>
      <c r="Q213" s="1410">
        <v>0</v>
      </c>
      <c r="R213" s="1410">
        <f>Q213</f>
        <v>0</v>
      </c>
      <c r="S213" s="1410">
        <f t="shared" ref="S213:Z213" si="131">R213</f>
        <v>0</v>
      </c>
      <c r="T213" s="1410">
        <f t="shared" si="131"/>
        <v>0</v>
      </c>
      <c r="U213" s="1410">
        <f t="shared" si="131"/>
        <v>0</v>
      </c>
      <c r="V213" s="1410">
        <f t="shared" si="131"/>
        <v>0</v>
      </c>
      <c r="W213" s="1410">
        <f t="shared" si="131"/>
        <v>0</v>
      </c>
      <c r="X213" s="1410">
        <f t="shared" si="131"/>
        <v>0</v>
      </c>
      <c r="Y213" s="1410">
        <f t="shared" si="131"/>
        <v>0</v>
      </c>
      <c r="Z213" s="1410">
        <f t="shared" si="131"/>
        <v>0</v>
      </c>
      <c r="AA213" s="1410"/>
      <c r="AB213" s="1410"/>
      <c r="AC213" s="1410"/>
      <c r="AD213" s="1410"/>
      <c r="AE213" s="1410"/>
      <c r="AF213" s="1410"/>
      <c r="AG213" s="1410"/>
      <c r="AH213" s="1410"/>
      <c r="AI213" s="1410"/>
      <c r="AJ213" s="1410"/>
      <c r="AK213" s="1410"/>
      <c r="AL213" s="1410"/>
      <c r="AM213" s="1410"/>
      <c r="AN213" s="1410"/>
      <c r="AO213" s="1410"/>
      <c r="AP213" s="1410"/>
      <c r="AQ213" s="1410"/>
      <c r="AR213" s="1410"/>
      <c r="AS213" s="1410"/>
      <c r="AT213" s="1410"/>
      <c r="AU213" s="1410"/>
      <c r="AV213" s="1410"/>
      <c r="AW213" s="1410"/>
      <c r="AX213" s="1410"/>
      <c r="AY213" s="1410"/>
      <c r="AZ213" s="1410"/>
      <c r="BA213" s="1410"/>
      <c r="BB213" s="1387"/>
      <c r="BC213" s="1520"/>
      <c r="BD213" s="1520"/>
      <c r="BE213" s="1520"/>
    </row>
    <row r="214" spans="2:57" s="1406" customFormat="1" x14ac:dyDescent="0.3">
      <c r="B214" s="1522" t="s">
        <v>1577</v>
      </c>
      <c r="C214" s="1426"/>
      <c r="D214" s="1426"/>
      <c r="E214" s="1434"/>
      <c r="F214" s="1434"/>
      <c r="G214" s="1434"/>
      <c r="H214" s="122"/>
      <c r="I214" s="1440"/>
      <c r="J214" s="1440"/>
      <c r="K214" s="1440"/>
      <c r="L214" s="1440"/>
      <c r="M214" s="1440"/>
      <c r="N214" s="1440"/>
      <c r="O214" s="1440"/>
      <c r="P214" s="1496">
        <v>0</v>
      </c>
      <c r="Q214" s="1410">
        <f>SUM(Q210:Q213)</f>
        <v>0</v>
      </c>
      <c r="R214" s="1410">
        <f t="shared" ref="R214:Z214" si="132">SUM(R210:R213)</f>
        <v>0</v>
      </c>
      <c r="S214" s="1410">
        <f t="shared" si="132"/>
        <v>0</v>
      </c>
      <c r="T214" s="1410">
        <f t="shared" si="132"/>
        <v>0</v>
      </c>
      <c r="U214" s="1410">
        <f t="shared" si="132"/>
        <v>0</v>
      </c>
      <c r="V214" s="1410">
        <f t="shared" si="132"/>
        <v>0</v>
      </c>
      <c r="W214" s="1410">
        <f t="shared" si="132"/>
        <v>0</v>
      </c>
      <c r="X214" s="1410">
        <f t="shared" si="132"/>
        <v>0</v>
      </c>
      <c r="Y214" s="1410">
        <f t="shared" si="132"/>
        <v>0</v>
      </c>
      <c r="Z214" s="1410">
        <f t="shared" si="132"/>
        <v>0</v>
      </c>
      <c r="AA214" s="1410"/>
      <c r="AB214" s="1410"/>
      <c r="AC214" s="1410"/>
      <c r="AD214" s="1410"/>
      <c r="AE214" s="1410"/>
      <c r="AF214" s="1410"/>
      <c r="AG214" s="1410"/>
      <c r="AH214" s="1410"/>
      <c r="AI214" s="1410"/>
      <c r="AJ214" s="1410"/>
      <c r="AK214" s="1410"/>
      <c r="AL214" s="1410"/>
      <c r="AM214" s="1410"/>
      <c r="AN214" s="1410"/>
      <c r="AO214" s="1410"/>
      <c r="AP214" s="1410"/>
      <c r="AQ214" s="1410"/>
      <c r="AR214" s="1410"/>
      <c r="AS214" s="1410"/>
      <c r="AT214" s="1410"/>
      <c r="AU214" s="1410"/>
      <c r="AV214" s="1410"/>
      <c r="AW214" s="1410"/>
      <c r="AX214" s="1410"/>
      <c r="AY214" s="1410"/>
      <c r="AZ214" s="1410"/>
      <c r="BA214" s="1410"/>
      <c r="BB214" s="1387"/>
      <c r="BC214" s="1520"/>
      <c r="BD214" s="1520"/>
      <c r="BE214" s="1520"/>
    </row>
    <row r="215" spans="2:57" s="1406" customFormat="1" x14ac:dyDescent="0.3">
      <c r="B215" s="1474" t="s">
        <v>1563</v>
      </c>
      <c r="C215" s="1453"/>
      <c r="D215" s="1453"/>
      <c r="E215" s="1527"/>
      <c r="F215" s="1527"/>
      <c r="G215" s="1527"/>
      <c r="H215" s="1528"/>
      <c r="I215" s="1529"/>
      <c r="J215" s="1530">
        <f>'BS Raw'!I64</f>
        <v>29.992621136</v>
      </c>
      <c r="K215" s="1530">
        <f>'BS Raw'!J64</f>
        <v>21.415993584999999</v>
      </c>
      <c r="L215" s="1530">
        <f>'BS Raw'!K64</f>
        <v>31.104990451999999</v>
      </c>
      <c r="M215" s="1530">
        <f>'BS Raw'!L64</f>
        <v>11.268113916000001</v>
      </c>
      <c r="N215" s="1530">
        <f>'BS Raw'!M64</f>
        <v>25.129864154</v>
      </c>
      <c r="O215" s="1530">
        <f>'BS Raw'!N64</f>
        <v>164.76199041800001</v>
      </c>
      <c r="P215" s="1579">
        <f>'BS Raw'!O64</f>
        <v>170.57785144900001</v>
      </c>
      <c r="Q215" s="1531">
        <f>SUM(Q160,Q167,Q174,Q182,Q189,Q196,Q203,Q210)</f>
        <v>159.58735877699999</v>
      </c>
      <c r="R215" s="1531">
        <f t="shared" ref="R215:Z215" si="133">SUM(R160,R167,R174,R182,R189,R196,R203,R210)</f>
        <v>188.6132290947628</v>
      </c>
      <c r="S215" s="1531">
        <f t="shared" si="133"/>
        <v>211.43553137692058</v>
      </c>
      <c r="T215" s="1531">
        <f t="shared" si="133"/>
        <v>216.55063307270822</v>
      </c>
      <c r="U215" s="1531">
        <f t="shared" si="133"/>
        <v>222.33387308527756</v>
      </c>
      <c r="V215" s="1531">
        <f t="shared" si="133"/>
        <v>228.23208263096086</v>
      </c>
      <c r="W215" s="1531">
        <f t="shared" si="133"/>
        <v>234.57693230621507</v>
      </c>
      <c r="X215" s="1531">
        <f t="shared" si="133"/>
        <v>241.50219927170494</v>
      </c>
      <c r="Y215" s="1531">
        <f t="shared" si="133"/>
        <v>247.50638218538592</v>
      </c>
      <c r="Z215" s="1531">
        <f t="shared" si="133"/>
        <v>253.76480401718493</v>
      </c>
      <c r="AA215" s="1531"/>
      <c r="AB215" s="1531"/>
      <c r="AC215" s="1531"/>
      <c r="AD215" s="1531"/>
      <c r="AE215" s="1531"/>
      <c r="AF215" s="1531"/>
      <c r="AG215" s="1531"/>
      <c r="AH215" s="1531"/>
      <c r="AI215" s="1531"/>
      <c r="AJ215" s="1531"/>
      <c r="AK215" s="1531"/>
      <c r="AL215" s="1531"/>
      <c r="AM215" s="1531"/>
      <c r="AN215" s="1531"/>
      <c r="AO215" s="1531"/>
      <c r="AP215" s="1531"/>
      <c r="AQ215" s="1531"/>
      <c r="AR215" s="1531"/>
      <c r="AS215" s="1531"/>
      <c r="AT215" s="1531"/>
      <c r="AU215" s="1531"/>
      <c r="AV215" s="1531"/>
      <c r="AW215" s="1531"/>
      <c r="AX215" s="1531"/>
      <c r="AY215" s="1531"/>
      <c r="AZ215" s="1531"/>
      <c r="BA215" s="1531"/>
      <c r="BB215" s="1387"/>
      <c r="BC215" s="1520"/>
      <c r="BD215" s="1520"/>
      <c r="BE215" s="1520"/>
    </row>
    <row r="216" spans="2:57" s="1406" customFormat="1" x14ac:dyDescent="0.3">
      <c r="B216" s="1475" t="s">
        <v>1542</v>
      </c>
      <c r="C216" s="1426"/>
      <c r="D216" s="1426"/>
      <c r="E216" s="1434"/>
      <c r="F216" s="1434"/>
      <c r="G216" s="1434"/>
      <c r="H216" s="122"/>
      <c r="I216" s="1440"/>
      <c r="J216" s="1441">
        <f>'BS Raw'!J64</f>
        <v>21.415993584999999</v>
      </c>
      <c r="K216" s="1441">
        <f>'BS Raw'!K64</f>
        <v>31.104990451999999</v>
      </c>
      <c r="L216" s="1441">
        <f>'BS Raw'!L64</f>
        <v>11.268113916000001</v>
      </c>
      <c r="M216" s="1441">
        <f>'BS Raw'!M64</f>
        <v>25.129864154</v>
      </c>
      <c r="N216" s="1441">
        <f>'BS Raw'!N64</f>
        <v>164.76199041800001</v>
      </c>
      <c r="O216" s="1441">
        <f>'BS Raw'!O64</f>
        <v>170.57785144900001</v>
      </c>
      <c r="P216" s="1574">
        <f>'BS Raw'!P64</f>
        <v>159.58735877699999</v>
      </c>
      <c r="Q216" s="1442">
        <f>SUM(Q164,Q171,Q179,Q186,Q193,Q200,Q207,Q214)</f>
        <v>188.6132290947628</v>
      </c>
      <c r="R216" s="1442">
        <f t="shared" ref="R216:Z216" si="134">SUM(R164,R171,R179,R186,R193,R200,R207,R214)</f>
        <v>211.43553137692058</v>
      </c>
      <c r="S216" s="1442">
        <f t="shared" si="134"/>
        <v>216.55063307270822</v>
      </c>
      <c r="T216" s="1442">
        <f t="shared" si="134"/>
        <v>222.33387308527756</v>
      </c>
      <c r="U216" s="1442">
        <f t="shared" si="134"/>
        <v>228.23208263096086</v>
      </c>
      <c r="V216" s="1442">
        <f t="shared" si="134"/>
        <v>234.57693230621507</v>
      </c>
      <c r="W216" s="1442">
        <f t="shared" si="134"/>
        <v>241.50219927170494</v>
      </c>
      <c r="X216" s="1442">
        <f t="shared" si="134"/>
        <v>247.50638218538592</v>
      </c>
      <c r="Y216" s="1442">
        <f t="shared" si="134"/>
        <v>253.76480401718493</v>
      </c>
      <c r="Z216" s="1442">
        <f t="shared" si="134"/>
        <v>260.30073227493688</v>
      </c>
      <c r="AA216" s="1442"/>
      <c r="AB216" s="1442"/>
      <c r="AC216" s="1442"/>
      <c r="AD216" s="1442"/>
      <c r="AE216" s="1442"/>
      <c r="AF216" s="1442"/>
      <c r="AG216" s="1442"/>
      <c r="AH216" s="1442"/>
      <c r="AI216" s="1442"/>
      <c r="AJ216" s="1442"/>
      <c r="AK216" s="1442"/>
      <c r="AL216" s="1442"/>
      <c r="AM216" s="1442"/>
      <c r="AN216" s="1442"/>
      <c r="AO216" s="1442"/>
      <c r="AP216" s="1442"/>
      <c r="AQ216" s="1442"/>
      <c r="AR216" s="1442"/>
      <c r="AS216" s="1442"/>
      <c r="AT216" s="1442"/>
      <c r="AU216" s="1442"/>
      <c r="AV216" s="1442"/>
      <c r="AW216" s="1442"/>
      <c r="AX216" s="1442"/>
      <c r="AY216" s="1442"/>
      <c r="AZ216" s="1442"/>
      <c r="BA216" s="1442"/>
      <c r="BB216" s="1387"/>
      <c r="BC216" s="1520"/>
      <c r="BD216" s="1520"/>
      <c r="BE216" s="1520"/>
    </row>
    <row r="217" spans="2:57" s="522" customFormat="1" x14ac:dyDescent="0.3">
      <c r="B217" s="1467" t="s">
        <v>1564</v>
      </c>
      <c r="C217" s="1426"/>
      <c r="D217" s="1426"/>
      <c r="E217" s="155"/>
      <c r="F217" s="155"/>
      <c r="G217" s="155"/>
      <c r="H217" s="155"/>
      <c r="I217" s="1532"/>
      <c r="J217" s="1532">
        <f>IF(ISTEXT(Notes!J11),J216-'BS Raw'!J60/$B$1-'BS Raw'!J64/$B$1,"Chưa có BCTC")</f>
        <v>0</v>
      </c>
      <c r="K217" s="1532">
        <f>IF(ISTEXT(Notes!K11),K216-'BS Raw'!K60/$B$1-'BS Raw'!K64/$B$1,"Chưa có BCTC")</f>
        <v>0</v>
      </c>
      <c r="L217" s="1532">
        <f>IF(ISTEXT(Notes!L11),L216-'BS Raw'!L60/$B$1-'BS Raw'!L64/$B$1,"Chưa có BCTC")</f>
        <v>0</v>
      </c>
      <c r="M217" s="1532">
        <f>IF(ISTEXT(Notes!M11),M216-'BS Raw'!M60/$B$1-'BS Raw'!M64/$B$1,"Chưa có BCTC")</f>
        <v>0</v>
      </c>
      <c r="N217" s="1532">
        <f>IF(ISTEXT(Notes!N11),N216-'BS Raw'!N60/$B$1-'BS Raw'!N64/$B$1,"Chưa có BCTC")</f>
        <v>0</v>
      </c>
      <c r="O217" s="1532">
        <f>IF(ISTEXT(Notes!O11),O216-'BS Raw'!O60/$B$1-'BS Raw'!O64/$B$1,"Chưa có BCTC")</f>
        <v>0</v>
      </c>
      <c r="P217" s="1584">
        <f>IF(ISTEXT(Notes!P11),P216-'BS Raw'!P60/$B$1-'BS Raw'!P64/$B$1,"Chưa có BCTC")</f>
        <v>0</v>
      </c>
      <c r="Q217" s="1532" t="str">
        <f>IF(ISTEXT(Notes!Q11),Q216-'BS Raw'!Q60/$B$1-'BS Raw'!Q64/$B$1,"Chưa có BCTC")</f>
        <v>Chưa có BCTC</v>
      </c>
      <c r="R217" s="1532" t="str">
        <f>IF(ISTEXT(Notes!R11),R216-'BS Raw'!R60/$B$1-'BS Raw'!R64/$B$1,"Chưa có BCTC")</f>
        <v>Chưa có BCTC</v>
      </c>
      <c r="S217" s="1532" t="str">
        <f>IF(ISTEXT(Notes!S11),S216-'BS Raw'!S60/$B$1-'BS Raw'!S64/$B$1,"Chưa có BCTC")</f>
        <v>Chưa có BCTC</v>
      </c>
      <c r="T217" s="1532" t="str">
        <f>IF(ISTEXT(Notes!T11),T216-'BS Raw'!T60/$B$1-'BS Raw'!T64/$B$1,"Chưa có BCTC")</f>
        <v>Chưa có BCTC</v>
      </c>
      <c r="U217" s="1532" t="str">
        <f>IF(ISTEXT(Notes!U11),U216-'BS Raw'!U60/$B$1-'BS Raw'!U64/$B$1,"Chưa có BCTC")</f>
        <v>Chưa có BCTC</v>
      </c>
      <c r="V217" s="1532" t="str">
        <f>IF(ISTEXT(Notes!V11),V216-'BS Raw'!V60/$B$1-'BS Raw'!V64/$B$1,"Chưa có BCTC")</f>
        <v>Chưa có BCTC</v>
      </c>
      <c r="W217" s="1532" t="str">
        <f>IF(ISTEXT(Notes!W11),W216-'BS Raw'!W60/$B$1-'BS Raw'!W64/$B$1,"Chưa có BCTC")</f>
        <v>Chưa có BCTC</v>
      </c>
      <c r="X217" s="1532" t="str">
        <f>IF(ISTEXT(Notes!X11),X216-'BS Raw'!X60/$B$1-'BS Raw'!X64/$B$1,"Chưa có BCTC")</f>
        <v>Chưa có BCTC</v>
      </c>
      <c r="Y217" s="1532" t="str">
        <f>IF(ISTEXT(Notes!Y11),Y216-'BS Raw'!Y60/$B$1-'BS Raw'!Y64/$B$1,"Chưa có BCTC")</f>
        <v>Chưa có BCTC</v>
      </c>
      <c r="Z217" s="1532" t="str">
        <f>IF(ISTEXT(Notes!Z11),Z216-'BS Raw'!Z60/$B$1-'BS Raw'!Z64/$B$1,"Chưa có BCTC")</f>
        <v>Chưa có BCTC</v>
      </c>
      <c r="AA217" s="1532"/>
      <c r="AB217" s="1532"/>
      <c r="AC217" s="1532"/>
      <c r="AD217" s="1532"/>
      <c r="AE217" s="1532"/>
      <c r="AF217" s="1532"/>
      <c r="AG217" s="1532"/>
      <c r="AH217" s="1532"/>
      <c r="AI217" s="1532"/>
      <c r="AJ217" s="1532"/>
      <c r="AK217" s="1532"/>
      <c r="AL217" s="1532"/>
      <c r="AM217" s="1532"/>
      <c r="AN217" s="1532"/>
      <c r="AO217" s="1532"/>
      <c r="AP217" s="1532"/>
      <c r="AQ217" s="1532"/>
      <c r="AR217" s="1532"/>
      <c r="AS217" s="1532"/>
      <c r="AT217" s="1532"/>
      <c r="AU217" s="1532"/>
      <c r="AV217" s="1532"/>
      <c r="AW217" s="1532"/>
      <c r="AX217" s="1532"/>
      <c r="AY217" s="1532"/>
      <c r="AZ217" s="1532"/>
      <c r="BA217" s="1532"/>
      <c r="BB217" s="1532"/>
      <c r="BC217" s="466"/>
      <c r="BD217" s="466"/>
      <c r="BE217" s="466"/>
    </row>
    <row r="218" spans="2:57" x14ac:dyDescent="0.3">
      <c r="E218" s="1513"/>
      <c r="F218" s="1513"/>
      <c r="G218" s="1513"/>
      <c r="H218" s="1513"/>
      <c r="I218" s="1513"/>
      <c r="J218" s="1513"/>
      <c r="K218" s="1513"/>
      <c r="L218" s="1513"/>
      <c r="M218" s="1513"/>
      <c r="N218" s="1513"/>
      <c r="O218" s="1513"/>
      <c r="P218" s="1514"/>
      <c r="Q218" s="1513"/>
      <c r="R218" s="1513"/>
      <c r="S218" s="1513"/>
      <c r="T218" s="1513"/>
      <c r="U218" s="1513"/>
      <c r="V218" s="1513"/>
      <c r="W218" s="1513"/>
      <c r="X218" s="1513"/>
      <c r="Y218" s="1513"/>
      <c r="Z218" s="1513"/>
      <c r="AA218" s="1513"/>
      <c r="AB218" s="1513"/>
      <c r="AC218" s="1513"/>
      <c r="AD218" s="1513"/>
      <c r="AE218" s="1513"/>
      <c r="AF218" s="1513"/>
      <c r="AG218" s="1513"/>
      <c r="AH218" s="1513"/>
      <c r="AI218" s="1513"/>
      <c r="AJ218" s="1513"/>
      <c r="AK218" s="1513"/>
      <c r="AL218" s="1513"/>
      <c r="AM218" s="1513"/>
      <c r="AN218" s="1513"/>
      <c r="AO218" s="1513"/>
      <c r="AP218" s="1513"/>
      <c r="AQ218" s="1513"/>
      <c r="AR218" s="1513"/>
      <c r="AS218" s="1513"/>
      <c r="AT218" s="1513"/>
      <c r="AU218" s="1513"/>
      <c r="AV218" s="1513"/>
      <c r="AW218" s="1513"/>
      <c r="AX218" s="1513"/>
      <c r="AY218" s="1513"/>
      <c r="AZ218" s="1513"/>
      <c r="BA218" s="1513"/>
    </row>
    <row r="219" spans="2:57" s="522" customFormat="1" ht="65.25" customHeight="1" x14ac:dyDescent="0.3">
      <c r="B219" s="1533" t="s">
        <v>1588</v>
      </c>
      <c r="C219" s="1533" t="s">
        <v>1589</v>
      </c>
      <c r="D219" s="1533" t="s">
        <v>1590</v>
      </c>
      <c r="E219" s="1534" t="s">
        <v>1591</v>
      </c>
      <c r="F219" s="1534" t="s">
        <v>1592</v>
      </c>
      <c r="G219" s="122"/>
      <c r="H219" s="1535"/>
      <c r="I219" s="1535"/>
      <c r="J219" s="1535"/>
      <c r="K219" s="122"/>
      <c r="L219" s="122"/>
      <c r="M219" s="122"/>
      <c r="N219" s="122"/>
      <c r="O219" s="122"/>
      <c r="P219" s="1487"/>
      <c r="Q219" s="122"/>
      <c r="R219" s="122"/>
      <c r="S219" s="122"/>
      <c r="T219" s="122"/>
      <c r="U219" s="122"/>
      <c r="V219" s="122"/>
      <c r="W219" s="122"/>
      <c r="X219" s="122"/>
      <c r="Y219" s="122"/>
      <c r="Z219" s="122"/>
      <c r="AA219" s="122"/>
      <c r="AB219" s="122"/>
      <c r="AC219" s="122"/>
      <c r="AD219" s="122"/>
      <c r="AE219" s="122"/>
      <c r="AF219" s="122"/>
      <c r="AG219" s="122"/>
      <c r="AH219" s="122"/>
      <c r="AI219" s="122"/>
      <c r="AJ219" s="122"/>
      <c r="AK219" s="122"/>
      <c r="AL219" s="122"/>
      <c r="AM219" s="122"/>
      <c r="AN219" s="122"/>
      <c r="AO219" s="122"/>
      <c r="AP219" s="122"/>
      <c r="AQ219" s="122"/>
      <c r="AR219" s="122"/>
      <c r="AS219" s="122"/>
      <c r="AT219" s="122"/>
      <c r="AU219" s="122"/>
      <c r="AV219" s="122"/>
      <c r="AW219" s="122"/>
      <c r="AX219" s="122"/>
      <c r="AY219" s="122"/>
      <c r="AZ219" s="122"/>
      <c r="BA219" s="122"/>
      <c r="BB219" s="1387"/>
      <c r="BC219" s="466"/>
      <c r="BD219" s="466"/>
      <c r="BE219" s="466"/>
    </row>
    <row r="220" spans="2:57" s="522" customFormat="1" x14ac:dyDescent="0.3">
      <c r="B220" s="1536" t="s">
        <v>1593</v>
      </c>
      <c r="C220" s="1537">
        <v>3</v>
      </c>
      <c r="D220" s="1538">
        <v>40</v>
      </c>
      <c r="E220" s="1539">
        <f>IFERROR((AVERAGE(P23,P28)-P29)/P37,0)</f>
        <v>9.5064557224555362</v>
      </c>
      <c r="F220" s="1540">
        <f t="shared" ref="F220:F223" si="135">IF(AND(E220&lt;D220,E220&gt;C220),ROUND(E220,0), IF(E220&gt;D220, D220,C220))</f>
        <v>10</v>
      </c>
      <c r="G220" s="122"/>
      <c r="H220" s="1516"/>
      <c r="I220" s="1516"/>
      <c r="J220" s="1516"/>
      <c r="K220" s="122"/>
      <c r="L220" s="122"/>
      <c r="M220" s="122"/>
      <c r="N220" s="122"/>
      <c r="O220" s="122"/>
      <c r="P220" s="1487"/>
      <c r="Q220" s="122"/>
      <c r="R220" s="122"/>
      <c r="S220" s="122"/>
      <c r="T220" s="122"/>
      <c r="U220" s="122"/>
      <c r="V220" s="122"/>
      <c r="W220" s="122"/>
      <c r="X220" s="122"/>
      <c r="Y220" s="122"/>
      <c r="Z220" s="122"/>
      <c r="AA220" s="122"/>
      <c r="AB220" s="122"/>
      <c r="AC220" s="122"/>
      <c r="AD220" s="122"/>
      <c r="AE220" s="122"/>
      <c r="AF220" s="122"/>
      <c r="AG220" s="122"/>
      <c r="AH220" s="122"/>
      <c r="AI220" s="122"/>
      <c r="AJ220" s="122"/>
      <c r="AK220" s="122"/>
      <c r="AL220" s="122"/>
      <c r="AM220" s="122"/>
      <c r="AN220" s="122"/>
      <c r="AO220" s="122"/>
      <c r="AP220" s="122"/>
      <c r="AQ220" s="122"/>
      <c r="AR220" s="122"/>
      <c r="AS220" s="122"/>
      <c r="AT220" s="122"/>
      <c r="AU220" s="122"/>
      <c r="AV220" s="122"/>
      <c r="AW220" s="122"/>
      <c r="AX220" s="122"/>
      <c r="AY220" s="122"/>
      <c r="AZ220" s="122"/>
      <c r="BA220" s="122"/>
      <c r="BB220" s="1387"/>
      <c r="BC220" s="466"/>
      <c r="BD220" s="466"/>
      <c r="BE220" s="466"/>
    </row>
    <row r="221" spans="2:57" s="522" customFormat="1" x14ac:dyDescent="0.3">
      <c r="B221" s="1536" t="s">
        <v>1594</v>
      </c>
      <c r="C221" s="1541">
        <v>3</v>
      </c>
      <c r="D221" s="1542">
        <v>15</v>
      </c>
      <c r="E221" s="1539">
        <f>IFERROR((AVERAGE(P58,P63)-P64)/P71,0)</f>
        <v>0</v>
      </c>
      <c r="F221" s="1540">
        <f t="shared" si="135"/>
        <v>3</v>
      </c>
      <c r="G221" s="122"/>
      <c r="H221" s="1516"/>
      <c r="I221" s="1516"/>
      <c r="J221" s="1516"/>
      <c r="K221" s="122"/>
      <c r="L221" s="122"/>
      <c r="M221" s="122"/>
      <c r="N221" s="122"/>
      <c r="O221" s="122"/>
      <c r="P221" s="1487"/>
      <c r="Q221" s="122"/>
      <c r="R221" s="122"/>
      <c r="S221" s="122"/>
      <c r="T221" s="122"/>
      <c r="U221" s="122"/>
      <c r="V221" s="122"/>
      <c r="W221" s="122"/>
      <c r="X221" s="122"/>
      <c r="Y221" s="122"/>
      <c r="Z221" s="122"/>
      <c r="AA221" s="122"/>
      <c r="AB221" s="122"/>
      <c r="AC221" s="122"/>
      <c r="AD221" s="122"/>
      <c r="AE221" s="122"/>
      <c r="AF221" s="122"/>
      <c r="AG221" s="122"/>
      <c r="AH221" s="122"/>
      <c r="AI221" s="122"/>
      <c r="AJ221" s="122"/>
      <c r="AK221" s="122"/>
      <c r="AL221" s="122"/>
      <c r="AM221" s="122"/>
      <c r="AN221" s="122"/>
      <c r="AO221" s="122"/>
      <c r="AP221" s="122"/>
      <c r="AQ221" s="122"/>
      <c r="AR221" s="122"/>
      <c r="AS221" s="122"/>
      <c r="AT221" s="122"/>
      <c r="AU221" s="122"/>
      <c r="AV221" s="122"/>
      <c r="AW221" s="122"/>
      <c r="AX221" s="122"/>
      <c r="AY221" s="122"/>
      <c r="AZ221" s="122"/>
      <c r="BA221" s="122"/>
      <c r="BB221" s="1387"/>
      <c r="BC221" s="466"/>
      <c r="BD221" s="466"/>
      <c r="BE221" s="466"/>
    </row>
    <row r="222" spans="2:57" s="522" customFormat="1" x14ac:dyDescent="0.3">
      <c r="B222" s="1536" t="s">
        <v>1595</v>
      </c>
      <c r="C222" s="1541">
        <v>3</v>
      </c>
      <c r="D222" s="1542">
        <v>50</v>
      </c>
      <c r="E222" s="1539">
        <f>IFERROR((AVERAGE(P91,P96)-P97)/P104,0)</f>
        <v>31.593778416384257</v>
      </c>
      <c r="F222" s="1540">
        <f t="shared" si="135"/>
        <v>32</v>
      </c>
      <c r="G222" s="122"/>
      <c r="H222" s="1516"/>
      <c r="I222" s="1516"/>
      <c r="J222" s="1516"/>
      <c r="K222" s="122"/>
      <c r="L222" s="122"/>
      <c r="M222" s="122"/>
      <c r="N222" s="122"/>
      <c r="O222" s="122"/>
      <c r="P222" s="1487"/>
      <c r="Q222" s="122"/>
      <c r="R222" s="122"/>
      <c r="S222" s="122"/>
      <c r="T222" s="122"/>
      <c r="U222" s="122"/>
      <c r="V222" s="122"/>
      <c r="W222" s="122"/>
      <c r="X222" s="122"/>
      <c r="Y222" s="122"/>
      <c r="Z222" s="122"/>
      <c r="AA222" s="122"/>
      <c r="AB222" s="122"/>
      <c r="AC222" s="122"/>
      <c r="AD222" s="122"/>
      <c r="AE222" s="122"/>
      <c r="AF222" s="122"/>
      <c r="AG222" s="122"/>
      <c r="AH222" s="122"/>
      <c r="AI222" s="122"/>
      <c r="AJ222" s="122"/>
      <c r="AK222" s="122"/>
      <c r="AL222" s="122"/>
      <c r="AM222" s="122"/>
      <c r="AN222" s="122"/>
      <c r="AO222" s="122"/>
      <c r="AP222" s="122"/>
      <c r="AQ222" s="122"/>
      <c r="AR222" s="122"/>
      <c r="AS222" s="122"/>
      <c r="AT222" s="122"/>
      <c r="AU222" s="122"/>
      <c r="AV222" s="122"/>
      <c r="AW222" s="122"/>
      <c r="AX222" s="122"/>
      <c r="AY222" s="122"/>
      <c r="AZ222" s="122"/>
      <c r="BA222" s="122"/>
      <c r="BB222" s="1387"/>
      <c r="BC222" s="466"/>
      <c r="BD222" s="466"/>
      <c r="BE222" s="466"/>
    </row>
    <row r="223" spans="2:57" s="522" customFormat="1" x14ac:dyDescent="0.3">
      <c r="B223" s="1536" t="s">
        <v>1596</v>
      </c>
      <c r="C223" s="1541">
        <v>3</v>
      </c>
      <c r="D223" s="1542">
        <v>15</v>
      </c>
      <c r="E223" s="1539">
        <f>IFERROR((AVERAGE(P125+P130)-P131)/P138,0)</f>
        <v>0</v>
      </c>
      <c r="F223" s="1540">
        <f t="shared" si="135"/>
        <v>3</v>
      </c>
      <c r="G223" s="122"/>
      <c r="H223" s="1516"/>
      <c r="I223" s="1516"/>
      <c r="J223" s="1516"/>
      <c r="K223" s="122"/>
      <c r="L223" s="122"/>
      <c r="M223" s="122"/>
      <c r="N223" s="122"/>
      <c r="O223" s="122"/>
      <c r="P223" s="1487"/>
      <c r="Q223" s="122"/>
      <c r="R223" s="122"/>
      <c r="S223" s="122"/>
      <c r="T223" s="122"/>
      <c r="U223" s="122"/>
      <c r="V223" s="122"/>
      <c r="W223" s="122"/>
      <c r="X223" s="122"/>
      <c r="Y223" s="122"/>
      <c r="Z223" s="122"/>
      <c r="AA223" s="122"/>
      <c r="AB223" s="122"/>
      <c r="AC223" s="122"/>
      <c r="AD223" s="122"/>
      <c r="AE223" s="122"/>
      <c r="AF223" s="122"/>
      <c r="AG223" s="122"/>
      <c r="AH223" s="122"/>
      <c r="AI223" s="122"/>
      <c r="AJ223" s="122"/>
      <c r="AK223" s="122"/>
      <c r="AL223" s="122"/>
      <c r="AM223" s="122"/>
      <c r="AN223" s="122"/>
      <c r="AO223" s="122"/>
      <c r="AP223" s="122"/>
      <c r="AQ223" s="122"/>
      <c r="AR223" s="122"/>
      <c r="AS223" s="122"/>
      <c r="AT223" s="122"/>
      <c r="AU223" s="122"/>
      <c r="AV223" s="122"/>
      <c r="AW223" s="122"/>
      <c r="AX223" s="122"/>
      <c r="AY223" s="122"/>
      <c r="AZ223" s="122"/>
      <c r="BA223" s="122"/>
      <c r="BB223" s="1387"/>
      <c r="BC223" s="466"/>
      <c r="BD223" s="466"/>
      <c r="BE223" s="466"/>
    </row>
    <row r="224" spans="2:57" s="522" customFormat="1" x14ac:dyDescent="0.3">
      <c r="B224" s="1438"/>
      <c r="C224" s="1543"/>
      <c r="D224" s="1543"/>
      <c r="E224" s="1516"/>
      <c r="F224" s="1516"/>
      <c r="G224" s="1516"/>
      <c r="H224" s="1516"/>
      <c r="I224" s="1516"/>
      <c r="J224" s="1516"/>
      <c r="K224" s="122"/>
      <c r="L224" s="122"/>
      <c r="M224" s="122"/>
      <c r="N224" s="122"/>
      <c r="O224" s="122"/>
      <c r="P224" s="1487"/>
      <c r="Q224" s="122"/>
      <c r="R224" s="122"/>
      <c r="S224" s="122"/>
      <c r="T224" s="122"/>
      <c r="U224" s="122"/>
      <c r="V224" s="122"/>
      <c r="W224" s="122"/>
      <c r="X224" s="122"/>
      <c r="Y224" s="122"/>
      <c r="Z224" s="122"/>
      <c r="AA224" s="122"/>
      <c r="AB224" s="122"/>
      <c r="AC224" s="122"/>
      <c r="AD224" s="122"/>
      <c r="AE224" s="122"/>
      <c r="AF224" s="122"/>
      <c r="AG224" s="122"/>
      <c r="AH224" s="122"/>
      <c r="AI224" s="122"/>
      <c r="AJ224" s="122"/>
      <c r="AK224" s="122"/>
      <c r="AL224" s="122"/>
      <c r="AM224" s="122"/>
      <c r="AN224" s="122"/>
      <c r="AO224" s="122"/>
      <c r="AP224" s="122"/>
      <c r="AQ224" s="122"/>
      <c r="AR224" s="122"/>
      <c r="AS224" s="122"/>
      <c r="AT224" s="122"/>
      <c r="AU224" s="122"/>
      <c r="AV224" s="122"/>
      <c r="AW224" s="122"/>
      <c r="AX224" s="122"/>
      <c r="AY224" s="122"/>
      <c r="AZ224" s="122"/>
      <c r="BA224" s="122"/>
      <c r="BB224" s="1387"/>
      <c r="BC224" s="466"/>
      <c r="BD224" s="466"/>
      <c r="BE224" s="466"/>
    </row>
    <row r="225" spans="2:57" s="522" customFormat="1" x14ac:dyDescent="0.3">
      <c r="E225" s="122"/>
      <c r="F225" s="122"/>
      <c r="G225" s="122"/>
      <c r="H225" s="122"/>
      <c r="I225" s="122"/>
      <c r="J225" s="122"/>
      <c r="K225" s="122"/>
      <c r="L225" s="122"/>
      <c r="M225" s="122"/>
      <c r="N225" s="122"/>
      <c r="O225" s="122"/>
      <c r="P225" s="1487"/>
      <c r="Q225" s="122"/>
      <c r="R225" s="122"/>
      <c r="S225" s="122"/>
      <c r="T225" s="122"/>
      <c r="U225" s="122"/>
      <c r="V225" s="122"/>
      <c r="W225" s="122"/>
      <c r="X225" s="122"/>
      <c r="Y225" s="122"/>
      <c r="Z225" s="122"/>
      <c r="AA225" s="122"/>
      <c r="AB225" s="122"/>
      <c r="AC225" s="122"/>
      <c r="AD225" s="122"/>
      <c r="AE225" s="122"/>
      <c r="AF225" s="122"/>
      <c r="AG225" s="122"/>
      <c r="AH225" s="122"/>
      <c r="AI225" s="122"/>
      <c r="AJ225" s="122"/>
      <c r="AK225" s="122"/>
      <c r="AL225" s="122"/>
      <c r="AM225" s="122"/>
      <c r="AN225" s="122"/>
      <c r="AO225" s="122"/>
      <c r="AP225" s="122"/>
      <c r="AQ225" s="122"/>
      <c r="AR225" s="122"/>
      <c r="AS225" s="122"/>
      <c r="AT225" s="122"/>
      <c r="AU225" s="122"/>
      <c r="AV225" s="122"/>
      <c r="AW225" s="122"/>
      <c r="AX225" s="122"/>
      <c r="AY225" s="122"/>
      <c r="AZ225" s="122"/>
      <c r="BA225" s="122"/>
      <c r="BB225" s="1387"/>
      <c r="BC225" s="466"/>
      <c r="BD225" s="466"/>
      <c r="BE225" s="466"/>
    </row>
    <row r="226" spans="2:57" x14ac:dyDescent="0.3">
      <c r="M226" s="1360"/>
      <c r="P226" s="1544"/>
    </row>
    <row r="227" spans="2:57" x14ac:dyDescent="0.3">
      <c r="B227" s="1419" t="s">
        <v>1597</v>
      </c>
      <c r="C227" s="1419"/>
      <c r="D227" s="1419"/>
      <c r="E227" s="1420"/>
      <c r="F227" s="1420"/>
      <c r="G227" s="1420"/>
      <c r="H227" s="1421"/>
      <c r="I227" s="1421"/>
      <c r="J227" s="1421"/>
      <c r="K227" s="1421"/>
      <c r="L227" s="1421"/>
      <c r="M227" s="1421"/>
      <c r="N227" s="1421"/>
      <c r="O227" s="1421"/>
      <c r="P227" s="1545"/>
      <c r="Q227" s="1422"/>
      <c r="R227" s="1422"/>
      <c r="S227" s="1422"/>
      <c r="T227" s="1422"/>
      <c r="U227" s="1422"/>
      <c r="V227" s="1422"/>
      <c r="W227" s="1422"/>
      <c r="X227" s="1422"/>
      <c r="Y227" s="1422"/>
      <c r="Z227" s="1422"/>
      <c r="AA227" s="1422"/>
      <c r="AB227" s="1422"/>
      <c r="AC227" s="1422"/>
      <c r="AD227" s="1422"/>
      <c r="AE227" s="1422"/>
      <c r="AF227" s="1422"/>
      <c r="AG227" s="1422"/>
      <c r="AH227" s="1422"/>
      <c r="AI227" s="1422"/>
      <c r="AJ227" s="1422"/>
      <c r="AK227" s="1422"/>
      <c r="AL227" s="1422"/>
      <c r="AM227" s="1422"/>
      <c r="AN227" s="1422"/>
      <c r="AO227" s="1422"/>
      <c r="AP227" s="1422"/>
      <c r="AQ227" s="1422"/>
      <c r="AR227" s="1422"/>
      <c r="AS227" s="1422"/>
      <c r="AT227" s="1422"/>
      <c r="AU227" s="1422"/>
      <c r="AV227" s="1422"/>
      <c r="AW227" s="1422"/>
      <c r="AX227" s="1422"/>
      <c r="AY227" s="1422"/>
      <c r="AZ227" s="1422"/>
      <c r="BA227" s="1422"/>
    </row>
    <row r="228" spans="2:57" x14ac:dyDescent="0.3">
      <c r="M228" s="1360"/>
      <c r="P228" s="1544"/>
    </row>
    <row r="229" spans="2:57" x14ac:dyDescent="0.3">
      <c r="B229" s="1430" t="s">
        <v>1552</v>
      </c>
      <c r="M229" s="1546"/>
      <c r="N229" s="1546"/>
      <c r="O229" s="1546"/>
      <c r="P229" s="1585" t="s">
        <v>1592</v>
      </c>
      <c r="Q229" s="1547">
        <f>F220</f>
        <v>10</v>
      </c>
      <c r="R229" s="1547">
        <f>Q229</f>
        <v>10</v>
      </c>
      <c r="S229" s="1547">
        <f t="shared" ref="S229:Z229" si="136">R229</f>
        <v>10</v>
      </c>
      <c r="T229" s="1547">
        <f t="shared" si="136"/>
        <v>10</v>
      </c>
      <c r="U229" s="1547">
        <f t="shared" si="136"/>
        <v>10</v>
      </c>
      <c r="V229" s="1547">
        <f t="shared" si="136"/>
        <v>10</v>
      </c>
      <c r="W229" s="1547">
        <f t="shared" si="136"/>
        <v>10</v>
      </c>
      <c r="X229" s="1547">
        <f t="shared" si="136"/>
        <v>10</v>
      </c>
      <c r="Y229" s="1547">
        <f t="shared" si="136"/>
        <v>10</v>
      </c>
      <c r="Z229" s="1547">
        <f t="shared" si="136"/>
        <v>10</v>
      </c>
      <c r="AA229" s="1547"/>
      <c r="AB229" s="1547"/>
      <c r="AC229" s="1547"/>
      <c r="AD229" s="1547"/>
      <c r="AE229" s="1547"/>
      <c r="AF229" s="1547"/>
      <c r="AG229" s="1547"/>
      <c r="AH229" s="1547"/>
      <c r="AI229" s="1547"/>
      <c r="AJ229" s="1547"/>
      <c r="AK229" s="1547"/>
      <c r="AL229" s="1547"/>
      <c r="AM229" s="1547"/>
      <c r="AN229" s="1547"/>
      <c r="AO229" s="1547"/>
      <c r="AP229" s="1547"/>
      <c r="AQ229" s="1547"/>
      <c r="AR229" s="1547"/>
      <c r="AS229" s="1547"/>
      <c r="AT229" s="1547"/>
      <c r="AU229" s="1547"/>
      <c r="AV229" s="1547"/>
      <c r="AW229" s="1547"/>
      <c r="AX229" s="1547"/>
      <c r="AY229" s="1547"/>
      <c r="AZ229" s="1547"/>
      <c r="BA229" s="1547"/>
    </row>
    <row r="230" spans="2:57" ht="14.4" x14ac:dyDescent="0.3">
      <c r="B230" s="1548" t="str">
        <f>"TS cũ cuối năm "&amp;YEAR($P$3)</f>
        <v>TS cũ cuối năm 2021</v>
      </c>
      <c r="M230" s="1549"/>
      <c r="N230" s="1549"/>
      <c r="O230" s="1549"/>
      <c r="P230" s="1550">
        <f>P37</f>
        <v>58.894680766</v>
      </c>
      <c r="Q230" s="1551">
        <f>MIN(P230,P43)</f>
        <v>58.894680766</v>
      </c>
      <c r="R230" s="1551">
        <f>MIN(Q230,Q43)</f>
        <v>58.894680766</v>
      </c>
      <c r="S230" s="1551">
        <f>MIN(R230,R43)</f>
        <v>58.894680766</v>
      </c>
      <c r="T230" s="1551">
        <f>MIN(S230,S43)</f>
        <v>9.9888451809998955</v>
      </c>
      <c r="U230" s="1551">
        <f>MIN(T230,T43)</f>
        <v>0</v>
      </c>
      <c r="V230" s="1551">
        <f t="shared" ref="V230:Z230" si="137">MIN(U230,U43)</f>
        <v>0</v>
      </c>
      <c r="W230" s="1551">
        <f t="shared" si="137"/>
        <v>0</v>
      </c>
      <c r="X230" s="1551">
        <f t="shared" si="137"/>
        <v>0</v>
      </c>
      <c r="Y230" s="1551">
        <f t="shared" si="137"/>
        <v>0</v>
      </c>
      <c r="Z230" s="1551">
        <f t="shared" si="137"/>
        <v>0</v>
      </c>
      <c r="AA230" s="1551"/>
      <c r="AB230" s="1551"/>
      <c r="AC230" s="1551"/>
      <c r="AD230" s="1551"/>
      <c r="AE230" s="1551"/>
      <c r="AF230" s="1551"/>
      <c r="AG230" s="1552"/>
      <c r="AH230" s="1552"/>
      <c r="AI230" s="1552"/>
      <c r="AJ230" s="1552"/>
      <c r="AK230" s="1552"/>
      <c r="AL230" s="1552"/>
      <c r="AM230" s="1552"/>
      <c r="AN230" s="1552"/>
      <c r="AO230" s="1552"/>
      <c r="AP230" s="1552"/>
      <c r="AQ230" s="1552"/>
      <c r="AR230" s="1552"/>
      <c r="AS230" s="1552"/>
      <c r="AT230" s="1552"/>
      <c r="AU230" s="1552"/>
      <c r="AV230" s="1552"/>
      <c r="AW230" s="1552"/>
      <c r="AX230" s="1552"/>
      <c r="AY230" s="1552"/>
      <c r="AZ230" s="1552"/>
      <c r="BA230" s="1552"/>
    </row>
    <row r="231" spans="2:57" ht="14.4" x14ac:dyDescent="0.3">
      <c r="B231" s="1548" t="str">
        <f>"TS mới tăng thêm năm "&amp;YEAR($P$3)+1</f>
        <v>TS mới tăng thêm năm 2022</v>
      </c>
      <c r="M231" s="1549"/>
      <c r="N231" s="1549"/>
      <c r="O231" s="1549"/>
      <c r="P231" s="1550"/>
      <c r="Q231" s="1551">
        <f>(Q26+Q27)/Q229</f>
        <v>39.794205948665763</v>
      </c>
      <c r="R231" s="1551">
        <f t="shared" ref="R231:Z231" si="138">MIN(Q231,Q44)</f>
        <v>39.794205948665763</v>
      </c>
      <c r="S231" s="1551">
        <f t="shared" si="138"/>
        <v>39.794205948665763</v>
      </c>
      <c r="T231" s="1551">
        <f t="shared" si="138"/>
        <v>39.794205948665763</v>
      </c>
      <c r="U231" s="1551">
        <f t="shared" si="138"/>
        <v>39.794205948665763</v>
      </c>
      <c r="V231" s="1551">
        <f t="shared" si="138"/>
        <v>39.794205948665763</v>
      </c>
      <c r="W231" s="1551">
        <f t="shared" si="138"/>
        <v>39.794205948665763</v>
      </c>
      <c r="X231" s="1551">
        <f t="shared" si="138"/>
        <v>39.794205948665763</v>
      </c>
      <c r="Y231" s="1551">
        <f t="shared" si="138"/>
        <v>39.794205948665763</v>
      </c>
      <c r="Z231" s="1551">
        <f t="shared" si="138"/>
        <v>39.794205948665763</v>
      </c>
      <c r="AA231" s="1551"/>
      <c r="AB231" s="1551"/>
      <c r="AC231" s="1551"/>
      <c r="AD231" s="1551"/>
      <c r="AE231" s="1551"/>
      <c r="AF231" s="1551"/>
      <c r="AG231" s="1552"/>
      <c r="AH231" s="1552"/>
      <c r="AI231" s="1552"/>
      <c r="AJ231" s="1552"/>
      <c r="AK231" s="1552"/>
      <c r="AL231" s="1552"/>
      <c r="AM231" s="1552"/>
      <c r="AN231" s="1552"/>
      <c r="AO231" s="1552"/>
      <c r="AP231" s="1552"/>
      <c r="AQ231" s="1552"/>
      <c r="AR231" s="1552"/>
      <c r="AS231" s="1552"/>
      <c r="AT231" s="1552"/>
      <c r="AU231" s="1552"/>
      <c r="AV231" s="1552"/>
      <c r="AW231" s="1552"/>
      <c r="AX231" s="1552"/>
      <c r="AY231" s="1552"/>
      <c r="AZ231" s="1552"/>
      <c r="BA231" s="1552"/>
    </row>
    <row r="232" spans="2:57" ht="14.4" x14ac:dyDescent="0.3">
      <c r="B232" s="1548" t="str">
        <f>"TS mới tăng thêm năm "&amp;YEAR($P$3)+2</f>
        <v>TS mới tăng thêm năm 2023</v>
      </c>
      <c r="M232" s="1549"/>
      <c r="N232" s="1549"/>
      <c r="O232" s="1549"/>
      <c r="P232" s="1550"/>
      <c r="Q232" s="1551"/>
      <c r="R232" s="1551">
        <f>(R26+R27)/R229</f>
        <v>31.289170222851435</v>
      </c>
      <c r="S232" s="1551">
        <f t="shared" ref="S232:Z232" si="139">MIN(R232,R45)</f>
        <v>31.289170222851435</v>
      </c>
      <c r="T232" s="1551">
        <f t="shared" si="139"/>
        <v>31.289170222851435</v>
      </c>
      <c r="U232" s="1551">
        <f t="shared" si="139"/>
        <v>31.289170222851435</v>
      </c>
      <c r="V232" s="1551">
        <f t="shared" si="139"/>
        <v>31.289170222851435</v>
      </c>
      <c r="W232" s="1551">
        <f t="shared" si="139"/>
        <v>31.289170222851435</v>
      </c>
      <c r="X232" s="1551">
        <f t="shared" si="139"/>
        <v>31.289170222851435</v>
      </c>
      <c r="Y232" s="1551">
        <f t="shared" si="139"/>
        <v>31.289170222851435</v>
      </c>
      <c r="Z232" s="1551">
        <f t="shared" si="139"/>
        <v>31.289170222851435</v>
      </c>
      <c r="AA232" s="1551"/>
      <c r="AB232" s="1551"/>
      <c r="AC232" s="1551"/>
      <c r="AD232" s="1551"/>
      <c r="AE232" s="1551"/>
      <c r="AF232" s="1551"/>
      <c r="AG232" s="1552"/>
      <c r="AH232" s="1552"/>
      <c r="AI232" s="1552"/>
      <c r="AJ232" s="1552"/>
      <c r="AK232" s="1552"/>
      <c r="AL232" s="1552"/>
      <c r="AM232" s="1552"/>
      <c r="AN232" s="1552"/>
      <c r="AO232" s="1552"/>
      <c r="AP232" s="1552"/>
      <c r="AQ232" s="1552"/>
      <c r="AR232" s="1552"/>
      <c r="AS232" s="1552"/>
      <c r="AT232" s="1552"/>
      <c r="AU232" s="1552"/>
      <c r="AV232" s="1552"/>
      <c r="AW232" s="1552"/>
      <c r="AX232" s="1552"/>
      <c r="AY232" s="1552"/>
      <c r="AZ232" s="1552"/>
      <c r="BA232" s="1552"/>
    </row>
    <row r="233" spans="2:57" ht="14.4" x14ac:dyDescent="0.3">
      <c r="B233" s="1548" t="str">
        <f>"TS mới tăng thêm năm "&amp;YEAR($P$3)+3</f>
        <v>TS mới tăng thêm năm 2024</v>
      </c>
      <c r="M233" s="1549"/>
      <c r="N233" s="1549"/>
      <c r="O233" s="1549"/>
      <c r="P233" s="1550"/>
      <c r="Q233" s="1551"/>
      <c r="R233" s="1551"/>
      <c r="S233" s="1551">
        <f>(S26+S27)/S229</f>
        <v>7.0127582085273987</v>
      </c>
      <c r="T233" s="1551">
        <f t="shared" ref="T233:Z233" si="140">MIN(S233,S46)</f>
        <v>7.0127582085273987</v>
      </c>
      <c r="U233" s="1551">
        <f t="shared" si="140"/>
        <v>7.0127582085273987</v>
      </c>
      <c r="V233" s="1551">
        <f t="shared" si="140"/>
        <v>7.0127582085273987</v>
      </c>
      <c r="W233" s="1551">
        <f t="shared" si="140"/>
        <v>7.0127582085273987</v>
      </c>
      <c r="X233" s="1551">
        <f t="shared" si="140"/>
        <v>7.0127582085273987</v>
      </c>
      <c r="Y233" s="1551">
        <f t="shared" si="140"/>
        <v>7.0127582085273987</v>
      </c>
      <c r="Z233" s="1551">
        <f t="shared" si="140"/>
        <v>7.0127582085273987</v>
      </c>
      <c r="AA233" s="1551"/>
      <c r="AB233" s="1551"/>
      <c r="AC233" s="1551"/>
      <c r="AD233" s="1551"/>
      <c r="AE233" s="1551"/>
      <c r="AF233" s="1551"/>
      <c r="AG233" s="1552"/>
      <c r="AH233" s="1552"/>
      <c r="AI233" s="1552"/>
      <c r="AJ233" s="1552"/>
      <c r="AK233" s="1552"/>
      <c r="AL233" s="1552"/>
      <c r="AM233" s="1552"/>
      <c r="AN233" s="1552"/>
      <c r="AO233" s="1552"/>
      <c r="AP233" s="1552"/>
      <c r="AQ233" s="1552"/>
      <c r="AR233" s="1552"/>
      <c r="AS233" s="1552"/>
      <c r="AT233" s="1552"/>
      <c r="AU233" s="1552"/>
      <c r="AV233" s="1552"/>
      <c r="AW233" s="1552"/>
      <c r="AX233" s="1552"/>
      <c r="AY233" s="1552"/>
      <c r="AZ233" s="1552"/>
      <c r="BA233" s="1552"/>
    </row>
    <row r="234" spans="2:57" ht="14.4" x14ac:dyDescent="0.3">
      <c r="B234" s="1548" t="str">
        <f>"TS mới tăng thêm năm "&amp;YEAR($P$3)+4</f>
        <v>TS mới tăng thêm năm 2025</v>
      </c>
      <c r="M234" s="1549"/>
      <c r="N234" s="1549"/>
      <c r="O234" s="1549"/>
      <c r="P234" s="1550"/>
      <c r="Q234" s="1551"/>
      <c r="R234" s="1551"/>
      <c r="S234" s="1551"/>
      <c r="T234" s="1551">
        <f>(T26+T27)/T229</f>
        <v>7.9287698040155474</v>
      </c>
      <c r="U234" s="1551">
        <f t="shared" ref="U234:Z234" si="141">MIN(T234,T47)</f>
        <v>7.9287698040155474</v>
      </c>
      <c r="V234" s="1551">
        <f t="shared" si="141"/>
        <v>7.9287698040155474</v>
      </c>
      <c r="W234" s="1551">
        <f t="shared" si="141"/>
        <v>7.9287698040155474</v>
      </c>
      <c r="X234" s="1551">
        <f t="shared" si="141"/>
        <v>7.9287698040155474</v>
      </c>
      <c r="Y234" s="1551">
        <f t="shared" si="141"/>
        <v>7.9287698040155474</v>
      </c>
      <c r="Z234" s="1551">
        <f t="shared" si="141"/>
        <v>7.9287698040155474</v>
      </c>
      <c r="AA234" s="1551"/>
      <c r="AB234" s="1551"/>
      <c r="AC234" s="1551"/>
      <c r="AD234" s="1551"/>
      <c r="AE234" s="1551"/>
      <c r="AF234" s="1551"/>
      <c r="AG234" s="1551"/>
      <c r="AH234" s="1551"/>
      <c r="AI234" s="1551"/>
      <c r="AJ234" s="1551"/>
      <c r="AK234" s="1552"/>
      <c r="AL234" s="1552"/>
      <c r="AM234" s="1552"/>
      <c r="AN234" s="1552"/>
      <c r="AO234" s="1552"/>
      <c r="AP234" s="1552"/>
      <c r="AQ234" s="1552"/>
      <c r="AR234" s="1552"/>
      <c r="AS234" s="1552"/>
      <c r="AT234" s="1552"/>
      <c r="AU234" s="1552"/>
      <c r="AV234" s="1552"/>
      <c r="AW234" s="1552"/>
      <c r="AX234" s="1552"/>
      <c r="AY234" s="1552"/>
      <c r="AZ234" s="1552"/>
      <c r="BA234" s="1552"/>
    </row>
    <row r="235" spans="2:57" ht="14.4" x14ac:dyDescent="0.3">
      <c r="B235" s="1548" t="str">
        <f>"TS mới tăng thêm năm "&amp;YEAR($P$3)+5</f>
        <v>TS mới tăng thêm năm 2026</v>
      </c>
      <c r="M235" s="1549"/>
      <c r="N235" s="1549"/>
      <c r="O235" s="1549"/>
      <c r="P235" s="1550"/>
      <c r="Q235" s="1551"/>
      <c r="R235" s="1551"/>
      <c r="S235" s="1551"/>
      <c r="T235" s="1551"/>
      <c r="U235" s="1551">
        <f>(U26+U27)/U229</f>
        <v>8.0863919951323577</v>
      </c>
      <c r="V235" s="1551">
        <f>MIN(U235,U48)</f>
        <v>8.0863919951323577</v>
      </c>
      <c r="W235" s="1551">
        <f t="shared" ref="W235:Z235" si="142">MIN(V235,V48)</f>
        <v>8.0863919951323577</v>
      </c>
      <c r="X235" s="1551">
        <f t="shared" si="142"/>
        <v>8.0863919951323577</v>
      </c>
      <c r="Y235" s="1551">
        <f t="shared" si="142"/>
        <v>8.0863919951323577</v>
      </c>
      <c r="Z235" s="1551">
        <f t="shared" si="142"/>
        <v>8.0863919951323577</v>
      </c>
      <c r="AA235" s="1551"/>
      <c r="AB235" s="1551"/>
      <c r="AC235" s="1551"/>
      <c r="AD235" s="1551"/>
      <c r="AE235" s="1551"/>
      <c r="AF235" s="1551"/>
      <c r="AG235" s="1551"/>
      <c r="AH235" s="1551"/>
      <c r="AI235" s="1551"/>
      <c r="AJ235" s="1551"/>
      <c r="AK235" s="1551"/>
      <c r="AL235" s="1551"/>
      <c r="AM235" s="1551"/>
      <c r="AN235" s="1552"/>
      <c r="AO235" s="1552"/>
      <c r="AP235" s="1552"/>
      <c r="AQ235" s="1552"/>
      <c r="AR235" s="1552"/>
      <c r="AS235" s="1552"/>
      <c r="AT235" s="1552"/>
      <c r="AU235" s="1552"/>
      <c r="AV235" s="1552"/>
      <c r="AW235" s="1552"/>
      <c r="AX235" s="1552"/>
      <c r="AY235" s="1552"/>
      <c r="AZ235" s="1552"/>
      <c r="BA235" s="1552"/>
    </row>
    <row r="236" spans="2:57" ht="16.5" customHeight="1" x14ac:dyDescent="0.3">
      <c r="B236" s="1548" t="str">
        <f>"TS mới tăng thêm năm "&amp;YEAR($P$3)+6</f>
        <v>TS mới tăng thêm năm 2027</v>
      </c>
      <c r="M236" s="1549"/>
      <c r="N236" s="1549"/>
      <c r="O236" s="1549"/>
      <c r="P236" s="1553"/>
      <c r="Q236" s="1552"/>
      <c r="R236" s="1552"/>
      <c r="S236" s="1552"/>
      <c r="T236" s="1552"/>
      <c r="U236" s="1552"/>
      <c r="V236" s="1552">
        <f>(V26+V27)/V229</f>
        <v>8.6987315772535769</v>
      </c>
      <c r="W236" s="1552">
        <f>MIN(V236,V49)</f>
        <v>8.6987315772535769</v>
      </c>
      <c r="X236" s="1552">
        <f t="shared" ref="X236:Z236" si="143">MIN(W236,W49)</f>
        <v>8.6987315772535769</v>
      </c>
      <c r="Y236" s="1552">
        <f t="shared" si="143"/>
        <v>8.6987315772535769</v>
      </c>
      <c r="Z236" s="1552">
        <f t="shared" si="143"/>
        <v>8.6987315772535769</v>
      </c>
      <c r="AA236" s="1552"/>
      <c r="AB236" s="1552"/>
      <c r="AC236" s="1552"/>
      <c r="AD236" s="1552"/>
      <c r="AE236" s="1552"/>
      <c r="AF236" s="1552"/>
      <c r="AG236" s="1552"/>
      <c r="AH236" s="1552"/>
      <c r="AI236" s="1552"/>
      <c r="AJ236" s="1552"/>
      <c r="AK236" s="1552"/>
      <c r="AL236" s="1552"/>
      <c r="AM236" s="1552"/>
      <c r="AN236" s="1552"/>
      <c r="AO236" s="1552"/>
      <c r="AP236" s="1552"/>
      <c r="AQ236" s="1552"/>
      <c r="AR236" s="1552"/>
      <c r="AS236" s="1552"/>
      <c r="AT236" s="1552"/>
      <c r="AU236" s="1552"/>
      <c r="AV236" s="1552"/>
      <c r="AW236" s="1552"/>
      <c r="AX236" s="1552"/>
      <c r="AY236" s="1552"/>
      <c r="AZ236" s="1552"/>
      <c r="BA236" s="1552"/>
    </row>
    <row r="237" spans="2:57" ht="18" customHeight="1" x14ac:dyDescent="0.3">
      <c r="B237" s="1548" t="str">
        <f>"TS mới tăng thêm năm "&amp;YEAR($P$3)+7</f>
        <v>TS mới tăng thêm năm 2028</v>
      </c>
      <c r="M237" s="1549"/>
      <c r="N237" s="1549"/>
      <c r="O237" s="1549"/>
      <c r="P237" s="1553"/>
      <c r="Q237" s="1552"/>
      <c r="R237" s="1552"/>
      <c r="S237" s="1552"/>
      <c r="T237" s="1552"/>
      <c r="U237" s="1552"/>
      <c r="V237" s="1552"/>
      <c r="W237" s="1552">
        <f>(W26+W27)/W229</f>
        <v>9.4944784379314981</v>
      </c>
      <c r="X237" s="1552">
        <f>MIN(W237,W50)</f>
        <v>9.4944784379314981</v>
      </c>
      <c r="Y237" s="1552">
        <f t="shared" ref="Y237:Z237" si="144">MIN(X237,X50)</f>
        <v>9.4944784379314981</v>
      </c>
      <c r="Z237" s="1552">
        <f t="shared" si="144"/>
        <v>9.4944784379314981</v>
      </c>
      <c r="AA237" s="1552"/>
      <c r="AB237" s="1552"/>
      <c r="AC237" s="1552"/>
      <c r="AD237" s="1552"/>
      <c r="AE237" s="1552"/>
      <c r="AF237" s="1552"/>
      <c r="AG237" s="1552"/>
      <c r="AH237" s="1552"/>
      <c r="AI237" s="1552"/>
      <c r="AJ237" s="1552"/>
      <c r="AK237" s="1552"/>
      <c r="AL237" s="1552"/>
      <c r="AM237" s="1552"/>
      <c r="AN237" s="1552"/>
      <c r="AO237" s="1552"/>
      <c r="AP237" s="1552"/>
      <c r="AQ237" s="1552"/>
      <c r="AR237" s="1552"/>
      <c r="AS237" s="1552"/>
      <c r="AT237" s="1552"/>
      <c r="AU237" s="1552"/>
      <c r="AV237" s="1552"/>
      <c r="AW237" s="1552"/>
      <c r="AX237" s="1552"/>
      <c r="AY237" s="1552"/>
      <c r="AZ237" s="1552"/>
      <c r="BA237" s="1552"/>
    </row>
    <row r="238" spans="2:57" ht="20.25" customHeight="1" x14ac:dyDescent="0.3">
      <c r="B238" s="1548" t="str">
        <f>"TS mới tăng thêm năm "&amp;YEAR($P$3)+8</f>
        <v>TS mới tăng thêm năm 2029</v>
      </c>
      <c r="M238" s="1549"/>
      <c r="N238" s="1549"/>
      <c r="O238" s="1549"/>
      <c r="P238" s="1553"/>
      <c r="Q238" s="1552"/>
      <c r="R238" s="1552"/>
      <c r="S238" s="1552"/>
      <c r="T238" s="1552"/>
      <c r="U238" s="1552"/>
      <c r="V238" s="1552"/>
      <c r="W238" s="1552"/>
      <c r="X238" s="1552">
        <f>(X26+X27)/X229</f>
        <v>8.2316805251576888</v>
      </c>
      <c r="Y238" s="1552">
        <f>MIN(X238,X51)</f>
        <v>8.2316805251576888</v>
      </c>
      <c r="Z238" s="1552">
        <f>MIN(Y238,Y51)</f>
        <v>8.2316805251576888</v>
      </c>
      <c r="AA238" s="1552"/>
      <c r="AB238" s="1552"/>
      <c r="AC238" s="1552"/>
      <c r="AD238" s="1552"/>
      <c r="AE238" s="1552"/>
      <c r="AF238" s="1552"/>
      <c r="AG238" s="1552"/>
      <c r="AH238" s="1552"/>
      <c r="AI238" s="1552"/>
      <c r="AJ238" s="1552"/>
      <c r="AK238" s="1552"/>
      <c r="AL238" s="1552"/>
      <c r="AM238" s="1552"/>
      <c r="AN238" s="1552"/>
      <c r="AO238" s="1552"/>
      <c r="AP238" s="1552"/>
      <c r="AQ238" s="1552"/>
      <c r="AR238" s="1552"/>
      <c r="AS238" s="1552"/>
      <c r="AT238" s="1552"/>
      <c r="AU238" s="1552"/>
      <c r="AV238" s="1552"/>
      <c r="AW238" s="1552"/>
      <c r="AX238" s="1552"/>
      <c r="AY238" s="1552"/>
      <c r="AZ238" s="1552"/>
      <c r="BA238" s="1552"/>
    </row>
    <row r="239" spans="2:57" ht="25.5" customHeight="1" x14ac:dyDescent="0.3">
      <c r="B239" s="1548" t="str">
        <f>"TS mới tăng thêm năm "&amp;YEAR($P$3)+9</f>
        <v>TS mới tăng thêm năm 2030</v>
      </c>
      <c r="M239" s="1549"/>
      <c r="N239" s="1549"/>
      <c r="O239" s="1549"/>
      <c r="P239" s="1553"/>
      <c r="Q239" s="1552"/>
      <c r="R239" s="1552"/>
      <c r="S239" s="1552"/>
      <c r="T239" s="1552"/>
      <c r="U239" s="1552"/>
      <c r="V239" s="1552"/>
      <c r="W239" s="1552"/>
      <c r="X239" s="1552"/>
      <c r="Y239" s="1552">
        <f>(Y26+Y27)/Y229</f>
        <v>8.5802397847766354</v>
      </c>
      <c r="Z239" s="1552">
        <f>MIN(Y239,Y52)</f>
        <v>8.5802397847766354</v>
      </c>
      <c r="AA239" s="1552"/>
      <c r="AB239" s="1552"/>
      <c r="AC239" s="1552"/>
      <c r="AD239" s="1552"/>
      <c r="AE239" s="1552"/>
      <c r="AF239" s="1552"/>
      <c r="AG239" s="1552"/>
      <c r="AH239" s="1552"/>
      <c r="AI239" s="1552"/>
      <c r="AJ239" s="1552"/>
      <c r="AK239" s="1552"/>
      <c r="AL239" s="1552"/>
      <c r="AM239" s="1552"/>
      <c r="AN239" s="1552"/>
      <c r="AO239" s="1552"/>
      <c r="AP239" s="1552"/>
      <c r="AQ239" s="1552"/>
      <c r="AR239" s="1552"/>
      <c r="AS239" s="1552"/>
      <c r="AT239" s="1552"/>
      <c r="AU239" s="1552"/>
      <c r="AV239" s="1552"/>
      <c r="AW239" s="1552"/>
      <c r="AX239" s="1552"/>
      <c r="AY239" s="1552"/>
      <c r="AZ239" s="1552"/>
      <c r="BA239" s="1552"/>
    </row>
    <row r="240" spans="2:57" ht="20.25" customHeight="1" x14ac:dyDescent="0.3">
      <c r="B240" s="1548" t="str">
        <f>"TS mới tăng thêm năm "&amp;YEAR($P$3)+10</f>
        <v>TS mới tăng thêm năm 2031</v>
      </c>
      <c r="M240" s="1549"/>
      <c r="N240" s="1549"/>
      <c r="O240" s="1549"/>
      <c r="P240" s="1553"/>
      <c r="Q240" s="1552"/>
      <c r="R240" s="1552"/>
      <c r="S240" s="1552"/>
      <c r="T240" s="1552"/>
      <c r="U240" s="1552"/>
      <c r="V240" s="1552"/>
      <c r="W240" s="1552"/>
      <c r="X240" s="1552"/>
      <c r="Y240" s="1552"/>
      <c r="Z240" s="1552">
        <f>(Z26+Z27)/Z229</f>
        <v>8.9606985874086895</v>
      </c>
      <c r="AA240" s="1552"/>
      <c r="AB240" s="1552"/>
      <c r="AC240" s="1552"/>
      <c r="AD240" s="1552"/>
      <c r="AE240" s="1552"/>
      <c r="AF240" s="1552"/>
      <c r="AG240" s="1552"/>
      <c r="AH240" s="1552"/>
      <c r="AI240" s="1552"/>
      <c r="AJ240" s="1552"/>
      <c r="AK240" s="1552"/>
      <c r="AL240" s="1552"/>
      <c r="AM240" s="1552"/>
      <c r="AN240" s="1552"/>
      <c r="AO240" s="1552"/>
      <c r="AP240" s="1552"/>
      <c r="AQ240" s="1552"/>
      <c r="AR240" s="1552"/>
      <c r="AS240" s="1552"/>
      <c r="AT240" s="1552"/>
      <c r="AU240" s="1552"/>
      <c r="AV240" s="1552"/>
      <c r="AW240" s="1552"/>
      <c r="AX240" s="1552"/>
      <c r="AY240" s="1552"/>
      <c r="AZ240" s="1552"/>
      <c r="BA240" s="1552"/>
    </row>
    <row r="241" spans="2:54" ht="20.25" customHeight="1" x14ac:dyDescent="0.3">
      <c r="B241" s="1548" t="str">
        <f>"TS mới tăng thêm năm "&amp;YEAR($P$3)+11</f>
        <v>TS mới tăng thêm năm 2032</v>
      </c>
      <c r="M241" s="1549"/>
      <c r="N241" s="1549"/>
      <c r="O241" s="1549"/>
      <c r="P241" s="1589"/>
      <c r="Q241" s="1590"/>
      <c r="R241" s="1590"/>
      <c r="S241" s="1590"/>
      <c r="T241" s="1590"/>
      <c r="U241" s="1590"/>
      <c r="V241" s="1590"/>
      <c r="W241" s="1590"/>
      <c r="X241" s="1590"/>
      <c r="Y241" s="1590"/>
      <c r="Z241" s="1590"/>
      <c r="AA241" s="1552"/>
      <c r="AB241" s="1552"/>
      <c r="AC241" s="1552"/>
      <c r="AD241" s="1552"/>
      <c r="AE241" s="1552"/>
      <c r="AF241" s="1552"/>
      <c r="AG241" s="1552"/>
      <c r="AH241" s="1552"/>
      <c r="AI241" s="1552"/>
      <c r="AJ241" s="1552"/>
      <c r="AK241" s="1552"/>
      <c r="AL241" s="1552"/>
      <c r="AM241" s="1552"/>
      <c r="AN241" s="1552"/>
      <c r="AO241" s="1552"/>
      <c r="AP241" s="1552"/>
      <c r="AQ241" s="1552"/>
      <c r="AR241" s="1552"/>
      <c r="AS241" s="1552"/>
      <c r="AT241" s="1552"/>
      <c r="AU241" s="1552"/>
      <c r="AV241" s="1552"/>
      <c r="AW241" s="1552"/>
      <c r="AX241" s="1552"/>
      <c r="AY241" s="1552"/>
      <c r="AZ241" s="1552"/>
      <c r="BA241" s="1552"/>
    </row>
    <row r="242" spans="2:54" ht="14.4" x14ac:dyDescent="0.3">
      <c r="B242" s="1554" t="s">
        <v>1255</v>
      </c>
      <c r="C242" s="1555"/>
      <c r="D242" s="1555"/>
      <c r="E242" s="1555"/>
      <c r="F242" s="1555"/>
      <c r="G242" s="1555"/>
      <c r="H242" s="1556"/>
      <c r="I242" s="1556"/>
      <c r="J242" s="1556"/>
      <c r="K242" s="1556"/>
      <c r="L242" s="1556"/>
      <c r="M242" s="1555"/>
      <c r="N242" s="1555"/>
      <c r="O242" s="1555"/>
      <c r="P242" s="1544">
        <f>SUM(P230:P240)</f>
        <v>58.894680766</v>
      </c>
      <c r="Q242" s="1561">
        <f t="shared" ref="Q242:Z242" si="145">SUM(Q230:Q240)</f>
        <v>98.688886714665756</v>
      </c>
      <c r="R242" s="1561">
        <f t="shared" si="145"/>
        <v>129.97805693751718</v>
      </c>
      <c r="S242" s="1561">
        <f t="shared" si="145"/>
        <v>136.99081514604458</v>
      </c>
      <c r="T242" s="1561">
        <f t="shared" si="145"/>
        <v>96.013749365060036</v>
      </c>
      <c r="U242" s="1561">
        <f t="shared" si="145"/>
        <v>94.111296179192507</v>
      </c>
      <c r="V242" s="1561">
        <f t="shared" si="145"/>
        <v>102.81002775644609</v>
      </c>
      <c r="W242" s="1561">
        <f t="shared" si="145"/>
        <v>112.30450619437758</v>
      </c>
      <c r="X242" s="1561">
        <f t="shared" si="145"/>
        <v>120.53618671953527</v>
      </c>
      <c r="Y242" s="1561">
        <f t="shared" si="145"/>
        <v>129.1164265043119</v>
      </c>
      <c r="Z242" s="1561">
        <f t="shared" si="145"/>
        <v>138.0771250917206</v>
      </c>
      <c r="AA242" s="1562"/>
      <c r="AB242" s="1562"/>
      <c r="AC242" s="1562"/>
      <c r="AD242" s="1562"/>
      <c r="AE242" s="1562"/>
      <c r="AF242" s="1562"/>
      <c r="AG242" s="1562"/>
      <c r="AH242" s="1562"/>
      <c r="AI242" s="1562"/>
      <c r="AJ242" s="1562"/>
      <c r="AK242" s="1562"/>
      <c r="AL242" s="1562"/>
      <c r="AM242" s="1562"/>
      <c r="AN242" s="1562"/>
      <c r="AO242" s="1562"/>
      <c r="AP242" s="1562"/>
      <c r="AQ242" s="1562"/>
      <c r="AR242" s="1562"/>
      <c r="AS242" s="1562"/>
      <c r="AT242" s="1562"/>
      <c r="AU242" s="1561"/>
      <c r="AV242" s="1561"/>
      <c r="AW242" s="1561"/>
      <c r="AX242" s="1561"/>
      <c r="AY242" s="1561"/>
      <c r="AZ242" s="1561"/>
      <c r="BA242" s="1561"/>
    </row>
    <row r="243" spans="2:54" x14ac:dyDescent="0.3">
      <c r="M243" s="1360"/>
      <c r="P243" s="1544"/>
    </row>
    <row r="244" spans="2:54" x14ac:dyDescent="0.3">
      <c r="B244" s="1430" t="s">
        <v>1565</v>
      </c>
      <c r="M244" s="1360"/>
      <c r="N244" s="1547"/>
      <c r="O244" s="1546"/>
      <c r="P244" s="1585" t="s">
        <v>1592</v>
      </c>
      <c r="Q244" s="1547">
        <f>F221</f>
        <v>3</v>
      </c>
      <c r="R244" s="1547">
        <f>Q244</f>
        <v>3</v>
      </c>
      <c r="S244" s="1547">
        <f t="shared" ref="S244:Z244" si="146">R244</f>
        <v>3</v>
      </c>
      <c r="T244" s="1547">
        <f t="shared" si="146"/>
        <v>3</v>
      </c>
      <c r="U244" s="1547">
        <f t="shared" si="146"/>
        <v>3</v>
      </c>
      <c r="V244" s="1547">
        <f t="shared" si="146"/>
        <v>3</v>
      </c>
      <c r="W244" s="1547">
        <f t="shared" si="146"/>
        <v>3</v>
      </c>
      <c r="X244" s="1547">
        <f t="shared" si="146"/>
        <v>3</v>
      </c>
      <c r="Y244" s="1547">
        <f t="shared" si="146"/>
        <v>3</v>
      </c>
      <c r="Z244" s="1547">
        <f t="shared" si="146"/>
        <v>3</v>
      </c>
      <c r="AA244" s="1547"/>
      <c r="AB244" s="1547"/>
      <c r="AC244" s="1547"/>
      <c r="AD244" s="1547"/>
      <c r="AE244" s="1547"/>
      <c r="AF244" s="1547"/>
      <c r="AG244" s="1547"/>
      <c r="AH244" s="1547"/>
      <c r="AI244" s="1547"/>
      <c r="AJ244" s="1547"/>
      <c r="AK244" s="1547"/>
      <c r="AL244" s="1547"/>
      <c r="AM244" s="1547"/>
      <c r="AN244" s="1547"/>
      <c r="AO244" s="1547"/>
      <c r="AP244" s="1547"/>
      <c r="AQ244" s="1547"/>
      <c r="AR244" s="1547"/>
      <c r="AS244" s="1547"/>
      <c r="AT244" s="1547"/>
      <c r="AU244" s="1547"/>
      <c r="AV244" s="1547"/>
      <c r="AW244" s="1547"/>
      <c r="AX244" s="1547"/>
      <c r="AY244" s="1547"/>
      <c r="AZ244" s="1547"/>
      <c r="BA244" s="1547"/>
    </row>
    <row r="245" spans="2:54" ht="14.4" x14ac:dyDescent="0.3">
      <c r="B245" s="1548" t="str">
        <f>"TS cũ cuối năm "&amp;YEAR($P$3)</f>
        <v>TS cũ cuối năm 2021</v>
      </c>
      <c r="M245" s="1549"/>
      <c r="N245" s="1549"/>
      <c r="O245" s="1549"/>
      <c r="P245" s="1550">
        <f>P71</f>
        <v>0</v>
      </c>
      <c r="Q245" s="1551">
        <f>MIN(P245,P77)</f>
        <v>0</v>
      </c>
      <c r="R245" s="1551">
        <f>MIN(Q245,Q77)</f>
        <v>0</v>
      </c>
      <c r="S245" s="1551">
        <f t="shared" ref="S245:Z245" si="147">MIN(R245,R77)</f>
        <v>0</v>
      </c>
      <c r="T245" s="1551">
        <f t="shared" si="147"/>
        <v>0</v>
      </c>
      <c r="U245" s="1551">
        <f t="shared" si="147"/>
        <v>0</v>
      </c>
      <c r="V245" s="1551">
        <f t="shared" si="147"/>
        <v>0</v>
      </c>
      <c r="W245" s="1551">
        <f t="shared" si="147"/>
        <v>0</v>
      </c>
      <c r="X245" s="1551">
        <f t="shared" si="147"/>
        <v>0</v>
      </c>
      <c r="Y245" s="1551">
        <f t="shared" si="147"/>
        <v>0</v>
      </c>
      <c r="Z245" s="1551">
        <f t="shared" si="147"/>
        <v>0</v>
      </c>
      <c r="AA245" s="1551"/>
      <c r="AB245" s="1551"/>
      <c r="AC245" s="1551"/>
      <c r="AD245" s="1551"/>
      <c r="AE245" s="1551"/>
      <c r="AF245" s="1551"/>
      <c r="AG245" s="1551"/>
      <c r="AH245" s="1551"/>
      <c r="AI245" s="1551"/>
      <c r="AJ245" s="1551"/>
      <c r="AK245" s="1551"/>
      <c r="AL245" s="1551"/>
      <c r="AM245" s="1551"/>
      <c r="AN245" s="1551"/>
      <c r="AO245" s="1551"/>
      <c r="AP245" s="1551"/>
      <c r="AQ245" s="1551"/>
      <c r="AR245" s="1551"/>
      <c r="AS245" s="1551"/>
      <c r="AT245" s="1552"/>
      <c r="AU245" s="1552"/>
      <c r="AV245" s="1552"/>
      <c r="AW245" s="1552"/>
      <c r="AX245" s="1552"/>
      <c r="AY245" s="1552"/>
      <c r="AZ245" s="1552"/>
      <c r="BA245" s="1552"/>
    </row>
    <row r="246" spans="2:54" ht="14.4" x14ac:dyDescent="0.3">
      <c r="B246" s="1548" t="str">
        <f>"TS mới tăng thêm năm "&amp;YEAR($P$3)+1</f>
        <v>TS mới tăng thêm năm 2022</v>
      </c>
      <c r="M246" s="1549"/>
      <c r="N246" s="1549"/>
      <c r="O246" s="1549"/>
      <c r="P246" s="1553"/>
      <c r="Q246" s="1551">
        <f>(Q61+Q62)/Q244</f>
        <v>0</v>
      </c>
      <c r="R246" s="1551">
        <f>MIN(Q246,Q78)</f>
        <v>0</v>
      </c>
      <c r="S246" s="1551">
        <f t="shared" ref="S246:Z246" si="148">MIN(R246,R78)</f>
        <v>0</v>
      </c>
      <c r="T246" s="1551">
        <f t="shared" si="148"/>
        <v>0</v>
      </c>
      <c r="U246" s="1551">
        <f t="shared" si="148"/>
        <v>0</v>
      </c>
      <c r="V246" s="1551">
        <f t="shared" si="148"/>
        <v>0</v>
      </c>
      <c r="W246" s="1551">
        <f t="shared" si="148"/>
        <v>0</v>
      </c>
      <c r="X246" s="1551">
        <f t="shared" si="148"/>
        <v>0</v>
      </c>
      <c r="Y246" s="1551">
        <f t="shared" si="148"/>
        <v>0</v>
      </c>
      <c r="Z246" s="1551">
        <f t="shared" si="148"/>
        <v>0</v>
      </c>
      <c r="AA246" s="1551"/>
      <c r="AB246" s="1551"/>
      <c r="AC246" s="1551"/>
      <c r="AD246" s="1551"/>
      <c r="AE246" s="1551"/>
      <c r="AF246" s="1551"/>
      <c r="AG246" s="1551"/>
      <c r="AH246" s="1551"/>
      <c r="AI246" s="1551"/>
      <c r="AJ246" s="1551"/>
      <c r="AK246" s="1551"/>
      <c r="AL246" s="1551"/>
      <c r="AM246" s="1551"/>
      <c r="AN246" s="1551"/>
      <c r="AO246" s="1551"/>
      <c r="AP246" s="1551"/>
      <c r="AQ246" s="1551"/>
      <c r="AR246" s="1551"/>
      <c r="AS246" s="1551"/>
      <c r="AT246" s="1551"/>
      <c r="AU246" s="1551"/>
      <c r="AV246" s="1551"/>
      <c r="AW246" s="1551"/>
      <c r="AX246" s="1551"/>
      <c r="AY246" s="1551"/>
      <c r="AZ246" s="1551"/>
      <c r="BA246" s="1551"/>
      <c r="BB246" s="1551"/>
    </row>
    <row r="247" spans="2:54" ht="14.4" x14ac:dyDescent="0.3">
      <c r="B247" s="1548" t="str">
        <f>"TS mới tăng thêm năm "&amp;YEAR($P$3)+2</f>
        <v>TS mới tăng thêm năm 2023</v>
      </c>
      <c r="M247" s="1549"/>
      <c r="N247" s="1549"/>
      <c r="O247" s="1549"/>
      <c r="P247" s="1553"/>
      <c r="Q247" s="1552"/>
      <c r="R247" s="1551">
        <f>(R61+R62)/R244</f>
        <v>0</v>
      </c>
      <c r="S247" s="1551">
        <f>MIN(R247,R79)</f>
        <v>0</v>
      </c>
      <c r="T247" s="1551">
        <f t="shared" ref="T247:Z247" si="149">MIN(S247,S79)</f>
        <v>0</v>
      </c>
      <c r="U247" s="1551">
        <f t="shared" si="149"/>
        <v>0</v>
      </c>
      <c r="V247" s="1551">
        <f t="shared" si="149"/>
        <v>0</v>
      </c>
      <c r="W247" s="1551">
        <f t="shared" si="149"/>
        <v>0</v>
      </c>
      <c r="X247" s="1551">
        <f t="shared" si="149"/>
        <v>0</v>
      </c>
      <c r="Y247" s="1551">
        <f t="shared" si="149"/>
        <v>0</v>
      </c>
      <c r="Z247" s="1551">
        <f t="shared" si="149"/>
        <v>0</v>
      </c>
      <c r="AA247" s="1551"/>
      <c r="AB247" s="1551"/>
      <c r="AC247" s="1551"/>
      <c r="AD247" s="1551"/>
      <c r="AE247" s="1551"/>
      <c r="AF247" s="1551"/>
      <c r="AG247" s="1551"/>
      <c r="AH247" s="1551"/>
      <c r="AI247" s="1551"/>
      <c r="AJ247" s="1551"/>
      <c r="AK247" s="1551"/>
      <c r="AL247" s="1551"/>
      <c r="AM247" s="1551"/>
      <c r="AN247" s="1551"/>
      <c r="AO247" s="1551"/>
      <c r="AP247" s="1551"/>
      <c r="AQ247" s="1551"/>
      <c r="AR247" s="1551"/>
      <c r="AS247" s="1551"/>
      <c r="AT247" s="1551"/>
      <c r="AU247" s="1551"/>
      <c r="AV247" s="1552"/>
      <c r="AW247" s="1552"/>
      <c r="AX247" s="1552"/>
      <c r="AY247" s="1552"/>
      <c r="AZ247" s="1552"/>
      <c r="BA247" s="1552"/>
    </row>
    <row r="248" spans="2:54" ht="14.4" x14ac:dyDescent="0.3">
      <c r="B248" s="1548" t="str">
        <f>"TS mới tăng thêm năm "&amp;YEAR($P$3)+3</f>
        <v>TS mới tăng thêm năm 2024</v>
      </c>
      <c r="M248" s="1549"/>
      <c r="N248" s="1549"/>
      <c r="O248" s="1549"/>
      <c r="P248" s="1553"/>
      <c r="Q248" s="1552"/>
      <c r="R248" s="1552"/>
      <c r="S248" s="1551">
        <f>(S61+S62)/S244</f>
        <v>0</v>
      </c>
      <c r="T248" s="1551">
        <f>MIN(S248,S80)</f>
        <v>0</v>
      </c>
      <c r="U248" s="1551">
        <f t="shared" ref="U248:Z248" si="150">MIN(T248,T80)</f>
        <v>0</v>
      </c>
      <c r="V248" s="1551">
        <f t="shared" si="150"/>
        <v>0</v>
      </c>
      <c r="W248" s="1551">
        <f t="shared" si="150"/>
        <v>0</v>
      </c>
      <c r="X248" s="1551">
        <f t="shared" si="150"/>
        <v>0</v>
      </c>
      <c r="Y248" s="1551">
        <f t="shared" si="150"/>
        <v>0</v>
      </c>
      <c r="Z248" s="1551">
        <f t="shared" si="150"/>
        <v>0</v>
      </c>
      <c r="AA248" s="1551"/>
      <c r="AB248" s="1551"/>
      <c r="AC248" s="1551"/>
      <c r="AD248" s="1551"/>
      <c r="AE248" s="1551"/>
      <c r="AF248" s="1551"/>
      <c r="AG248" s="1551"/>
      <c r="AH248" s="1551"/>
      <c r="AI248" s="1551"/>
      <c r="AJ248" s="1551"/>
      <c r="AK248" s="1551"/>
      <c r="AL248" s="1551"/>
      <c r="AM248" s="1551"/>
      <c r="AN248" s="1551"/>
      <c r="AO248" s="1551"/>
      <c r="AP248" s="1551"/>
      <c r="AQ248" s="1551"/>
      <c r="AR248" s="1551"/>
      <c r="AS248" s="1551"/>
      <c r="AT248" s="1551"/>
      <c r="AU248" s="1551"/>
      <c r="AV248" s="1551"/>
      <c r="AW248" s="1551"/>
      <c r="AX248" s="1551"/>
      <c r="AY248" s="1552"/>
      <c r="AZ248" s="1552"/>
      <c r="BA248" s="1552"/>
    </row>
    <row r="249" spans="2:54" ht="14.4" x14ac:dyDescent="0.3">
      <c r="B249" s="1548" t="str">
        <f>"TS mới tăng thêm năm "&amp;YEAR($P$3)+4</f>
        <v>TS mới tăng thêm năm 2025</v>
      </c>
      <c r="M249" s="1549"/>
      <c r="N249" s="1549"/>
      <c r="O249" s="1549"/>
      <c r="P249" s="1553"/>
      <c r="Q249" s="1552"/>
      <c r="R249" s="1552"/>
      <c r="S249" s="1552"/>
      <c r="T249" s="1551">
        <f>(T61+T62)/T244</f>
        <v>0</v>
      </c>
      <c r="U249" s="1551">
        <f>MIN(T249,T81)</f>
        <v>0</v>
      </c>
      <c r="V249" s="1551">
        <f t="shared" ref="V249:Z249" si="151">MIN(U249,U81)</f>
        <v>0</v>
      </c>
      <c r="W249" s="1551">
        <f t="shared" si="151"/>
        <v>0</v>
      </c>
      <c r="X249" s="1551">
        <f t="shared" si="151"/>
        <v>0</v>
      </c>
      <c r="Y249" s="1551">
        <f t="shared" si="151"/>
        <v>0</v>
      </c>
      <c r="Z249" s="1551">
        <f t="shared" si="151"/>
        <v>0</v>
      </c>
      <c r="AA249" s="1551"/>
      <c r="AB249" s="1551"/>
      <c r="AC249" s="1551"/>
      <c r="AD249" s="1551"/>
      <c r="AE249" s="1551"/>
      <c r="AF249" s="1551"/>
      <c r="AG249" s="1551"/>
      <c r="AH249" s="1551"/>
      <c r="AI249" s="1551"/>
      <c r="AJ249" s="1551"/>
      <c r="AK249" s="1551"/>
      <c r="AL249" s="1551"/>
      <c r="AM249" s="1551"/>
      <c r="AN249" s="1551"/>
      <c r="AO249" s="1551"/>
      <c r="AP249" s="1551"/>
      <c r="AQ249" s="1551"/>
      <c r="AR249" s="1551"/>
      <c r="AS249" s="1551"/>
      <c r="AT249" s="1551"/>
      <c r="AU249" s="1551"/>
      <c r="AV249" s="1552"/>
      <c r="AW249" s="1552"/>
      <c r="AX249" s="1552"/>
      <c r="AY249" s="1552"/>
      <c r="AZ249" s="1552"/>
      <c r="BA249" s="1552"/>
    </row>
    <row r="250" spans="2:54" ht="24.75" customHeight="1" x14ac:dyDescent="0.3">
      <c r="B250" s="1548" t="str">
        <f>"TS mới tăng thêm năm "&amp;YEAR($P$3)+5</f>
        <v>TS mới tăng thêm năm 2026</v>
      </c>
      <c r="M250" s="1549"/>
      <c r="N250" s="1549"/>
      <c r="O250" s="1549"/>
      <c r="P250" s="1553"/>
      <c r="Q250" s="1552"/>
      <c r="R250" s="1552"/>
      <c r="S250" s="1552"/>
      <c r="T250" s="1552"/>
      <c r="U250" s="1551">
        <f>(U61+U62)/U244</f>
        <v>0</v>
      </c>
      <c r="V250" s="1551">
        <f>MIN(U250,U82)</f>
        <v>0</v>
      </c>
      <c r="W250" s="1551">
        <f t="shared" ref="W250:Z250" si="152">MIN(V250,V82)</f>
        <v>0</v>
      </c>
      <c r="X250" s="1551">
        <f t="shared" si="152"/>
        <v>0</v>
      </c>
      <c r="Y250" s="1551">
        <f t="shared" si="152"/>
        <v>0</v>
      </c>
      <c r="Z250" s="1551">
        <f t="shared" si="152"/>
        <v>0</v>
      </c>
      <c r="AA250" s="1551"/>
      <c r="AB250" s="1551"/>
      <c r="AC250" s="1551"/>
      <c r="AD250" s="1551"/>
      <c r="AE250" s="1551"/>
      <c r="AF250" s="1551"/>
      <c r="AG250" s="1551"/>
      <c r="AH250" s="1551"/>
      <c r="AI250" s="1551"/>
      <c r="AJ250" s="1551"/>
      <c r="AK250" s="1551"/>
      <c r="AL250" s="1551"/>
      <c r="AM250" s="1551"/>
      <c r="AN250" s="1551"/>
      <c r="AO250" s="1551"/>
      <c r="AP250" s="1551"/>
      <c r="AQ250" s="1551"/>
      <c r="AR250" s="1551"/>
      <c r="AS250" s="1551"/>
      <c r="AT250" s="1551"/>
      <c r="AU250" s="1551"/>
      <c r="AV250" s="1551"/>
      <c r="AW250" s="1551"/>
      <c r="AX250" s="1551"/>
      <c r="AY250" s="1552"/>
      <c r="AZ250" s="1552"/>
      <c r="BA250" s="1552"/>
    </row>
    <row r="251" spans="2:54" ht="26.25" customHeight="1" x14ac:dyDescent="0.3">
      <c r="B251" s="1548" t="str">
        <f>"TS mới tăng thêm năm "&amp;YEAR($P$3)+6</f>
        <v>TS mới tăng thêm năm 2027</v>
      </c>
      <c r="M251" s="1549"/>
      <c r="N251" s="1549"/>
      <c r="O251" s="1549"/>
      <c r="P251" s="1553"/>
      <c r="Q251" s="1552"/>
      <c r="R251" s="1552"/>
      <c r="S251" s="1552"/>
      <c r="T251" s="1552"/>
      <c r="U251" s="1552"/>
      <c r="V251" s="1551">
        <f>(V61+V62)/V244</f>
        <v>0</v>
      </c>
      <c r="W251" s="1551">
        <f>MIN(V251,V83)</f>
        <v>0</v>
      </c>
      <c r="X251" s="1551">
        <f t="shared" ref="X251:Z251" si="153">MIN(W251,W83)</f>
        <v>0</v>
      </c>
      <c r="Y251" s="1551">
        <f t="shared" si="153"/>
        <v>0</v>
      </c>
      <c r="Z251" s="1551">
        <f t="shared" si="153"/>
        <v>0</v>
      </c>
      <c r="AA251" s="1551"/>
      <c r="AB251" s="1551"/>
      <c r="AC251" s="1551"/>
      <c r="AD251" s="1551"/>
      <c r="AE251" s="1551"/>
      <c r="AF251" s="1551"/>
      <c r="AG251" s="1551"/>
      <c r="AH251" s="1551"/>
      <c r="AI251" s="1551"/>
      <c r="AJ251" s="1551"/>
      <c r="AK251" s="1551"/>
      <c r="AL251" s="1551"/>
      <c r="AM251" s="1551"/>
      <c r="AN251" s="1551"/>
      <c r="AO251" s="1551"/>
      <c r="AP251" s="1551"/>
      <c r="AQ251" s="1551"/>
      <c r="AR251" s="1551"/>
      <c r="AS251" s="1551"/>
      <c r="AT251" s="1551"/>
      <c r="AU251" s="1551"/>
      <c r="AV251" s="1551"/>
      <c r="AW251" s="1551"/>
      <c r="AX251" s="1551"/>
      <c r="AY251" s="1551"/>
      <c r="AZ251" s="1551"/>
      <c r="BA251" s="1551"/>
    </row>
    <row r="252" spans="2:54" ht="25.5" customHeight="1" x14ac:dyDescent="0.3">
      <c r="B252" s="1548" t="str">
        <f>"TS mới tăng thêm năm "&amp;YEAR($P$3)+7</f>
        <v>TS mới tăng thêm năm 2028</v>
      </c>
      <c r="M252" s="1549"/>
      <c r="N252" s="1549"/>
      <c r="O252" s="1549"/>
      <c r="P252" s="1553"/>
      <c r="Q252" s="1552"/>
      <c r="R252" s="1552"/>
      <c r="S252" s="1552"/>
      <c r="T252" s="1552"/>
      <c r="U252" s="1552"/>
      <c r="V252" s="1552"/>
      <c r="W252" s="1551">
        <f>(W61+W62)/W244</f>
        <v>0</v>
      </c>
      <c r="X252" s="1551">
        <f>MIN(W252,W84)</f>
        <v>0</v>
      </c>
      <c r="Y252" s="1551">
        <f t="shared" ref="Y252:Z252" si="154">MIN(X252,X84)</f>
        <v>0</v>
      </c>
      <c r="Z252" s="1551">
        <f t="shared" si="154"/>
        <v>0</v>
      </c>
      <c r="AA252" s="1551"/>
      <c r="AB252" s="1551"/>
      <c r="AC252" s="1551"/>
      <c r="AD252" s="1551"/>
      <c r="AE252" s="1551"/>
      <c r="AF252" s="1551"/>
      <c r="AG252" s="1551"/>
      <c r="AH252" s="1551"/>
      <c r="AI252" s="1551"/>
      <c r="AJ252" s="1551"/>
      <c r="AK252" s="1551"/>
      <c r="AL252" s="1551"/>
      <c r="AM252" s="1551"/>
      <c r="AN252" s="1551"/>
      <c r="AO252" s="1551"/>
      <c r="AP252" s="1551"/>
      <c r="AQ252" s="1551"/>
      <c r="AR252" s="1551"/>
      <c r="AS252" s="1551"/>
      <c r="AT252" s="1551"/>
      <c r="AU252" s="1551"/>
      <c r="AV252" s="1551"/>
      <c r="AW252" s="1551"/>
      <c r="AX252" s="1551"/>
      <c r="AY252" s="1552"/>
      <c r="AZ252" s="1552"/>
      <c r="BA252" s="1552"/>
    </row>
    <row r="253" spans="2:54" ht="21" customHeight="1" x14ac:dyDescent="0.3">
      <c r="B253" s="1548" t="str">
        <f>"TS mới tăng thêm năm "&amp;YEAR($P$3)+8</f>
        <v>TS mới tăng thêm năm 2029</v>
      </c>
      <c r="M253" s="1549"/>
      <c r="N253" s="1549"/>
      <c r="O253" s="1549"/>
      <c r="P253" s="1553"/>
      <c r="Q253" s="1552"/>
      <c r="R253" s="1552"/>
      <c r="S253" s="1552"/>
      <c r="T253" s="1552"/>
      <c r="U253" s="1552"/>
      <c r="V253" s="1552"/>
      <c r="W253" s="1552"/>
      <c r="X253" s="1551">
        <f>(X61+X62)/X244</f>
        <v>0</v>
      </c>
      <c r="Y253" s="1551">
        <f>MIN(X253,X85)</f>
        <v>0</v>
      </c>
      <c r="Z253" s="1551">
        <f>MIN(Y253,Y85)</f>
        <v>0</v>
      </c>
      <c r="AA253" s="1551"/>
      <c r="AB253" s="1551"/>
      <c r="AC253" s="1551"/>
      <c r="AD253" s="1551"/>
      <c r="AE253" s="1551"/>
      <c r="AF253" s="1551"/>
      <c r="AG253" s="1551"/>
      <c r="AH253" s="1551"/>
      <c r="AI253" s="1551"/>
      <c r="AJ253" s="1551"/>
      <c r="AK253" s="1551"/>
      <c r="AL253" s="1551"/>
      <c r="AM253" s="1551"/>
      <c r="AN253" s="1551"/>
      <c r="AO253" s="1551"/>
      <c r="AP253" s="1551"/>
      <c r="AQ253" s="1551"/>
      <c r="AR253" s="1551"/>
      <c r="AS253" s="1551"/>
      <c r="AT253" s="1551"/>
      <c r="AU253" s="1551"/>
      <c r="AV253" s="1551"/>
      <c r="AW253" s="1551"/>
      <c r="AX253" s="1551"/>
      <c r="AY253" s="1551"/>
      <c r="AZ253" s="1551"/>
      <c r="BA253" s="1551"/>
    </row>
    <row r="254" spans="2:54" ht="24.75" customHeight="1" x14ac:dyDescent="0.3">
      <c r="B254" s="1548" t="str">
        <f>"TS mới tăng thêm năm "&amp;YEAR($P$3)+9</f>
        <v>TS mới tăng thêm năm 2030</v>
      </c>
      <c r="M254" s="1549"/>
      <c r="N254" s="1549"/>
      <c r="O254" s="1549"/>
      <c r="P254" s="1553"/>
      <c r="Q254" s="1552"/>
      <c r="R254" s="1552"/>
      <c r="S254" s="1552"/>
      <c r="T254" s="1552"/>
      <c r="U254" s="1552"/>
      <c r="V254" s="1552"/>
      <c r="W254" s="1552"/>
      <c r="X254" s="1552"/>
      <c r="Y254" s="1551">
        <f>(Y61+Y62)/Y244</f>
        <v>0</v>
      </c>
      <c r="Z254" s="1551">
        <f>(Z61+Z62)/Z244</f>
        <v>0</v>
      </c>
      <c r="AA254" s="1551"/>
      <c r="AB254" s="1551"/>
      <c r="AC254" s="1551"/>
      <c r="AD254" s="1551"/>
      <c r="AE254" s="1551"/>
      <c r="AF254" s="1551"/>
      <c r="AG254" s="1551"/>
      <c r="AH254" s="1551"/>
      <c r="AI254" s="1551"/>
      <c r="AJ254" s="1551"/>
      <c r="AK254" s="1551"/>
      <c r="AL254" s="1551"/>
      <c r="AM254" s="1551"/>
      <c r="AN254" s="1551"/>
      <c r="AO254" s="1551"/>
      <c r="AP254" s="1551"/>
      <c r="AQ254" s="1551"/>
      <c r="AR254" s="1551"/>
      <c r="AS254" s="1551"/>
      <c r="AT254" s="1551"/>
      <c r="AU254" s="1551"/>
      <c r="AV254" s="1551"/>
      <c r="AW254" s="1551"/>
      <c r="AX254" s="1551"/>
      <c r="AY254" s="1552"/>
      <c r="AZ254" s="1552"/>
      <c r="BA254" s="1552"/>
    </row>
    <row r="255" spans="2:54" ht="24.75" customHeight="1" x14ac:dyDescent="0.3">
      <c r="B255" s="1548" t="str">
        <f>"TS mới tăng thêm năm "&amp;YEAR($P$3)+10</f>
        <v>TS mới tăng thêm năm 2031</v>
      </c>
      <c r="M255" s="1549"/>
      <c r="N255" s="1549"/>
      <c r="O255" s="1549"/>
      <c r="P255" s="1553"/>
      <c r="Q255" s="1552"/>
      <c r="R255" s="1552"/>
      <c r="S255" s="1552"/>
      <c r="T255" s="1552"/>
      <c r="U255" s="1552"/>
      <c r="V255" s="1552"/>
      <c r="W255" s="1552"/>
      <c r="X255" s="1552"/>
      <c r="Y255" s="1552"/>
      <c r="Z255" s="1551">
        <f>(Z61+Z62)/Z244</f>
        <v>0</v>
      </c>
      <c r="AA255" s="1551"/>
      <c r="AB255" s="1551"/>
      <c r="AC255" s="1551"/>
      <c r="AD255" s="1551"/>
      <c r="AE255" s="1551"/>
      <c r="AF255" s="1551"/>
      <c r="AG255" s="1551"/>
      <c r="AH255" s="1551"/>
      <c r="AI255" s="1551"/>
      <c r="AJ255" s="1551"/>
      <c r="AK255" s="1551"/>
      <c r="AL255" s="1551"/>
      <c r="AM255" s="1551"/>
      <c r="AN255" s="1551"/>
      <c r="AO255" s="1551"/>
      <c r="AP255" s="1551"/>
      <c r="AQ255" s="1551"/>
      <c r="AR255" s="1551"/>
      <c r="AS255" s="1551"/>
      <c r="AT255" s="1552"/>
      <c r="AU255" s="1552"/>
      <c r="AV255" s="1552"/>
      <c r="AW255" s="1552"/>
      <c r="AX255" s="1552"/>
      <c r="AY255" s="1552"/>
      <c r="AZ255" s="1552"/>
      <c r="BA255" s="1552"/>
    </row>
    <row r="256" spans="2:54" ht="33" customHeight="1" x14ac:dyDescent="0.3">
      <c r="B256" s="1548" t="str">
        <f>"TS mới tăng thêm năm "&amp;YEAR($P$3)+11</f>
        <v>TS mới tăng thêm năm 2032</v>
      </c>
      <c r="M256" s="1549"/>
      <c r="N256" s="1549"/>
      <c r="O256" s="1549"/>
      <c r="P256" s="1553"/>
      <c r="Q256" s="1591"/>
      <c r="R256" s="1590"/>
      <c r="S256" s="1590"/>
      <c r="T256" s="1590"/>
      <c r="U256" s="1590"/>
      <c r="V256" s="1590"/>
      <c r="W256" s="1590"/>
      <c r="X256" s="1590"/>
      <c r="Y256" s="1590"/>
      <c r="Z256" s="1590"/>
      <c r="AA256" s="1551"/>
      <c r="AB256" s="1551"/>
      <c r="AC256" s="1551"/>
      <c r="AD256" s="1551"/>
      <c r="AE256" s="1551"/>
      <c r="AF256" s="1551"/>
      <c r="AG256" s="1551"/>
      <c r="AH256" s="1551"/>
      <c r="AI256" s="1551"/>
      <c r="AJ256" s="1551"/>
      <c r="AK256" s="1551"/>
      <c r="AL256" s="1551"/>
      <c r="AM256" s="1551"/>
      <c r="AN256" s="1551"/>
      <c r="AO256" s="1551"/>
      <c r="AP256" s="1551"/>
      <c r="AQ256" s="1551"/>
      <c r="AR256" s="1551"/>
      <c r="AS256" s="1551"/>
      <c r="AT256" s="1551"/>
      <c r="AU256" s="1551"/>
      <c r="AV256" s="1551"/>
      <c r="AW256" s="1551"/>
      <c r="AX256" s="1551"/>
      <c r="AY256" s="1552"/>
      <c r="AZ256" s="1552"/>
      <c r="BA256" s="1552"/>
    </row>
    <row r="257" spans="2:55" ht="14.4" x14ac:dyDescent="0.3">
      <c r="B257" s="1554" t="s">
        <v>1255</v>
      </c>
      <c r="C257" s="1555"/>
      <c r="D257" s="1555"/>
      <c r="E257" s="1555"/>
      <c r="F257" s="1555"/>
      <c r="G257" s="1555"/>
      <c r="H257" s="1556"/>
      <c r="I257" s="1556"/>
      <c r="J257" s="1556"/>
      <c r="K257" s="1556"/>
      <c r="L257" s="1556"/>
      <c r="M257" s="1555"/>
      <c r="N257" s="1557"/>
      <c r="O257" s="1557"/>
      <c r="P257" s="1586">
        <f>SUM(P245:P255)</f>
        <v>0</v>
      </c>
      <c r="Q257" s="1551">
        <f t="shared" ref="Q257:Z257" si="155">SUM(Q245:Q255)</f>
        <v>0</v>
      </c>
      <c r="R257" s="1551">
        <f t="shared" si="155"/>
        <v>0</v>
      </c>
      <c r="S257" s="1551">
        <f t="shared" si="155"/>
        <v>0</v>
      </c>
      <c r="T257" s="1551">
        <f t="shared" si="155"/>
        <v>0</v>
      </c>
      <c r="U257" s="1551">
        <f t="shared" si="155"/>
        <v>0</v>
      </c>
      <c r="V257" s="1551">
        <f t="shared" si="155"/>
        <v>0</v>
      </c>
      <c r="W257" s="1551">
        <f t="shared" si="155"/>
        <v>0</v>
      </c>
      <c r="X257" s="1551">
        <f t="shared" si="155"/>
        <v>0</v>
      </c>
      <c r="Y257" s="1551">
        <f t="shared" si="155"/>
        <v>0</v>
      </c>
      <c r="Z257" s="1551">
        <f t="shared" si="155"/>
        <v>0</v>
      </c>
      <c r="AA257" s="1551"/>
      <c r="AB257" s="1551"/>
      <c r="AC257" s="1551"/>
      <c r="AD257" s="1551"/>
      <c r="AE257" s="1551"/>
      <c r="AF257" s="1551"/>
      <c r="AG257" s="1551"/>
      <c r="AH257" s="1551"/>
      <c r="AI257" s="1551"/>
      <c r="AJ257" s="1551"/>
      <c r="AK257" s="1551"/>
      <c r="AL257" s="1551"/>
      <c r="AM257" s="1551"/>
      <c r="AN257" s="1551"/>
      <c r="AO257" s="1551"/>
      <c r="AP257" s="1551"/>
      <c r="AQ257" s="1551"/>
      <c r="AR257" s="1551"/>
      <c r="AS257" s="1551"/>
      <c r="AT257" s="1551"/>
      <c r="AU257" s="1551"/>
      <c r="AV257" s="1551"/>
      <c r="AW257" s="1551"/>
      <c r="AX257" s="1552"/>
      <c r="AY257" s="1552"/>
      <c r="AZ257" s="1552"/>
      <c r="BA257" s="1552"/>
    </row>
    <row r="258" spans="2:55" x14ac:dyDescent="0.3">
      <c r="M258" s="1360"/>
      <c r="P258" s="1544"/>
    </row>
    <row r="259" spans="2:55" x14ac:dyDescent="0.3">
      <c r="M259" s="1360"/>
      <c r="P259" s="1544"/>
    </row>
    <row r="260" spans="2:55" x14ac:dyDescent="0.3">
      <c r="B260" s="1430" t="s">
        <v>1566</v>
      </c>
      <c r="M260" s="1360"/>
      <c r="N260" s="1547"/>
      <c r="P260" s="1585" t="s">
        <v>1592</v>
      </c>
      <c r="Q260" s="1547">
        <f>F222</f>
        <v>32</v>
      </c>
      <c r="R260" s="1547">
        <f>Q260</f>
        <v>32</v>
      </c>
      <c r="S260" s="1547">
        <f t="shared" ref="S260:Z260" si="156">R260</f>
        <v>32</v>
      </c>
      <c r="T260" s="1547">
        <f t="shared" si="156"/>
        <v>32</v>
      </c>
      <c r="U260" s="1547">
        <f t="shared" si="156"/>
        <v>32</v>
      </c>
      <c r="V260" s="1547">
        <f t="shared" si="156"/>
        <v>32</v>
      </c>
      <c r="W260" s="1547">
        <f t="shared" si="156"/>
        <v>32</v>
      </c>
      <c r="X260" s="1547">
        <f t="shared" si="156"/>
        <v>32</v>
      </c>
      <c r="Y260" s="1547">
        <f t="shared" si="156"/>
        <v>32</v>
      </c>
      <c r="Z260" s="1547">
        <f t="shared" si="156"/>
        <v>32</v>
      </c>
      <c r="AA260" s="1547"/>
      <c r="AB260" s="1547"/>
      <c r="AC260" s="1547"/>
      <c r="AD260" s="1547"/>
      <c r="AE260" s="1547"/>
      <c r="AF260" s="1547"/>
      <c r="AG260" s="1547"/>
      <c r="AH260" s="1547"/>
      <c r="AI260" s="1547"/>
      <c r="AJ260" s="1547"/>
      <c r="AK260" s="1547"/>
      <c r="AL260" s="1547"/>
      <c r="AM260" s="1547"/>
      <c r="AN260" s="1547"/>
      <c r="AO260" s="1547"/>
      <c r="AP260" s="1547"/>
      <c r="AQ260" s="1547"/>
      <c r="AR260" s="1547"/>
      <c r="AS260" s="1547"/>
      <c r="AT260" s="1547"/>
      <c r="AU260" s="1547"/>
      <c r="AV260" s="1547"/>
      <c r="AW260" s="1547"/>
      <c r="AX260" s="1547"/>
      <c r="AY260" s="1547"/>
      <c r="AZ260" s="1547"/>
      <c r="BA260" s="1547"/>
    </row>
    <row r="261" spans="2:55" ht="14.4" x14ac:dyDescent="0.3">
      <c r="B261" s="1548" t="str">
        <f>"TS cũ cuối năm "&amp;YEAR($P$3)</f>
        <v>TS cũ cuối năm 2021</v>
      </c>
      <c r="M261" s="1549"/>
      <c r="N261" s="1549"/>
      <c r="O261" s="1549"/>
      <c r="P261" s="1550">
        <f>P104</f>
        <v>2.2721013929999998</v>
      </c>
      <c r="Q261" s="1551">
        <f>MIN(P261,P110)</f>
        <v>2.2721013929999998</v>
      </c>
      <c r="R261" s="1551">
        <f>MIN(Q261,Q110)</f>
        <v>2.2721013929999998</v>
      </c>
      <c r="S261" s="1551">
        <f t="shared" ref="S261:Z261" si="157">MIN(R261,R110)</f>
        <v>2.2721013929999998</v>
      </c>
      <c r="T261" s="1551">
        <f t="shared" si="157"/>
        <v>2.2721013929999998</v>
      </c>
      <c r="U261" s="1551">
        <f t="shared" si="157"/>
        <v>2.2721013929999998</v>
      </c>
      <c r="V261" s="1551">
        <f t="shared" si="157"/>
        <v>2.2721013929999998</v>
      </c>
      <c r="W261" s="1551">
        <f t="shared" si="157"/>
        <v>2.2721013929999998</v>
      </c>
      <c r="X261" s="1551">
        <f t="shared" si="157"/>
        <v>2.2721013929999998</v>
      </c>
      <c r="Y261" s="1551">
        <f t="shared" si="157"/>
        <v>2.2721013929999998</v>
      </c>
      <c r="Z261" s="1551">
        <f t="shared" si="157"/>
        <v>2.2721013929999998</v>
      </c>
      <c r="AA261" s="1551"/>
      <c r="AB261" s="1551"/>
      <c r="AC261" s="1551"/>
      <c r="AD261" s="1551"/>
      <c r="AE261" s="1551"/>
      <c r="AF261" s="1551"/>
      <c r="AG261" s="1551"/>
      <c r="AH261" s="1551"/>
      <c r="AI261" s="1551"/>
      <c r="AJ261" s="1551"/>
      <c r="AK261" s="1551"/>
      <c r="AL261" s="1551"/>
      <c r="AM261" s="1551"/>
      <c r="AN261" s="1551"/>
      <c r="AO261" s="1551"/>
      <c r="AP261" s="1551"/>
      <c r="AQ261" s="1551"/>
      <c r="AR261" s="1551"/>
      <c r="AS261" s="1552"/>
      <c r="AT261" s="1552"/>
      <c r="AU261" s="1552"/>
      <c r="AV261" s="1552"/>
      <c r="AW261" s="1552"/>
      <c r="AX261" s="1552"/>
      <c r="AY261" s="1552"/>
      <c r="AZ261" s="1552"/>
      <c r="BA261" s="1552"/>
    </row>
    <row r="262" spans="2:55" ht="14.4" x14ac:dyDescent="0.3">
      <c r="B262" s="1548" t="str">
        <f>"TS mới tăng thêm năm "&amp;YEAR($P$3)+1</f>
        <v>TS mới tăng thêm năm 2022</v>
      </c>
      <c r="M262" s="1549"/>
      <c r="N262" s="1549"/>
      <c r="O262" s="1549"/>
      <c r="P262" s="1553"/>
      <c r="Q262" s="1551">
        <f>(Q94+Q95)/Q260</f>
        <v>0.75190386757850947</v>
      </c>
      <c r="R262" s="1551">
        <f>MIN(Q262,Q111)</f>
        <v>0.75190386757850947</v>
      </c>
      <c r="S262" s="1551">
        <f t="shared" ref="S262:Z262" si="158">MIN(R262,R111)</f>
        <v>0.75190386757850947</v>
      </c>
      <c r="T262" s="1551">
        <f t="shared" si="158"/>
        <v>0.75190386757850947</v>
      </c>
      <c r="U262" s="1551">
        <f t="shared" si="158"/>
        <v>0.75190386757850947</v>
      </c>
      <c r="V262" s="1551">
        <f t="shared" si="158"/>
        <v>0.75190386757850947</v>
      </c>
      <c r="W262" s="1551">
        <f t="shared" si="158"/>
        <v>0.75190386757850947</v>
      </c>
      <c r="X262" s="1551">
        <f t="shared" si="158"/>
        <v>0.75190386757850947</v>
      </c>
      <c r="Y262" s="1551">
        <f t="shared" si="158"/>
        <v>0.75190386757850947</v>
      </c>
      <c r="Z262" s="1551">
        <f t="shared" si="158"/>
        <v>0.75190386757850947</v>
      </c>
      <c r="AA262" s="1551"/>
      <c r="AB262" s="1551"/>
      <c r="AC262" s="1551"/>
      <c r="AD262" s="1551"/>
      <c r="AE262" s="1551"/>
      <c r="AF262" s="1551"/>
      <c r="AG262" s="1551"/>
      <c r="AH262" s="1551"/>
      <c r="AI262" s="1551"/>
      <c r="AJ262" s="1551"/>
      <c r="AK262" s="1551"/>
      <c r="AL262" s="1551"/>
      <c r="AM262" s="1551"/>
      <c r="AN262" s="1551"/>
      <c r="AO262" s="1551"/>
      <c r="AP262" s="1551"/>
      <c r="AQ262" s="1551"/>
      <c r="AR262" s="1551"/>
      <c r="AS262" s="1551"/>
      <c r="AT262" s="1551"/>
      <c r="AU262" s="1551"/>
      <c r="AV262" s="1551"/>
      <c r="AW262" s="1551"/>
      <c r="AX262" s="1551"/>
      <c r="AY262" s="1551"/>
      <c r="AZ262" s="1551"/>
      <c r="BA262" s="1551"/>
    </row>
    <row r="263" spans="2:55" ht="14.4" x14ac:dyDescent="0.3">
      <c r="B263" s="1548" t="str">
        <f>"TS mới tăng thêm năm "&amp;YEAR($P$3)+2</f>
        <v>TS mới tăng thêm năm 2023</v>
      </c>
      <c r="M263" s="1549"/>
      <c r="N263" s="1549"/>
      <c r="O263" s="1549"/>
      <c r="P263" s="1553"/>
      <c r="Q263" s="1552"/>
      <c r="R263" s="1551">
        <f>(R94+R95)/R260</f>
        <v>0.59120285335592015</v>
      </c>
      <c r="S263" s="1551">
        <f>MIN(R263,R112)</f>
        <v>0.59120285335592015</v>
      </c>
      <c r="T263" s="1551">
        <f t="shared" ref="T263:Z263" si="159">MIN(S263,S112)</f>
        <v>0.59120285335592015</v>
      </c>
      <c r="U263" s="1551">
        <f t="shared" si="159"/>
        <v>0.59120285335592015</v>
      </c>
      <c r="V263" s="1551">
        <f t="shared" si="159"/>
        <v>0.59120285335592015</v>
      </c>
      <c r="W263" s="1551">
        <f t="shared" si="159"/>
        <v>0.59120285335592015</v>
      </c>
      <c r="X263" s="1551">
        <f t="shared" si="159"/>
        <v>0.59120285335592015</v>
      </c>
      <c r="Y263" s="1551">
        <f t="shared" si="159"/>
        <v>0.59120285335592015</v>
      </c>
      <c r="Z263" s="1551">
        <f t="shared" si="159"/>
        <v>0.59120285335592015</v>
      </c>
      <c r="AA263" s="1551"/>
      <c r="AB263" s="1551"/>
      <c r="AC263" s="1551"/>
      <c r="AD263" s="1551"/>
      <c r="AE263" s="1551"/>
      <c r="AF263" s="1551"/>
      <c r="AG263" s="1551"/>
      <c r="AH263" s="1551"/>
      <c r="AI263" s="1551"/>
      <c r="AJ263" s="1551"/>
      <c r="AK263" s="1551"/>
      <c r="AL263" s="1551"/>
      <c r="AM263" s="1551"/>
      <c r="AN263" s="1551"/>
      <c r="AO263" s="1551"/>
      <c r="AP263" s="1551"/>
      <c r="AQ263" s="1551"/>
      <c r="AR263" s="1551"/>
      <c r="AS263" s="1551"/>
      <c r="AT263" s="1551"/>
      <c r="AU263" s="1551"/>
      <c r="AV263" s="1551"/>
      <c r="AW263" s="1551"/>
      <c r="AX263" s="1551"/>
      <c r="AY263" s="1552"/>
      <c r="AZ263" s="1552"/>
      <c r="BA263" s="1552"/>
    </row>
    <row r="264" spans="2:55" ht="14.4" x14ac:dyDescent="0.3">
      <c r="B264" s="1548" t="str">
        <f>"TS mới tăng thêm năm "&amp;YEAR($P$3)+3</f>
        <v>TS mới tăng thêm năm 2024</v>
      </c>
      <c r="M264" s="1549"/>
      <c r="N264" s="1549"/>
      <c r="O264" s="1549"/>
      <c r="P264" s="1553"/>
      <c r="Q264" s="1552"/>
      <c r="R264" s="1552"/>
      <c r="S264" s="1551">
        <f>(S94+S95)/S260</f>
        <v>0.13250471755075902</v>
      </c>
      <c r="T264" s="1551">
        <f>MIN(S264,S113)</f>
        <v>0.13250471755075902</v>
      </c>
      <c r="U264" s="1551">
        <f t="shared" ref="U264:Z264" si="160">MIN(T264,T113)</f>
        <v>0.13250471755075902</v>
      </c>
      <c r="V264" s="1551">
        <f t="shared" si="160"/>
        <v>0.13250471755075902</v>
      </c>
      <c r="W264" s="1551">
        <f t="shared" si="160"/>
        <v>0.13250471755075902</v>
      </c>
      <c r="X264" s="1551">
        <f t="shared" si="160"/>
        <v>0.13250471755075902</v>
      </c>
      <c r="Y264" s="1551">
        <f t="shared" si="160"/>
        <v>0.13250471755075902</v>
      </c>
      <c r="Z264" s="1551">
        <f t="shared" si="160"/>
        <v>0.13250471755075902</v>
      </c>
      <c r="AA264" s="1551"/>
      <c r="AB264" s="1551"/>
      <c r="AC264" s="1551"/>
      <c r="AD264" s="1551"/>
      <c r="AE264" s="1551"/>
      <c r="AF264" s="1551"/>
      <c r="AG264" s="1551"/>
      <c r="AH264" s="1551"/>
      <c r="AI264" s="1551"/>
      <c r="AJ264" s="1551"/>
      <c r="AK264" s="1551"/>
      <c r="AL264" s="1551"/>
      <c r="AM264" s="1551"/>
      <c r="AN264" s="1551"/>
      <c r="AO264" s="1551"/>
      <c r="AP264" s="1551"/>
      <c r="AQ264" s="1551"/>
      <c r="AR264" s="1551"/>
      <c r="AS264" s="1551"/>
      <c r="AT264" s="1551"/>
      <c r="AU264" s="1551"/>
      <c r="AV264" s="1551"/>
      <c r="AW264" s="1551"/>
      <c r="AX264" s="1551"/>
      <c r="AY264" s="1551"/>
      <c r="AZ264" s="1551"/>
      <c r="BA264" s="1551"/>
    </row>
    <row r="265" spans="2:55" ht="14.4" x14ac:dyDescent="0.3">
      <c r="B265" s="1548" t="str">
        <f>"TS mới tăng thêm năm "&amp;YEAR($P$3)+4</f>
        <v>TS mới tăng thêm năm 2025</v>
      </c>
      <c r="M265" s="1549"/>
      <c r="N265" s="1549"/>
      <c r="O265" s="1549"/>
      <c r="P265" s="1553"/>
      <c r="Q265" s="1552"/>
      <c r="R265" s="1552"/>
      <c r="S265" s="1552"/>
      <c r="T265" s="1551">
        <f>(T94+T95)/T260</f>
        <v>0.14981258046634993</v>
      </c>
      <c r="U265" s="1551">
        <f>MIN(T265,T114)</f>
        <v>0.14981258046634993</v>
      </c>
      <c r="V265" s="1551">
        <f t="shared" ref="V265:Z265" si="161">MIN(U265,U114)</f>
        <v>0.14981258046634993</v>
      </c>
      <c r="W265" s="1551">
        <f t="shared" si="161"/>
        <v>0.14981258046634993</v>
      </c>
      <c r="X265" s="1551">
        <f t="shared" si="161"/>
        <v>0.14981258046634993</v>
      </c>
      <c r="Y265" s="1551">
        <f t="shared" si="161"/>
        <v>0.14981258046634993</v>
      </c>
      <c r="Z265" s="1551">
        <f t="shared" si="161"/>
        <v>0.14981258046634993</v>
      </c>
      <c r="AA265" s="1551"/>
      <c r="AB265" s="1551"/>
      <c r="AC265" s="1551"/>
      <c r="AD265" s="1551"/>
      <c r="AE265" s="1551"/>
      <c r="AF265" s="1551"/>
      <c r="AG265" s="1551"/>
      <c r="AH265" s="1551"/>
      <c r="AI265" s="1551"/>
      <c r="AJ265" s="1551"/>
      <c r="AK265" s="1551"/>
      <c r="AL265" s="1551"/>
      <c r="AM265" s="1551"/>
      <c r="AN265" s="1551"/>
      <c r="AO265" s="1551"/>
      <c r="AP265" s="1551"/>
      <c r="AQ265" s="1551"/>
      <c r="AR265" s="1551"/>
      <c r="AS265" s="1551"/>
      <c r="AT265" s="1551"/>
      <c r="AU265" s="1551"/>
      <c r="AV265" s="1551"/>
      <c r="AW265" s="1551"/>
      <c r="AX265" s="1551"/>
      <c r="AY265" s="1551"/>
      <c r="AZ265" s="1551"/>
      <c r="BA265" s="1551"/>
    </row>
    <row r="266" spans="2:55" ht="25.2" customHeight="1" x14ac:dyDescent="0.3">
      <c r="B266" s="1548" t="str">
        <f>"TS mới tăng thêm năm "&amp;YEAR($P$3)+5</f>
        <v>TS mới tăng thêm năm 2026</v>
      </c>
      <c r="M266" s="1549"/>
      <c r="N266" s="1549"/>
      <c r="O266" s="1549"/>
      <c r="P266" s="1553"/>
      <c r="Q266" s="1552"/>
      <c r="R266" s="1552"/>
      <c r="S266" s="1552"/>
      <c r="T266" s="1552"/>
      <c r="U266" s="1551">
        <f>(U94+U95)/12</f>
        <v>0.40744219053660352</v>
      </c>
      <c r="V266" s="1551">
        <f>MIN(U266,U115)</f>
        <v>0.40744219053660352</v>
      </c>
      <c r="W266" s="1551">
        <f t="shared" ref="W266:Z266" si="162">MIN(V266,V115)</f>
        <v>0.40744219053660352</v>
      </c>
      <c r="X266" s="1551">
        <f t="shared" si="162"/>
        <v>0.40744219053660352</v>
      </c>
      <c r="Y266" s="1551">
        <f t="shared" si="162"/>
        <v>0.40744219053660352</v>
      </c>
      <c r="Z266" s="1551">
        <f t="shared" si="162"/>
        <v>0.40744219053660352</v>
      </c>
      <c r="AA266" s="1551"/>
      <c r="AB266" s="1551"/>
      <c r="AC266" s="1551"/>
      <c r="AD266" s="1551"/>
      <c r="AE266" s="1551"/>
      <c r="AF266" s="1551"/>
      <c r="AG266" s="1551"/>
      <c r="AH266" s="1551"/>
      <c r="AI266" s="1551"/>
      <c r="AJ266" s="1551"/>
      <c r="AK266" s="1551"/>
      <c r="AL266" s="1551"/>
      <c r="AM266" s="1551"/>
      <c r="AN266" s="1551"/>
      <c r="AO266" s="1551"/>
      <c r="AP266" s="1551"/>
      <c r="AQ266" s="1551"/>
      <c r="AR266" s="1551"/>
      <c r="AS266" s="1551"/>
      <c r="AT266" s="1551"/>
      <c r="AU266" s="1551"/>
      <c r="AV266" s="1551"/>
      <c r="AW266" s="1551"/>
      <c r="AX266" s="1551"/>
      <c r="AY266" s="1551"/>
      <c r="AZ266" s="1551"/>
      <c r="BA266" s="1551"/>
    </row>
    <row r="267" spans="2:55" ht="27" customHeight="1" x14ac:dyDescent="0.3">
      <c r="B267" s="1548" t="str">
        <f>"TS mới tăng thêm năm "&amp;YEAR($P$3)+6</f>
        <v>TS mới tăng thêm năm 2027</v>
      </c>
      <c r="M267" s="1549"/>
      <c r="N267" s="1549"/>
      <c r="O267" s="1549"/>
      <c r="P267" s="1553"/>
      <c r="Q267" s="1552"/>
      <c r="R267" s="1552"/>
      <c r="S267" s="1552"/>
      <c r="T267" s="1552"/>
      <c r="U267" s="1552"/>
      <c r="V267" s="1551">
        <f>(V94+V95)/V260</f>
        <v>0.16436086008102815</v>
      </c>
      <c r="W267" s="1551">
        <f>MIN(V267,V116)</f>
        <v>0.16436086008102815</v>
      </c>
      <c r="X267" s="1551">
        <f t="shared" ref="X267:Z267" si="163">MIN(W267,W116)</f>
        <v>0.16436086008102815</v>
      </c>
      <c r="Y267" s="1551">
        <f t="shared" si="163"/>
        <v>0.16436086008102815</v>
      </c>
      <c r="Z267" s="1551">
        <f t="shared" si="163"/>
        <v>0.16436086008102815</v>
      </c>
      <c r="AA267" s="1551"/>
      <c r="AB267" s="1551"/>
      <c r="AC267" s="1551"/>
      <c r="AD267" s="1551"/>
      <c r="AE267" s="1551"/>
      <c r="AF267" s="1551"/>
      <c r="AG267" s="1551"/>
      <c r="AH267" s="1551"/>
      <c r="AI267" s="1551"/>
      <c r="AJ267" s="1551"/>
      <c r="AK267" s="1551"/>
      <c r="AL267" s="1551"/>
      <c r="AM267" s="1551"/>
      <c r="AN267" s="1551"/>
      <c r="AO267" s="1551"/>
      <c r="AP267" s="1551"/>
      <c r="AQ267" s="1551"/>
      <c r="AR267" s="1551"/>
      <c r="AS267" s="1551"/>
      <c r="AT267" s="1551"/>
      <c r="AU267" s="1551"/>
      <c r="AV267" s="1551"/>
      <c r="AW267" s="1551"/>
      <c r="AX267" s="1551"/>
      <c r="AY267" s="1551"/>
      <c r="AZ267" s="1551"/>
      <c r="BA267" s="1551"/>
    </row>
    <row r="268" spans="2:55" ht="28.2" customHeight="1" x14ac:dyDescent="0.3">
      <c r="B268" s="1548" t="str">
        <f>"TS mới tăng thêm năm "&amp;YEAR($P$3)+7</f>
        <v>TS mới tăng thêm năm 2028</v>
      </c>
      <c r="M268" s="1549"/>
      <c r="N268" s="1549"/>
      <c r="O268" s="1549"/>
      <c r="P268" s="1553"/>
      <c r="Q268" s="1552"/>
      <c r="R268" s="1552"/>
      <c r="S268" s="1552"/>
      <c r="T268" s="1552"/>
      <c r="U268" s="1552"/>
      <c r="V268" s="1552"/>
      <c r="W268" s="1551">
        <f>(W94+W95)/W260</f>
        <v>0.17939634396350648</v>
      </c>
      <c r="X268" s="1551">
        <f>MIN(W268,W117)</f>
        <v>0.17939634396350648</v>
      </c>
      <c r="Y268" s="1551">
        <f t="shared" ref="Y268:Z268" si="164">MIN(X268,X117)</f>
        <v>0.17939634396350648</v>
      </c>
      <c r="Z268" s="1551">
        <f t="shared" si="164"/>
        <v>0.17939634396350648</v>
      </c>
      <c r="AA268" s="1551"/>
      <c r="AB268" s="1551"/>
      <c r="AC268" s="1551"/>
      <c r="AD268" s="1551"/>
      <c r="AE268" s="1551"/>
      <c r="AF268" s="1551"/>
      <c r="AG268" s="1551"/>
      <c r="AH268" s="1551"/>
      <c r="AI268" s="1551"/>
      <c r="AJ268" s="1551"/>
      <c r="AK268" s="1551"/>
      <c r="AL268" s="1551"/>
      <c r="AM268" s="1551"/>
      <c r="AN268" s="1551"/>
      <c r="AO268" s="1551"/>
      <c r="AP268" s="1551"/>
      <c r="AQ268" s="1551"/>
      <c r="AR268" s="1551"/>
      <c r="AS268" s="1551"/>
      <c r="AT268" s="1551"/>
      <c r="AU268" s="1551"/>
      <c r="AV268" s="1551"/>
      <c r="AW268" s="1551"/>
      <c r="AX268" s="1551"/>
      <c r="AY268" s="1551"/>
      <c r="AZ268" s="1551"/>
      <c r="BA268" s="1551"/>
    </row>
    <row r="269" spans="2:55" ht="30.6" customHeight="1" x14ac:dyDescent="0.3">
      <c r="B269" s="1548" t="str">
        <f>"TS mới tăng thêm năm "&amp;YEAR($P$3)+8</f>
        <v>TS mới tăng thêm năm 2029</v>
      </c>
      <c r="M269" s="1549"/>
      <c r="N269" s="1549"/>
      <c r="O269" s="1549"/>
      <c r="P269" s="1553"/>
      <c r="Q269" s="1552"/>
      <c r="R269" s="1552"/>
      <c r="S269" s="1552"/>
      <c r="T269" s="1552"/>
      <c r="U269" s="1552"/>
      <c r="V269" s="1552"/>
      <c r="W269" s="1552"/>
      <c r="X269" s="1551">
        <f>(X94+X95)/X260</f>
        <v>0.15553602028197483</v>
      </c>
      <c r="Y269" s="1551">
        <f>MIN(X269,X118)</f>
        <v>0.15553602028197483</v>
      </c>
      <c r="Z269" s="1551">
        <f>MIN(Y269,Y118)</f>
        <v>0.15553602028197483</v>
      </c>
      <c r="AA269" s="1551"/>
      <c r="AB269" s="1551"/>
      <c r="AC269" s="1551"/>
      <c r="AD269" s="1551"/>
      <c r="AE269" s="1551"/>
      <c r="AF269" s="1551"/>
      <c r="AG269" s="1551"/>
      <c r="AH269" s="1551"/>
      <c r="AI269" s="1551"/>
      <c r="AJ269" s="1551"/>
      <c r="AK269" s="1551"/>
      <c r="AL269" s="1551"/>
      <c r="AM269" s="1551"/>
      <c r="AN269" s="1551"/>
      <c r="AO269" s="1551"/>
      <c r="AP269" s="1551"/>
      <c r="AQ269" s="1551"/>
      <c r="AR269" s="1551"/>
      <c r="AS269" s="1551"/>
      <c r="AT269" s="1551"/>
      <c r="AU269" s="1551"/>
      <c r="AV269" s="1551"/>
      <c r="AW269" s="1551"/>
      <c r="AX269" s="1551"/>
      <c r="AY269" s="1551"/>
      <c r="AZ269" s="1551"/>
      <c r="BA269" s="1551"/>
    </row>
    <row r="270" spans="2:55" ht="32.4" customHeight="1" x14ac:dyDescent="0.3">
      <c r="B270" s="1548" t="str">
        <f>"TS mới tăng thêm năm "&amp;YEAR($P$3)+9</f>
        <v>TS mới tăng thêm năm 2030</v>
      </c>
      <c r="M270" s="1549"/>
      <c r="N270" s="1549"/>
      <c r="O270" s="1549"/>
      <c r="P270" s="1553"/>
      <c r="Q270" s="1552"/>
      <c r="R270" s="1552"/>
      <c r="S270" s="1552"/>
      <c r="T270" s="1552"/>
      <c r="U270" s="1552"/>
      <c r="V270" s="1552"/>
      <c r="W270" s="1552"/>
      <c r="X270" s="1552"/>
      <c r="Y270" s="1551">
        <f>(Y94+Y95)/Y260</f>
        <v>0.162121980452304</v>
      </c>
      <c r="Z270" s="1551">
        <f>MIN(Y270,Y119)</f>
        <v>0.162121980452304</v>
      </c>
      <c r="AA270" s="1551"/>
      <c r="AB270" s="1551"/>
      <c r="AC270" s="1551"/>
      <c r="AD270" s="1551"/>
      <c r="AE270" s="1551"/>
      <c r="AF270" s="1551"/>
      <c r="AG270" s="1551"/>
      <c r="AH270" s="1551"/>
      <c r="AI270" s="1551"/>
      <c r="AJ270" s="1551"/>
      <c r="AK270" s="1551"/>
      <c r="AL270" s="1551"/>
      <c r="AM270" s="1551"/>
      <c r="AN270" s="1551"/>
      <c r="AO270" s="1551"/>
      <c r="AP270" s="1551"/>
      <c r="AQ270" s="1551"/>
      <c r="AR270" s="1551"/>
      <c r="AS270" s="1551"/>
      <c r="AT270" s="1551"/>
      <c r="AU270" s="1551"/>
      <c r="AV270" s="1551"/>
      <c r="AW270" s="1551"/>
      <c r="AX270" s="1551"/>
      <c r="AY270" s="1551"/>
      <c r="AZ270" s="1551"/>
      <c r="BA270" s="1551"/>
    </row>
    <row r="271" spans="2:55" ht="30.6" customHeight="1" x14ac:dyDescent="0.3">
      <c r="B271" s="1548" t="str">
        <f>"TS mới tăng thêm năm "&amp;YEAR($P$3)+10</f>
        <v>TS mới tăng thêm năm 2031</v>
      </c>
      <c r="M271" s="1549"/>
      <c r="N271" s="1549"/>
      <c r="O271" s="1549"/>
      <c r="P271" s="1553"/>
      <c r="Q271" s="1552"/>
      <c r="R271" s="1552"/>
      <c r="S271" s="1552"/>
      <c r="T271" s="1552"/>
      <c r="U271" s="1552"/>
      <c r="V271" s="1552"/>
      <c r="W271" s="1552"/>
      <c r="X271" s="1552"/>
      <c r="Y271" s="1552"/>
      <c r="Z271" s="1551">
        <f>(Z94+Z95)/Z260</f>
        <v>0.16931067635246486</v>
      </c>
      <c r="AA271" s="1551"/>
      <c r="AB271" s="1551"/>
      <c r="AC271" s="1551"/>
      <c r="AD271" s="1551"/>
      <c r="AE271" s="1551"/>
      <c r="AF271" s="1551"/>
      <c r="AG271" s="1551"/>
      <c r="AH271" s="1551"/>
      <c r="AI271" s="1551"/>
      <c r="AJ271" s="1551"/>
      <c r="AK271" s="1551"/>
      <c r="AL271" s="1551"/>
      <c r="AM271" s="1551"/>
      <c r="AN271" s="1551"/>
      <c r="AO271" s="1551"/>
      <c r="AP271" s="1551"/>
      <c r="AQ271" s="1551"/>
      <c r="AR271" s="1551"/>
      <c r="AS271" s="1551"/>
      <c r="AT271" s="1551"/>
      <c r="AU271" s="1551"/>
      <c r="AV271" s="1551"/>
      <c r="AW271" s="1551"/>
      <c r="AX271" s="1551"/>
      <c r="AY271" s="1551"/>
      <c r="AZ271" s="1551"/>
      <c r="BA271" s="1551"/>
      <c r="BB271" s="1564"/>
      <c r="BC271" s="1565"/>
    </row>
    <row r="272" spans="2:55" ht="28.2" customHeight="1" x14ac:dyDescent="0.3">
      <c r="B272" s="1548" t="str">
        <f>"TS mới tăng thêm năm "&amp;YEAR($P$3)+11</f>
        <v>TS mới tăng thêm năm 2032</v>
      </c>
      <c r="M272" s="1549"/>
      <c r="N272" s="1549"/>
      <c r="O272" s="1549"/>
      <c r="P272" s="1589"/>
      <c r="Q272" s="1590"/>
      <c r="R272" s="1590"/>
      <c r="S272" s="1590"/>
      <c r="T272" s="1590"/>
      <c r="U272" s="1590"/>
      <c r="V272" s="1590"/>
      <c r="W272" s="1590"/>
      <c r="X272" s="1590"/>
      <c r="Y272" s="1590"/>
      <c r="Z272" s="1590"/>
      <c r="AA272" s="1551"/>
      <c r="AB272" s="1551"/>
      <c r="AC272" s="1551"/>
      <c r="AD272" s="1551"/>
      <c r="AE272" s="1551"/>
      <c r="AF272" s="1551"/>
      <c r="AG272" s="1551"/>
      <c r="AH272" s="1551"/>
      <c r="AI272" s="1551"/>
      <c r="AJ272" s="1551"/>
      <c r="AK272" s="1551"/>
      <c r="AL272" s="1551"/>
      <c r="AM272" s="1551"/>
      <c r="AN272" s="1551"/>
      <c r="AO272" s="1551"/>
      <c r="AP272" s="1551"/>
      <c r="AQ272" s="1551"/>
      <c r="AR272" s="1551"/>
      <c r="AS272" s="1551"/>
      <c r="AT272" s="1551"/>
      <c r="AU272" s="1551"/>
      <c r="AV272" s="1551"/>
      <c r="AW272" s="1551"/>
      <c r="AX272" s="1551"/>
      <c r="AY272" s="1551"/>
      <c r="AZ272" s="1551"/>
      <c r="BA272" s="1551"/>
      <c r="BB272" s="1565"/>
      <c r="BC272" s="1565"/>
    </row>
    <row r="273" spans="2:55" ht="14.4" x14ac:dyDescent="0.3">
      <c r="B273" s="1554" t="s">
        <v>1255</v>
      </c>
      <c r="C273" s="1555"/>
      <c r="D273" s="1555"/>
      <c r="E273" s="1555"/>
      <c r="F273" s="1555"/>
      <c r="G273" s="1555"/>
      <c r="H273" s="1556"/>
      <c r="I273" s="1556"/>
      <c r="J273" s="1556"/>
      <c r="K273" s="1556"/>
      <c r="L273" s="1556"/>
      <c r="M273" s="1555"/>
      <c r="N273" s="1555"/>
      <c r="O273" s="1555"/>
      <c r="P273" s="1588">
        <f>SUM(P261:P271)</f>
        <v>2.2721013929999998</v>
      </c>
      <c r="Q273" s="1563">
        <f t="shared" ref="Q273:Z273" si="165">SUM(Q261:Q271)</f>
        <v>3.0240052605785093</v>
      </c>
      <c r="R273" s="1563">
        <f t="shared" si="165"/>
        <v>3.6152081139344294</v>
      </c>
      <c r="S273" s="1563">
        <f t="shared" si="165"/>
        <v>3.7477128314851886</v>
      </c>
      <c r="T273" s="1563">
        <f t="shared" si="165"/>
        <v>3.8975254119515386</v>
      </c>
      <c r="U273" s="1563">
        <f t="shared" si="165"/>
        <v>4.3049676024881425</v>
      </c>
      <c r="V273" s="1563">
        <f t="shared" si="165"/>
        <v>4.4693284625691705</v>
      </c>
      <c r="W273" s="1563">
        <f t="shared" si="165"/>
        <v>4.6487248065326767</v>
      </c>
      <c r="X273" s="1563">
        <f t="shared" si="165"/>
        <v>4.8042608268146516</v>
      </c>
      <c r="Y273" s="1563">
        <f t="shared" si="165"/>
        <v>4.9663828072669558</v>
      </c>
      <c r="Z273" s="1563">
        <f t="shared" si="165"/>
        <v>5.1356934836194208</v>
      </c>
      <c r="AA273" s="1562"/>
      <c r="AB273" s="1562"/>
      <c r="AC273" s="1562"/>
      <c r="AD273" s="1562"/>
      <c r="AE273" s="1562"/>
      <c r="AF273" s="1562"/>
      <c r="AG273" s="1562"/>
      <c r="AH273" s="1562"/>
      <c r="AI273" s="1562"/>
      <c r="AJ273" s="1562"/>
      <c r="AK273" s="1562"/>
      <c r="AL273" s="1562"/>
      <c r="AM273" s="1562"/>
      <c r="AN273" s="1562"/>
      <c r="AO273" s="1562"/>
      <c r="AP273" s="1562"/>
      <c r="AQ273" s="1562"/>
      <c r="AR273" s="1562"/>
      <c r="AS273" s="1562"/>
      <c r="AT273" s="1562"/>
      <c r="AU273" s="1562"/>
      <c r="AV273" s="1562"/>
      <c r="AW273" s="1562"/>
      <c r="AX273" s="1562"/>
      <c r="AY273" s="1562"/>
      <c r="AZ273" s="1562"/>
      <c r="BA273" s="1562"/>
      <c r="BB273" s="1566"/>
      <c r="BC273" s="1565"/>
    </row>
    <row r="274" spans="2:55" x14ac:dyDescent="0.3">
      <c r="M274" s="1360"/>
      <c r="P274" s="1544"/>
      <c r="BB274" s="1565"/>
      <c r="BC274" s="1565"/>
    </row>
    <row r="275" spans="2:55" x14ac:dyDescent="0.3">
      <c r="M275" s="1360"/>
      <c r="P275" s="1544"/>
    </row>
    <row r="276" spans="2:55" x14ac:dyDescent="0.3">
      <c r="B276" s="1430" t="s">
        <v>1568</v>
      </c>
      <c r="M276" s="1360"/>
      <c r="N276" s="1547"/>
      <c r="O276" s="1547"/>
      <c r="P276" s="1585" t="s">
        <v>1592</v>
      </c>
      <c r="Q276" s="1547">
        <f>F223</f>
        <v>3</v>
      </c>
      <c r="R276" s="1547">
        <f>Q276</f>
        <v>3</v>
      </c>
      <c r="S276" s="1547">
        <f t="shared" ref="S276:Z276" si="166">R276</f>
        <v>3</v>
      </c>
      <c r="T276" s="1547">
        <f t="shared" si="166"/>
        <v>3</v>
      </c>
      <c r="U276" s="1547">
        <f t="shared" si="166"/>
        <v>3</v>
      </c>
      <c r="V276" s="1547">
        <f t="shared" si="166"/>
        <v>3</v>
      </c>
      <c r="W276" s="1547">
        <f t="shared" si="166"/>
        <v>3</v>
      </c>
      <c r="X276" s="1547">
        <f t="shared" si="166"/>
        <v>3</v>
      </c>
      <c r="Y276" s="1547">
        <f t="shared" si="166"/>
        <v>3</v>
      </c>
      <c r="Z276" s="1547">
        <f t="shared" si="166"/>
        <v>3</v>
      </c>
      <c r="AA276" s="1547"/>
      <c r="AB276" s="1547"/>
      <c r="AC276" s="1547"/>
      <c r="AD276" s="1547"/>
      <c r="AE276" s="1547"/>
      <c r="AF276" s="1547"/>
      <c r="AG276" s="1547"/>
      <c r="AH276" s="1547"/>
      <c r="AI276" s="1547"/>
      <c r="AJ276" s="1547"/>
      <c r="AK276" s="1547"/>
      <c r="AL276" s="1547"/>
      <c r="AM276" s="1547"/>
      <c r="AN276" s="1547"/>
      <c r="AO276" s="1547"/>
      <c r="AP276" s="1547"/>
      <c r="AQ276" s="1547"/>
      <c r="AR276" s="1547"/>
      <c r="AS276" s="1547"/>
      <c r="AT276" s="1547"/>
      <c r="AU276" s="1547"/>
      <c r="AV276" s="1547"/>
      <c r="AW276" s="1547"/>
      <c r="AX276" s="1547"/>
      <c r="AY276" s="1547"/>
      <c r="AZ276" s="1547"/>
      <c r="BA276" s="1547"/>
    </row>
    <row r="277" spans="2:55" ht="14.4" x14ac:dyDescent="0.3">
      <c r="B277" s="1548" t="str">
        <f>"TS cũ cuối năm "&amp;YEAR($P$3)</f>
        <v>TS cũ cuối năm 2021</v>
      </c>
      <c r="M277" s="1549"/>
      <c r="N277" s="1549"/>
      <c r="O277" s="1549"/>
      <c r="P277" s="1550">
        <f>P138</f>
        <v>0</v>
      </c>
      <c r="Q277" s="1551">
        <f>MIN(P277,P144)</f>
        <v>0</v>
      </c>
      <c r="R277" s="1551">
        <f>MIN(Q277,Q144)</f>
        <v>0</v>
      </c>
      <c r="S277" s="1551">
        <f t="shared" ref="S277:Z277" si="167">MIN(R277,R144)</f>
        <v>0</v>
      </c>
      <c r="T277" s="1551">
        <f t="shared" si="167"/>
        <v>0</v>
      </c>
      <c r="U277" s="1551">
        <f t="shared" si="167"/>
        <v>0</v>
      </c>
      <c r="V277" s="1551">
        <f t="shared" si="167"/>
        <v>0</v>
      </c>
      <c r="W277" s="1551">
        <f t="shared" si="167"/>
        <v>0</v>
      </c>
      <c r="X277" s="1551">
        <f t="shared" si="167"/>
        <v>0</v>
      </c>
      <c r="Y277" s="1551">
        <f t="shared" si="167"/>
        <v>0</v>
      </c>
      <c r="Z277" s="1551">
        <f t="shared" si="167"/>
        <v>0</v>
      </c>
      <c r="AA277" s="1551"/>
      <c r="AB277" s="1551"/>
      <c r="AC277" s="1551"/>
      <c r="AD277" s="1551"/>
      <c r="AE277" s="1551"/>
      <c r="AF277" s="1551"/>
      <c r="AG277" s="1551"/>
      <c r="AH277" s="1551"/>
      <c r="AI277" s="1551"/>
      <c r="AJ277" s="1551"/>
      <c r="AK277" s="1551"/>
      <c r="AL277" s="1551"/>
      <c r="AM277" s="1551"/>
      <c r="AN277" s="1551"/>
      <c r="AO277" s="1551"/>
      <c r="AP277" s="1551"/>
      <c r="AQ277" s="1551"/>
      <c r="AR277" s="1551"/>
      <c r="AS277" s="1551"/>
      <c r="AT277" s="1551"/>
      <c r="AU277" s="1552"/>
      <c r="AV277" s="1552"/>
      <c r="AW277" s="1552"/>
      <c r="AX277" s="1552"/>
      <c r="AY277" s="1552"/>
      <c r="AZ277" s="1552"/>
      <c r="BA277" s="1552"/>
    </row>
    <row r="278" spans="2:55" ht="14.4" x14ac:dyDescent="0.2">
      <c r="B278" s="1548" t="str">
        <f>"TS mới tăng thêm năm "&amp;YEAR($P$3)+1</f>
        <v>TS mới tăng thêm năm 2022</v>
      </c>
      <c r="F278" s="1559"/>
      <c r="M278" s="1549"/>
      <c r="N278" s="1549"/>
      <c r="O278" s="1549"/>
      <c r="P278" s="1553"/>
      <c r="Q278" s="1551">
        <f>(Q128+Q129)/Q276</f>
        <v>0</v>
      </c>
      <c r="R278" s="1551">
        <f>MIN(Q278,Q145)</f>
        <v>0</v>
      </c>
      <c r="S278" s="1551">
        <f t="shared" ref="S278:Z278" si="168">MIN(R278,R145)</f>
        <v>0</v>
      </c>
      <c r="T278" s="1551">
        <f t="shared" si="168"/>
        <v>0</v>
      </c>
      <c r="U278" s="1551">
        <f t="shared" si="168"/>
        <v>0</v>
      </c>
      <c r="V278" s="1551">
        <f t="shared" si="168"/>
        <v>0</v>
      </c>
      <c r="W278" s="1551">
        <f t="shared" si="168"/>
        <v>0</v>
      </c>
      <c r="X278" s="1551">
        <f t="shared" si="168"/>
        <v>0</v>
      </c>
      <c r="Y278" s="1551">
        <f t="shared" si="168"/>
        <v>0</v>
      </c>
      <c r="Z278" s="1551">
        <f t="shared" si="168"/>
        <v>0</v>
      </c>
      <c r="AA278" s="1551"/>
      <c r="AB278" s="1551"/>
      <c r="AC278" s="1551"/>
      <c r="AD278" s="1551"/>
      <c r="AE278" s="1551"/>
      <c r="AF278" s="1551"/>
      <c r="AG278" s="1551"/>
      <c r="AH278" s="1551"/>
      <c r="AI278" s="1551"/>
      <c r="AJ278" s="1551"/>
      <c r="AK278" s="1551"/>
      <c r="AL278" s="1551"/>
      <c r="AM278" s="1551"/>
      <c r="AN278" s="1551"/>
      <c r="AO278" s="1551"/>
      <c r="AP278" s="1551"/>
      <c r="AQ278" s="1551"/>
      <c r="AR278" s="1551"/>
      <c r="AS278" s="1551"/>
      <c r="AT278" s="1551"/>
      <c r="AU278" s="1551"/>
      <c r="AV278" s="1551"/>
      <c r="AW278" s="1551"/>
      <c r="AX278" s="1552"/>
      <c r="AY278" s="1552"/>
      <c r="AZ278" s="1552"/>
      <c r="BA278" s="1552"/>
    </row>
    <row r="279" spans="2:55" ht="14.4" x14ac:dyDescent="0.3">
      <c r="B279" s="1548" t="str">
        <f>"TS mới tăng thêm năm "&amp;YEAR($P$3)+2</f>
        <v>TS mới tăng thêm năm 2023</v>
      </c>
      <c r="M279" s="1549"/>
      <c r="N279" s="1549"/>
      <c r="O279" s="1549"/>
      <c r="P279" s="1553"/>
      <c r="Q279" s="1552"/>
      <c r="R279" s="1551">
        <f>(R128+R129)/R276</f>
        <v>0</v>
      </c>
      <c r="S279" s="1551">
        <f>MIN(R279,R146)</f>
        <v>0</v>
      </c>
      <c r="T279" s="1551">
        <f t="shared" ref="T279:Z279" si="169">MIN(S279,S146)</f>
        <v>0</v>
      </c>
      <c r="U279" s="1551">
        <f t="shared" si="169"/>
        <v>0</v>
      </c>
      <c r="V279" s="1551">
        <f t="shared" si="169"/>
        <v>0</v>
      </c>
      <c r="W279" s="1551">
        <f t="shared" si="169"/>
        <v>0</v>
      </c>
      <c r="X279" s="1551">
        <f t="shared" si="169"/>
        <v>0</v>
      </c>
      <c r="Y279" s="1551">
        <f t="shared" si="169"/>
        <v>0</v>
      </c>
      <c r="Z279" s="1551">
        <f t="shared" si="169"/>
        <v>0</v>
      </c>
      <c r="AA279" s="1551"/>
      <c r="AB279" s="1551"/>
      <c r="AC279" s="1551"/>
      <c r="AD279" s="1551"/>
      <c r="AE279" s="1551"/>
      <c r="AF279" s="1551"/>
      <c r="AG279" s="1551"/>
      <c r="AH279" s="1551"/>
      <c r="AI279" s="1551"/>
      <c r="AJ279" s="1551"/>
      <c r="AK279" s="1551"/>
      <c r="AL279" s="1551"/>
      <c r="AM279" s="1551"/>
      <c r="AN279" s="1551"/>
      <c r="AO279" s="1551"/>
      <c r="AP279" s="1551"/>
      <c r="AQ279" s="1551"/>
      <c r="AR279" s="1551"/>
      <c r="AS279" s="1551"/>
      <c r="AT279" s="1551"/>
      <c r="AU279" s="1551"/>
      <c r="AV279" s="1551"/>
      <c r="AW279" s="1551"/>
      <c r="AX279" s="1551"/>
      <c r="AY279" s="1551"/>
      <c r="AZ279" s="1551"/>
      <c r="BA279" s="1551"/>
    </row>
    <row r="280" spans="2:55" ht="14.4" x14ac:dyDescent="0.3">
      <c r="B280" s="1548" t="str">
        <f>"TS mới tăng thêm năm "&amp;YEAR($P$3)+3</f>
        <v>TS mới tăng thêm năm 2024</v>
      </c>
      <c r="M280" s="1549"/>
      <c r="N280" s="1549"/>
      <c r="O280" s="1549"/>
      <c r="P280" s="1553"/>
      <c r="Q280" s="1552"/>
      <c r="R280" s="1552"/>
      <c r="S280" s="1551">
        <f>(S128+S129)/S276</f>
        <v>0</v>
      </c>
      <c r="T280" s="1551">
        <f>MIN(S280,S147)</f>
        <v>0</v>
      </c>
      <c r="U280" s="1551">
        <f t="shared" ref="U280:Z280" si="170">MIN(T280,T147)</f>
        <v>0</v>
      </c>
      <c r="V280" s="1551">
        <f t="shared" si="170"/>
        <v>0</v>
      </c>
      <c r="W280" s="1551">
        <f t="shared" si="170"/>
        <v>0</v>
      </c>
      <c r="X280" s="1551">
        <f t="shared" si="170"/>
        <v>0</v>
      </c>
      <c r="Y280" s="1551">
        <f t="shared" si="170"/>
        <v>0</v>
      </c>
      <c r="Z280" s="1551">
        <f t="shared" si="170"/>
        <v>0</v>
      </c>
      <c r="AA280" s="1551"/>
      <c r="AB280" s="1551"/>
      <c r="AC280" s="1551"/>
      <c r="AD280" s="1551"/>
      <c r="AE280" s="1551"/>
      <c r="AF280" s="1551"/>
      <c r="AG280" s="1551"/>
      <c r="AH280" s="1551"/>
      <c r="AI280" s="1551"/>
      <c r="AJ280" s="1551"/>
      <c r="AK280" s="1551"/>
      <c r="AL280" s="1551"/>
      <c r="AM280" s="1551"/>
      <c r="AN280" s="1551"/>
      <c r="AO280" s="1551"/>
      <c r="AP280" s="1551"/>
      <c r="AQ280" s="1551"/>
      <c r="AR280" s="1551"/>
      <c r="AS280" s="1551"/>
      <c r="AT280" s="1551"/>
      <c r="AU280" s="1551"/>
      <c r="AV280" s="1551"/>
      <c r="AW280" s="1551"/>
      <c r="AX280" s="1551"/>
      <c r="AY280" s="1552"/>
      <c r="AZ280" s="1552"/>
      <c r="BA280" s="1552"/>
    </row>
    <row r="281" spans="2:55" ht="14.4" x14ac:dyDescent="0.3">
      <c r="B281" s="1548" t="str">
        <f>"TS mới tăng thêm năm "&amp;YEAR($P$3)+4</f>
        <v>TS mới tăng thêm năm 2025</v>
      </c>
      <c r="M281" s="1549"/>
      <c r="N281" s="1549"/>
      <c r="O281" s="1549"/>
      <c r="P281" s="1553"/>
      <c r="Q281" s="1552"/>
      <c r="R281" s="1552"/>
      <c r="S281" s="1552"/>
      <c r="T281" s="1551">
        <f>(T128+T129)/T276</f>
        <v>0</v>
      </c>
      <c r="U281" s="1551">
        <f t="shared" ref="U281:Z281" si="171">MIN(T281,T148)</f>
        <v>0</v>
      </c>
      <c r="V281" s="1551">
        <f t="shared" si="171"/>
        <v>0</v>
      </c>
      <c r="W281" s="1551">
        <f t="shared" si="171"/>
        <v>0</v>
      </c>
      <c r="X281" s="1551">
        <f t="shared" si="171"/>
        <v>0</v>
      </c>
      <c r="Y281" s="1551">
        <f t="shared" si="171"/>
        <v>0</v>
      </c>
      <c r="Z281" s="1551">
        <f t="shared" si="171"/>
        <v>0</v>
      </c>
      <c r="AA281" s="1551"/>
      <c r="AB281" s="1551"/>
      <c r="AC281" s="1551"/>
      <c r="AD281" s="1551"/>
      <c r="AE281" s="1551"/>
      <c r="AF281" s="1551"/>
      <c r="AG281" s="1551"/>
      <c r="AH281" s="1551"/>
      <c r="AI281" s="1551"/>
      <c r="AJ281" s="1551"/>
      <c r="AK281" s="1551"/>
      <c r="AL281" s="1551"/>
      <c r="AM281" s="1551"/>
      <c r="AN281" s="1551"/>
      <c r="AO281" s="1551"/>
      <c r="AP281" s="1551"/>
      <c r="AQ281" s="1551"/>
      <c r="AR281" s="1551"/>
      <c r="AS281" s="1551"/>
      <c r="AT281" s="1551"/>
      <c r="AU281" s="1551"/>
      <c r="AV281" s="1551"/>
      <c r="AW281" s="1551"/>
      <c r="AX281" s="1551"/>
      <c r="AY281" s="1551"/>
      <c r="AZ281" s="1551"/>
      <c r="BA281" s="1551"/>
    </row>
    <row r="282" spans="2:55" ht="21.75" customHeight="1" x14ac:dyDescent="0.3">
      <c r="B282" s="1548" t="str">
        <f>"TS mới tăng thêm năm "&amp;YEAR($P$3)+5</f>
        <v>TS mới tăng thêm năm 2026</v>
      </c>
      <c r="M282" s="1549"/>
      <c r="N282" s="1549"/>
      <c r="O282" s="1549"/>
      <c r="P282" s="1553"/>
      <c r="Q282" s="1552"/>
      <c r="R282" s="1552"/>
      <c r="S282" s="1552"/>
      <c r="T282" s="1552"/>
      <c r="U282" s="1551">
        <f>(U128+U129)/U276</f>
        <v>0</v>
      </c>
      <c r="V282" s="1551">
        <f>MIN(U282,U149)</f>
        <v>0</v>
      </c>
      <c r="W282" s="1551">
        <f t="shared" ref="W282:Z282" si="172">MIN(V282,V149)</f>
        <v>0</v>
      </c>
      <c r="X282" s="1551">
        <f t="shared" si="172"/>
        <v>0</v>
      </c>
      <c r="Y282" s="1551">
        <f t="shared" si="172"/>
        <v>0</v>
      </c>
      <c r="Z282" s="1551">
        <f t="shared" si="172"/>
        <v>0</v>
      </c>
      <c r="AA282" s="1551"/>
      <c r="AB282" s="1551"/>
      <c r="AC282" s="1551"/>
      <c r="AD282" s="1551"/>
      <c r="AE282" s="1551"/>
      <c r="AF282" s="1551"/>
      <c r="AG282" s="1551"/>
      <c r="AH282" s="1551"/>
      <c r="AI282" s="1551"/>
      <c r="AJ282" s="1551"/>
      <c r="AK282" s="1551"/>
      <c r="AL282" s="1551"/>
      <c r="AM282" s="1551"/>
      <c r="AN282" s="1551"/>
      <c r="AO282" s="1551"/>
      <c r="AP282" s="1551"/>
      <c r="AQ282" s="1551"/>
      <c r="AR282" s="1551"/>
      <c r="AS282" s="1551"/>
      <c r="AT282" s="1551"/>
      <c r="AU282" s="1551"/>
      <c r="AV282" s="1551"/>
      <c r="AW282" s="1551"/>
      <c r="AX282" s="1551"/>
      <c r="AY282" s="1551"/>
      <c r="AZ282" s="1551"/>
      <c r="BA282" s="1551"/>
    </row>
    <row r="283" spans="2:55" ht="24.75" customHeight="1" x14ac:dyDescent="0.3">
      <c r="B283" s="1548" t="str">
        <f>"TS mới tăng thêm năm "&amp;YEAR($P$3)+6</f>
        <v>TS mới tăng thêm năm 2027</v>
      </c>
      <c r="M283" s="1549"/>
      <c r="N283" s="1549"/>
      <c r="O283" s="1549"/>
      <c r="P283" s="1553"/>
      <c r="Q283" s="1552"/>
      <c r="R283" s="1552"/>
      <c r="S283" s="1552"/>
      <c r="T283" s="1552"/>
      <c r="U283" s="1552"/>
      <c r="V283" s="1551">
        <f>(V128+V129)/V276</f>
        <v>0</v>
      </c>
      <c r="W283" s="1551">
        <f>MIN(V283,V150)</f>
        <v>0</v>
      </c>
      <c r="X283" s="1551">
        <f t="shared" ref="X283:Z283" si="173">MIN(W283,W150)</f>
        <v>0</v>
      </c>
      <c r="Y283" s="1551">
        <f t="shared" si="173"/>
        <v>0</v>
      </c>
      <c r="Z283" s="1551">
        <f t="shared" si="173"/>
        <v>0</v>
      </c>
      <c r="AA283" s="1551"/>
      <c r="AB283" s="1551"/>
      <c r="AC283" s="1551"/>
      <c r="AD283" s="1551"/>
      <c r="AE283" s="1551"/>
      <c r="AF283" s="1551"/>
      <c r="AG283" s="1551"/>
      <c r="AH283" s="1551"/>
      <c r="AI283" s="1551"/>
      <c r="AJ283" s="1551"/>
      <c r="AK283" s="1551"/>
      <c r="AL283" s="1551"/>
      <c r="AM283" s="1551"/>
      <c r="AN283" s="1551"/>
      <c r="AO283" s="1551"/>
      <c r="AP283" s="1551"/>
      <c r="AQ283" s="1551"/>
      <c r="AR283" s="1551"/>
      <c r="AS283" s="1551"/>
      <c r="AT283" s="1551"/>
      <c r="AU283" s="1551"/>
      <c r="AV283" s="1551"/>
      <c r="AW283" s="1551"/>
      <c r="AX283" s="1551"/>
      <c r="AY283" s="1551"/>
      <c r="AZ283" s="1551"/>
      <c r="BA283" s="1551"/>
    </row>
    <row r="284" spans="2:55" ht="27" customHeight="1" x14ac:dyDescent="0.3">
      <c r="B284" s="1548" t="str">
        <f>"TS mới tăng thêm năm "&amp;YEAR($P$3)+7</f>
        <v>TS mới tăng thêm năm 2028</v>
      </c>
      <c r="M284" s="1549"/>
      <c r="N284" s="1549"/>
      <c r="O284" s="1549"/>
      <c r="P284" s="1553"/>
      <c r="Q284" s="1552"/>
      <c r="R284" s="1552"/>
      <c r="S284" s="1552"/>
      <c r="T284" s="1552"/>
      <c r="U284" s="1552"/>
      <c r="V284" s="1552"/>
      <c r="W284" s="1551">
        <f>(W128+W129)/W276</f>
        <v>0</v>
      </c>
      <c r="X284" s="1551">
        <f>MIN(W284,W151)</f>
        <v>0</v>
      </c>
      <c r="Y284" s="1551">
        <f>MIN(X284,X151)</f>
        <v>0</v>
      </c>
      <c r="Z284" s="1551">
        <f>MIN(Y284,Y151)</f>
        <v>0</v>
      </c>
      <c r="AA284" s="1551"/>
      <c r="AB284" s="1551"/>
      <c r="AC284" s="1551"/>
      <c r="AD284" s="1551"/>
      <c r="AE284" s="1551"/>
      <c r="AF284" s="1551"/>
      <c r="AG284" s="1551"/>
      <c r="AH284" s="1551"/>
      <c r="AI284" s="1551"/>
      <c r="AJ284" s="1551"/>
      <c r="AK284" s="1551"/>
      <c r="AL284" s="1551"/>
      <c r="AM284" s="1551"/>
      <c r="AN284" s="1551"/>
      <c r="AO284" s="1551"/>
      <c r="AP284" s="1551"/>
      <c r="AQ284" s="1551"/>
      <c r="AR284" s="1551"/>
      <c r="AS284" s="1551"/>
      <c r="AT284" s="1551"/>
      <c r="AU284" s="1551"/>
      <c r="AV284" s="1551"/>
      <c r="AW284" s="1551"/>
      <c r="AX284" s="1551"/>
      <c r="AY284" s="1551"/>
      <c r="AZ284" s="1551"/>
      <c r="BA284" s="1551"/>
    </row>
    <row r="285" spans="2:55" ht="28.5" customHeight="1" x14ac:dyDescent="0.3">
      <c r="B285" s="1548" t="str">
        <f>"TS mới tăng thêm năm "&amp;YEAR($P$3)+8</f>
        <v>TS mới tăng thêm năm 2029</v>
      </c>
      <c r="M285" s="1549"/>
      <c r="N285" s="1549"/>
      <c r="O285" s="1549"/>
      <c r="P285" s="1553"/>
      <c r="Q285" s="1552"/>
      <c r="R285" s="1552"/>
      <c r="S285" s="1552"/>
      <c r="T285" s="1552"/>
      <c r="U285" s="1552"/>
      <c r="V285" s="1552"/>
      <c r="W285" s="1552"/>
      <c r="X285" s="1551">
        <f>(X128+X129)/X276</f>
        <v>0</v>
      </c>
      <c r="Y285" s="1551">
        <f>MIN(X285,X152)</f>
        <v>0</v>
      </c>
      <c r="Z285" s="1551">
        <f>MIN(Y285,Y152)</f>
        <v>0</v>
      </c>
      <c r="AA285" s="1551"/>
      <c r="AB285" s="1551"/>
      <c r="AC285" s="1551"/>
      <c r="AD285" s="1551"/>
      <c r="AE285" s="1551"/>
      <c r="AF285" s="1551"/>
      <c r="AG285" s="1551"/>
      <c r="AH285" s="1551"/>
      <c r="AI285" s="1551"/>
      <c r="AJ285" s="1551"/>
      <c r="AK285" s="1551"/>
      <c r="AL285" s="1551"/>
      <c r="AM285" s="1551"/>
      <c r="AN285" s="1551"/>
      <c r="AO285" s="1551"/>
      <c r="AP285" s="1551"/>
      <c r="AQ285" s="1551"/>
      <c r="AR285" s="1551"/>
      <c r="AS285" s="1551"/>
      <c r="AT285" s="1551"/>
      <c r="AU285" s="1551"/>
      <c r="AV285" s="1551"/>
      <c r="AW285" s="1551"/>
      <c r="AX285" s="1551"/>
      <c r="AY285" s="1551"/>
      <c r="AZ285" s="1551"/>
      <c r="BA285" s="1551"/>
    </row>
    <row r="286" spans="2:55" ht="24.75" customHeight="1" x14ac:dyDescent="0.3">
      <c r="B286" s="1548" t="str">
        <f>"TS mới tăng thêm năm "&amp;YEAR($P$3)+9</f>
        <v>TS mới tăng thêm năm 2030</v>
      </c>
      <c r="M286" s="1549"/>
      <c r="N286" s="1549"/>
      <c r="O286" s="1549"/>
      <c r="P286" s="1553"/>
      <c r="Q286" s="1552"/>
      <c r="R286" s="1552"/>
      <c r="S286" s="1552"/>
      <c r="T286" s="1552"/>
      <c r="U286" s="1552"/>
      <c r="V286" s="1552"/>
      <c r="W286" s="1552"/>
      <c r="X286" s="1552"/>
      <c r="Y286" s="1551">
        <f>(Y128+Y129)/Y276</f>
        <v>0</v>
      </c>
      <c r="Z286" s="1551">
        <f>MIN(Y286,Y153)</f>
        <v>0</v>
      </c>
      <c r="AA286" s="1551"/>
      <c r="AB286" s="1551"/>
      <c r="AC286" s="1551"/>
      <c r="AD286" s="1551"/>
      <c r="AE286" s="1551"/>
      <c r="AF286" s="1551"/>
      <c r="AG286" s="1551"/>
      <c r="AH286" s="1551"/>
      <c r="AI286" s="1551"/>
      <c r="AJ286" s="1551"/>
      <c r="AK286" s="1551"/>
      <c r="AL286" s="1551"/>
      <c r="AM286" s="1551"/>
      <c r="AN286" s="1551"/>
      <c r="AO286" s="1551"/>
      <c r="AP286" s="1551"/>
      <c r="AQ286" s="1551"/>
      <c r="AR286" s="1551"/>
      <c r="AS286" s="1551"/>
      <c r="AT286" s="1551"/>
      <c r="AU286" s="1551"/>
      <c r="AV286" s="1551"/>
      <c r="AW286" s="1551"/>
      <c r="AX286" s="1551"/>
      <c r="AY286" s="1551"/>
      <c r="AZ286" s="1551"/>
      <c r="BA286" s="1551"/>
    </row>
    <row r="287" spans="2:55" ht="21.75" customHeight="1" x14ac:dyDescent="0.3">
      <c r="B287" s="1548" t="str">
        <f>"TS mới tăng thêm năm "&amp;YEAR($P$3)+10</f>
        <v>TS mới tăng thêm năm 2031</v>
      </c>
      <c r="M287" s="1549"/>
      <c r="N287" s="1549"/>
      <c r="O287" s="1549"/>
      <c r="P287" s="1553"/>
      <c r="Q287" s="1552"/>
      <c r="R287" s="1552"/>
      <c r="S287" s="1552"/>
      <c r="T287" s="1552"/>
      <c r="U287" s="1552"/>
      <c r="V287" s="1552"/>
      <c r="W287" s="1552"/>
      <c r="X287" s="1552"/>
      <c r="Y287" s="1552"/>
      <c r="Z287" s="1551">
        <f>(Z128+Z129)/Z276</f>
        <v>0</v>
      </c>
      <c r="AA287" s="1551"/>
      <c r="AB287" s="1551"/>
      <c r="AC287" s="1551"/>
      <c r="AD287" s="1551"/>
      <c r="AE287" s="1551"/>
      <c r="AF287" s="1551"/>
      <c r="AG287" s="1551"/>
      <c r="AH287" s="1551"/>
      <c r="AI287" s="1551"/>
      <c r="AJ287" s="1551"/>
      <c r="AK287" s="1551"/>
      <c r="AL287" s="1551"/>
      <c r="AM287" s="1551"/>
      <c r="AN287" s="1551"/>
      <c r="AO287" s="1551"/>
      <c r="AP287" s="1551"/>
      <c r="AQ287" s="1551"/>
      <c r="AR287" s="1551"/>
      <c r="AS287" s="1551"/>
      <c r="AT287" s="1551"/>
      <c r="AU287" s="1551"/>
      <c r="AV287" s="1551"/>
      <c r="AW287" s="1551"/>
      <c r="AX287" s="1551"/>
      <c r="AY287" s="1551"/>
      <c r="AZ287" s="1551"/>
      <c r="BA287" s="1551"/>
      <c r="BC287" s="1565"/>
    </row>
    <row r="288" spans="2:55" ht="24" customHeight="1" x14ac:dyDescent="0.3">
      <c r="B288" s="1548" t="str">
        <f>"TS mới tăng thêm năm "&amp;YEAR($P$3)+11</f>
        <v>TS mới tăng thêm năm 2032</v>
      </c>
      <c r="M288" s="1549"/>
      <c r="N288" s="1549"/>
      <c r="O288" s="1549"/>
      <c r="P288" s="1553"/>
      <c r="Q288" s="1552"/>
      <c r="R288" s="1552"/>
      <c r="S288" s="1552"/>
      <c r="T288" s="1552"/>
      <c r="U288" s="1552"/>
      <c r="V288" s="1552"/>
      <c r="W288" s="1552"/>
      <c r="X288" s="1552"/>
      <c r="Y288" s="1552"/>
      <c r="Z288" s="1552"/>
      <c r="AA288" s="1551"/>
      <c r="AB288" s="1551"/>
      <c r="AC288" s="1551"/>
      <c r="AD288" s="1551"/>
      <c r="AE288" s="1551"/>
      <c r="AF288" s="1551"/>
      <c r="AG288" s="1551"/>
      <c r="AH288" s="1551"/>
      <c r="AI288" s="1551"/>
      <c r="AJ288" s="1551"/>
      <c r="AK288" s="1551"/>
      <c r="AL288" s="1551"/>
      <c r="AM288" s="1551"/>
      <c r="AN288" s="1551"/>
      <c r="AO288" s="1551"/>
      <c r="AP288" s="1551"/>
      <c r="AQ288" s="1551"/>
      <c r="AR288" s="1551"/>
      <c r="AS288" s="1551"/>
      <c r="AT288" s="1551"/>
      <c r="AU288" s="1551"/>
      <c r="AV288" s="1551"/>
      <c r="AW288" s="1551"/>
      <c r="AX288" s="1551"/>
      <c r="AY288" s="1551"/>
      <c r="AZ288" s="1551"/>
      <c r="BA288" s="1551"/>
      <c r="BC288" s="1565"/>
    </row>
    <row r="289" spans="2:55" ht="14.4" x14ac:dyDescent="0.3">
      <c r="B289" s="1554" t="s">
        <v>1255</v>
      </c>
      <c r="C289" s="1555"/>
      <c r="D289" s="1555"/>
      <c r="E289" s="1555"/>
      <c r="F289" s="1555"/>
      <c r="G289" s="1555"/>
      <c r="H289" s="1556"/>
      <c r="I289" s="1556"/>
      <c r="J289" s="1556"/>
      <c r="K289" s="1556"/>
      <c r="L289" s="1556"/>
      <c r="M289" s="1555"/>
      <c r="N289" s="1557"/>
      <c r="O289" s="1557"/>
      <c r="P289" s="1587">
        <f t="shared" ref="P289:Y289" si="174">SUM(P277:P287)</f>
        <v>0</v>
      </c>
      <c r="Q289" s="1558">
        <f t="shared" si="174"/>
        <v>0</v>
      </c>
      <c r="R289" s="1558">
        <f t="shared" si="174"/>
        <v>0</v>
      </c>
      <c r="S289" s="1558">
        <f t="shared" si="174"/>
        <v>0</v>
      </c>
      <c r="T289" s="1558">
        <f t="shared" si="174"/>
        <v>0</v>
      </c>
      <c r="U289" s="1558">
        <f t="shared" si="174"/>
        <v>0</v>
      </c>
      <c r="V289" s="1558">
        <f t="shared" si="174"/>
        <v>0</v>
      </c>
      <c r="W289" s="1558">
        <f t="shared" si="174"/>
        <v>0</v>
      </c>
      <c r="X289" s="1558">
        <f t="shared" si="174"/>
        <v>0</v>
      </c>
      <c r="Y289" s="1558">
        <f t="shared" si="174"/>
        <v>0</v>
      </c>
      <c r="Z289" s="1558">
        <f>SUM(Z277:Z287)</f>
        <v>0</v>
      </c>
      <c r="AA289" s="1558"/>
      <c r="AB289" s="1558"/>
      <c r="AC289" s="1558"/>
      <c r="AD289" s="1558"/>
      <c r="AE289" s="1558"/>
      <c r="AF289" s="1558"/>
      <c r="AG289" s="1558"/>
      <c r="AH289" s="1558"/>
      <c r="AI289" s="1558"/>
      <c r="AJ289" s="1558"/>
      <c r="AK289" s="1558"/>
      <c r="AL289" s="1558"/>
      <c r="AM289" s="1558"/>
      <c r="AN289" s="1558"/>
      <c r="AO289" s="1558"/>
      <c r="AP289" s="1558"/>
      <c r="AQ289" s="1558"/>
      <c r="AR289" s="1558"/>
      <c r="AS289" s="1558"/>
      <c r="AT289" s="1558"/>
      <c r="AU289" s="1558"/>
      <c r="AV289" s="1558"/>
      <c r="AW289" s="1558"/>
      <c r="AX289" s="1558"/>
      <c r="AY289" s="1558"/>
      <c r="AZ289" s="1558"/>
      <c r="BA289" s="1558"/>
      <c r="BB289" s="1558"/>
      <c r="BC289" s="1568"/>
    </row>
    <row r="290" spans="2:55" x14ac:dyDescent="0.3">
      <c r="M290" s="1360"/>
      <c r="P290" s="1544"/>
      <c r="BC290" s="1565"/>
    </row>
    <row r="291" spans="2:55" x14ac:dyDescent="0.3">
      <c r="M291" s="1360"/>
      <c r="P291" s="1544"/>
      <c r="BC291" s="1565"/>
    </row>
    <row r="292" spans="2:55" x14ac:dyDescent="0.3">
      <c r="M292" s="1360"/>
      <c r="P292" s="1544"/>
    </row>
    <row r="293" spans="2:55" x14ac:dyDescent="0.3">
      <c r="M293" s="1360"/>
      <c r="P293" s="1544"/>
    </row>
    <row r="294" spans="2:55" x14ac:dyDescent="0.3">
      <c r="M294" s="1360"/>
      <c r="P294" s="1544"/>
    </row>
    <row r="295" spans="2:55" x14ac:dyDescent="0.3">
      <c r="M295" s="1360"/>
      <c r="P295" s="1544"/>
    </row>
    <row r="296" spans="2:55" x14ac:dyDescent="0.3">
      <c r="M296" s="1360"/>
      <c r="P296" s="1544"/>
    </row>
    <row r="297" spans="2:55" x14ac:dyDescent="0.3">
      <c r="M297" s="1360"/>
      <c r="P297" s="1544"/>
    </row>
    <row r="298" spans="2:55" x14ac:dyDescent="0.3">
      <c r="M298" s="1360"/>
      <c r="P298" s="1544"/>
    </row>
    <row r="299" spans="2:55" x14ac:dyDescent="0.3">
      <c r="M299" s="1360"/>
      <c r="P299" s="1544"/>
    </row>
    <row r="300" spans="2:55" x14ac:dyDescent="0.3">
      <c r="M300" s="1360"/>
      <c r="P300" s="1544"/>
    </row>
    <row r="301" spans="2:55" x14ac:dyDescent="0.3">
      <c r="M301" s="1360"/>
      <c r="P301" s="1544"/>
    </row>
    <row r="302" spans="2:55" x14ac:dyDescent="0.3">
      <c r="M302" s="1360"/>
      <c r="P302" s="1544"/>
    </row>
    <row r="303" spans="2:55" x14ac:dyDescent="0.3">
      <c r="M303" s="1360"/>
      <c r="P303" s="1544"/>
    </row>
    <row r="304" spans="2:55" x14ac:dyDescent="0.3">
      <c r="M304" s="1360"/>
      <c r="P304" s="1544"/>
    </row>
    <row r="305" spans="13:16" x14ac:dyDescent="0.3">
      <c r="M305" s="1360"/>
      <c r="P305" s="1544"/>
    </row>
    <row r="306" spans="13:16" x14ac:dyDescent="0.3">
      <c r="M306" s="1360"/>
      <c r="P306" s="1544"/>
    </row>
    <row r="307" spans="13:16" x14ac:dyDescent="0.3">
      <c r="M307" s="1360"/>
      <c r="P307" s="1544"/>
    </row>
    <row r="308" spans="13:16" x14ac:dyDescent="0.3">
      <c r="M308" s="1360"/>
      <c r="P308" s="1544"/>
    </row>
    <row r="309" spans="13:16" x14ac:dyDescent="0.3">
      <c r="M309" s="1360"/>
      <c r="P309" s="1544"/>
    </row>
    <row r="310" spans="13:16" x14ac:dyDescent="0.3">
      <c r="M310" s="1360"/>
      <c r="P310" s="1544"/>
    </row>
    <row r="311" spans="13:16" x14ac:dyDescent="0.3">
      <c r="M311" s="1360"/>
      <c r="P311" s="1544"/>
    </row>
    <row r="312" spans="13:16" x14ac:dyDescent="0.3">
      <c r="M312" s="1360"/>
    </row>
    <row r="313" spans="13:16" x14ac:dyDescent="0.3">
      <c r="M313" s="1360"/>
    </row>
    <row r="314" spans="13:16" x14ac:dyDescent="0.3">
      <c r="M314" s="1360"/>
    </row>
    <row r="315" spans="13:16" x14ac:dyDescent="0.3">
      <c r="M315" s="1360"/>
    </row>
    <row r="316" spans="13:16" x14ac:dyDescent="0.3">
      <c r="M316" s="1360"/>
    </row>
    <row r="317" spans="13:16" x14ac:dyDescent="0.3">
      <c r="M317" s="1360"/>
    </row>
    <row r="318" spans="13:16" x14ac:dyDescent="0.3">
      <c r="M318" s="1360"/>
    </row>
    <row r="319" spans="13:16" x14ac:dyDescent="0.3">
      <c r="M319" s="1360"/>
    </row>
    <row r="320" spans="13:16" x14ac:dyDescent="0.3">
      <c r="M320" s="1360"/>
    </row>
    <row r="321" spans="13:13" x14ac:dyDescent="0.3">
      <c r="M321" s="1360"/>
    </row>
    <row r="322" spans="13:13" x14ac:dyDescent="0.3">
      <c r="M322" s="1360"/>
    </row>
    <row r="323" spans="13:13" x14ac:dyDescent="0.3">
      <c r="M323" s="1360"/>
    </row>
    <row r="324" spans="13:13" x14ac:dyDescent="0.3">
      <c r="M324" s="1360"/>
    </row>
    <row r="325" spans="13:13" x14ac:dyDescent="0.3">
      <c r="M325" s="1360"/>
    </row>
    <row r="326" spans="13:13" x14ac:dyDescent="0.3">
      <c r="M326" s="1360"/>
    </row>
    <row r="327" spans="13:13" x14ac:dyDescent="0.3">
      <c r="M327" s="1360"/>
    </row>
  </sheetData>
  <mergeCells count="5">
    <mergeCell ref="BC2:BC3"/>
    <mergeCell ref="BC9:BC12"/>
    <mergeCell ref="G11:AA11"/>
    <mergeCell ref="BC23:BC37"/>
    <mergeCell ref="BC91:BC9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40B00-D26F-4D67-8F5B-136D2241EAE2}">
  <dimension ref="A1:BE517"/>
  <sheetViews>
    <sheetView zoomScale="85" zoomScaleNormal="85" workbookViewId="0">
      <pane ySplit="7" topLeftCell="A157" activePane="bottomLeft" state="frozen"/>
      <selection pane="bottomLeft" activeCell="P176" sqref="P176"/>
    </sheetView>
  </sheetViews>
  <sheetFormatPr defaultColWidth="9.109375" defaultRowHeight="13.2" x14ac:dyDescent="0.25"/>
  <cols>
    <col min="1" max="1" width="7.33203125" style="100" customWidth="1"/>
    <col min="2" max="2" width="47.6640625" style="29" customWidth="1"/>
    <col min="3" max="3" width="7.33203125" style="29" customWidth="1"/>
    <col min="4" max="4" width="11.6640625" style="29" customWidth="1"/>
    <col min="5" max="5" width="10.33203125" style="103" customWidth="1"/>
    <col min="6" max="6" width="17.88671875" style="103" customWidth="1"/>
    <col min="7" max="8" width="10" style="103" customWidth="1"/>
    <col min="9" max="9" width="0.5546875" style="103" customWidth="1"/>
    <col min="10" max="10" width="10" style="103" customWidth="1"/>
    <col min="11" max="11" width="12.109375" style="103" customWidth="1"/>
    <col min="12" max="12" width="10.33203125" style="103" customWidth="1"/>
    <col min="13" max="13" width="10.33203125" style="396" customWidth="1"/>
    <col min="14" max="14" width="11.33203125" style="103" bestFit="1" customWidth="1"/>
    <col min="15" max="15" width="9.6640625" style="103" customWidth="1"/>
    <col min="16" max="16" width="12.109375" style="103" customWidth="1"/>
    <col min="17" max="17" width="14.6640625" style="103" customWidth="1"/>
    <col min="18" max="22" width="9.6640625" style="103" customWidth="1"/>
    <col min="23" max="23" width="11.33203125" style="103" customWidth="1"/>
    <col min="24" max="24" width="12.6640625" style="103" customWidth="1"/>
    <col min="25" max="25" width="14.109375" style="103" customWidth="1"/>
    <col min="26" max="26" width="12.88671875" style="103" customWidth="1"/>
    <col min="27" max="27" width="1.6640625" style="103" customWidth="1"/>
    <col min="28" max="28" width="1.6640625" style="103" hidden="1" customWidth="1"/>
    <col min="29" max="30" width="9.6640625" style="103" hidden="1" customWidth="1"/>
    <col min="31" max="31" width="2.33203125" style="103" hidden="1" customWidth="1"/>
    <col min="32" max="53" width="9.6640625" style="103" hidden="1" customWidth="1"/>
    <col min="54" max="54" width="6.33203125" style="103" customWidth="1"/>
    <col min="55" max="55" width="65.5546875" style="103" customWidth="1"/>
    <col min="56" max="56" width="9.109375" style="29"/>
    <col min="57" max="57" width="18" style="29" bestFit="1" customWidth="1"/>
    <col min="58" max="16384" width="9.109375" style="29"/>
  </cols>
  <sheetData>
    <row r="1" spans="1:57" x14ac:dyDescent="0.25">
      <c r="B1" s="27">
        <f>1</f>
        <v>1</v>
      </c>
      <c r="D1" s="101" t="s">
        <v>397</v>
      </c>
      <c r="E1" s="102"/>
      <c r="F1" s="102"/>
      <c r="G1" s="102"/>
      <c r="H1" s="102"/>
      <c r="I1" s="102"/>
      <c r="J1" s="102"/>
      <c r="K1" s="102"/>
      <c r="M1" s="103"/>
      <c r="N1" s="104">
        <v>1</v>
      </c>
      <c r="O1" s="104">
        <v>2</v>
      </c>
      <c r="P1" s="105">
        <v>3</v>
      </c>
      <c r="Q1" s="30">
        <v>1</v>
      </c>
      <c r="R1" s="30">
        <v>2</v>
      </c>
      <c r="S1" s="30">
        <v>3</v>
      </c>
      <c r="T1" s="30">
        <v>4</v>
      </c>
      <c r="U1" s="30">
        <v>5</v>
      </c>
      <c r="V1" s="30">
        <v>6</v>
      </c>
      <c r="W1" s="30">
        <v>7</v>
      </c>
      <c r="X1" s="30">
        <v>8</v>
      </c>
      <c r="Y1" s="30">
        <v>9</v>
      </c>
      <c r="Z1" s="30">
        <v>10</v>
      </c>
      <c r="AA1" s="30">
        <v>14</v>
      </c>
      <c r="AB1" s="30">
        <v>15</v>
      </c>
      <c r="AC1" s="30">
        <v>16</v>
      </c>
      <c r="AD1" s="30">
        <v>17</v>
      </c>
      <c r="AE1" s="30">
        <v>18</v>
      </c>
      <c r="AF1" s="30">
        <v>19</v>
      </c>
      <c r="AG1" s="30">
        <v>20</v>
      </c>
      <c r="AH1" s="30">
        <v>21</v>
      </c>
      <c r="AI1" s="30">
        <v>22</v>
      </c>
      <c r="AJ1" s="30">
        <v>23</v>
      </c>
      <c r="AK1" s="30">
        <v>24</v>
      </c>
      <c r="AL1" s="30">
        <v>25</v>
      </c>
      <c r="AM1" s="30">
        <v>26</v>
      </c>
      <c r="AN1" s="30">
        <v>27</v>
      </c>
      <c r="AO1" s="30">
        <v>28</v>
      </c>
      <c r="AP1" s="30">
        <v>29</v>
      </c>
      <c r="AQ1" s="30">
        <v>30</v>
      </c>
      <c r="AR1" s="30">
        <v>31</v>
      </c>
      <c r="AS1" s="30">
        <v>32</v>
      </c>
      <c r="AT1" s="30">
        <v>33</v>
      </c>
      <c r="AU1" s="30">
        <v>34</v>
      </c>
      <c r="AV1" s="30">
        <v>35</v>
      </c>
      <c r="AW1" s="30">
        <v>36</v>
      </c>
      <c r="AX1" s="30">
        <v>37</v>
      </c>
      <c r="AY1" s="30">
        <v>38</v>
      </c>
      <c r="AZ1" s="30">
        <v>39</v>
      </c>
      <c r="BA1" s="30">
        <v>40</v>
      </c>
    </row>
    <row r="2" spans="1:57" ht="15" customHeight="1" x14ac:dyDescent="0.25">
      <c r="B2" s="42"/>
      <c r="C2" s="42"/>
      <c r="D2" s="42"/>
      <c r="E2" s="106" t="str">
        <f t="shared" ref="E2:K2" ca="1" si="0">IF(TODAY()&lt;E3,"Proj","")</f>
        <v/>
      </c>
      <c r="F2" s="106" t="str">
        <f t="shared" ca="1" si="0"/>
        <v/>
      </c>
      <c r="G2" s="106" t="str">
        <f t="shared" ca="1" si="0"/>
        <v/>
      </c>
      <c r="H2" s="106"/>
      <c r="I2" s="106"/>
      <c r="J2" s="106"/>
      <c r="K2" s="106" t="str">
        <f t="shared" ca="1" si="0"/>
        <v/>
      </c>
      <c r="L2" s="106" t="str">
        <f ca="1">IF(TODAY()&lt;L3,"Proj","")</f>
        <v/>
      </c>
      <c r="M2" s="106" t="str">
        <f t="shared" ref="M2:BA2" ca="1" si="1">IF(TODAY()&lt;M3,"Proj","")</f>
        <v/>
      </c>
      <c r="N2" s="106" t="str">
        <f t="shared" ca="1" si="1"/>
        <v/>
      </c>
      <c r="O2" s="106" t="str">
        <f t="shared" ca="1" si="1"/>
        <v/>
      </c>
      <c r="P2" s="107" t="str">
        <f t="shared" ca="1" si="1"/>
        <v/>
      </c>
      <c r="Q2" s="33" t="str">
        <f t="shared" ca="1" si="1"/>
        <v/>
      </c>
      <c r="R2" s="33" t="str">
        <f t="shared" ca="1" si="1"/>
        <v/>
      </c>
      <c r="S2" s="33" t="str">
        <f t="shared" ca="1" si="1"/>
        <v/>
      </c>
      <c r="T2" s="33" t="str">
        <f t="shared" ca="1" si="1"/>
        <v>Proj</v>
      </c>
      <c r="U2" s="33" t="str">
        <f t="shared" ca="1" si="1"/>
        <v>Proj</v>
      </c>
      <c r="V2" s="33" t="str">
        <f t="shared" ca="1" si="1"/>
        <v>Proj</v>
      </c>
      <c r="W2" s="33" t="str">
        <f t="shared" ca="1" si="1"/>
        <v>Proj</v>
      </c>
      <c r="X2" s="33" t="str">
        <f t="shared" ca="1" si="1"/>
        <v>Proj</v>
      </c>
      <c r="Y2" s="33" t="str">
        <f t="shared" ca="1" si="1"/>
        <v>Proj</v>
      </c>
      <c r="Z2" s="33" t="str">
        <f t="shared" ca="1" si="1"/>
        <v>Proj</v>
      </c>
      <c r="AA2" s="33" t="str">
        <f t="shared" ca="1" si="1"/>
        <v>Proj</v>
      </c>
      <c r="AB2" s="33" t="str">
        <f t="shared" ca="1" si="1"/>
        <v>Proj</v>
      </c>
      <c r="AC2" s="33" t="str">
        <f t="shared" ca="1" si="1"/>
        <v>Proj</v>
      </c>
      <c r="AD2" s="33" t="str">
        <f t="shared" ca="1" si="1"/>
        <v>Proj</v>
      </c>
      <c r="AE2" s="33" t="str">
        <f t="shared" ca="1" si="1"/>
        <v>Proj</v>
      </c>
      <c r="AF2" s="33" t="str">
        <f t="shared" ca="1" si="1"/>
        <v>Proj</v>
      </c>
      <c r="AG2" s="33" t="str">
        <f t="shared" ca="1" si="1"/>
        <v>Proj</v>
      </c>
      <c r="AH2" s="33" t="str">
        <f t="shared" ca="1" si="1"/>
        <v>Proj</v>
      </c>
      <c r="AI2" s="33" t="str">
        <f t="shared" ca="1" si="1"/>
        <v>Proj</v>
      </c>
      <c r="AJ2" s="33" t="str">
        <f t="shared" ca="1" si="1"/>
        <v>Proj</v>
      </c>
      <c r="AK2" s="33" t="str">
        <f t="shared" ca="1" si="1"/>
        <v>Proj</v>
      </c>
      <c r="AL2" s="33" t="str">
        <f t="shared" ca="1" si="1"/>
        <v>Proj</v>
      </c>
      <c r="AM2" s="33" t="str">
        <f t="shared" ca="1" si="1"/>
        <v>Proj</v>
      </c>
      <c r="AN2" s="33" t="str">
        <f t="shared" ca="1" si="1"/>
        <v>Proj</v>
      </c>
      <c r="AO2" s="33" t="str">
        <f t="shared" ca="1" si="1"/>
        <v>Proj</v>
      </c>
      <c r="AP2" s="33" t="str">
        <f t="shared" ca="1" si="1"/>
        <v>Proj</v>
      </c>
      <c r="AQ2" s="33" t="str">
        <f t="shared" ca="1" si="1"/>
        <v>Proj</v>
      </c>
      <c r="AR2" s="33" t="str">
        <f t="shared" ca="1" si="1"/>
        <v>Proj</v>
      </c>
      <c r="AS2" s="33" t="str">
        <f t="shared" ca="1" si="1"/>
        <v>Proj</v>
      </c>
      <c r="AT2" s="33" t="str">
        <f t="shared" ca="1" si="1"/>
        <v>Proj</v>
      </c>
      <c r="AU2" s="33" t="str">
        <f t="shared" ca="1" si="1"/>
        <v>Proj</v>
      </c>
      <c r="AV2" s="33" t="str">
        <f t="shared" ca="1" si="1"/>
        <v>Proj</v>
      </c>
      <c r="AW2" s="33" t="str">
        <f t="shared" ca="1" si="1"/>
        <v>Proj</v>
      </c>
      <c r="AX2" s="33" t="str">
        <f t="shared" ca="1" si="1"/>
        <v>Proj</v>
      </c>
      <c r="AY2" s="33" t="str">
        <f t="shared" ca="1" si="1"/>
        <v>Proj</v>
      </c>
      <c r="AZ2" s="33" t="str">
        <f t="shared" ca="1" si="1"/>
        <v>Proj</v>
      </c>
      <c r="BA2" s="33" t="str">
        <f t="shared" ca="1" si="1"/>
        <v>Proj</v>
      </c>
      <c r="BB2" s="106"/>
      <c r="BC2" s="108"/>
    </row>
    <row r="3" spans="1:57" ht="15" customHeight="1" thickBot="1" x14ac:dyDescent="0.3">
      <c r="B3" s="109" t="s">
        <v>398</v>
      </c>
      <c r="C3" s="109"/>
      <c r="D3" s="110">
        <v>40178</v>
      </c>
      <c r="E3" s="38">
        <f t="shared" ref="E3:BA3" si="2">DATE(YEAR(D3),MONTH(D3)+13,0)</f>
        <v>40543</v>
      </c>
      <c r="F3" s="38">
        <f t="shared" si="2"/>
        <v>40908</v>
      </c>
      <c r="G3" s="38">
        <f t="shared" si="2"/>
        <v>41274</v>
      </c>
      <c r="H3" s="38">
        <f t="shared" si="2"/>
        <v>41639</v>
      </c>
      <c r="I3" s="38">
        <f t="shared" si="2"/>
        <v>42004</v>
      </c>
      <c r="J3" s="38">
        <f t="shared" si="2"/>
        <v>42369</v>
      </c>
      <c r="K3" s="38">
        <f t="shared" si="2"/>
        <v>42735</v>
      </c>
      <c r="L3" s="38">
        <f t="shared" si="2"/>
        <v>43100</v>
      </c>
      <c r="M3" s="38">
        <f t="shared" si="2"/>
        <v>43465</v>
      </c>
      <c r="N3" s="38">
        <f t="shared" si="2"/>
        <v>43830</v>
      </c>
      <c r="O3" s="38">
        <f t="shared" si="2"/>
        <v>44196</v>
      </c>
      <c r="P3" s="39">
        <f t="shared" si="2"/>
        <v>44561</v>
      </c>
      <c r="Q3" s="40">
        <f t="shared" si="2"/>
        <v>44926</v>
      </c>
      <c r="R3" s="40">
        <f t="shared" si="2"/>
        <v>45291</v>
      </c>
      <c r="S3" s="40">
        <f t="shared" si="2"/>
        <v>45657</v>
      </c>
      <c r="T3" s="40">
        <f t="shared" si="2"/>
        <v>46022</v>
      </c>
      <c r="U3" s="40">
        <f t="shared" si="2"/>
        <v>46387</v>
      </c>
      <c r="V3" s="40">
        <f t="shared" si="2"/>
        <v>46752</v>
      </c>
      <c r="W3" s="40">
        <f t="shared" si="2"/>
        <v>47118</v>
      </c>
      <c r="X3" s="40">
        <f t="shared" si="2"/>
        <v>47483</v>
      </c>
      <c r="Y3" s="40">
        <f t="shared" si="2"/>
        <v>47848</v>
      </c>
      <c r="Z3" s="40">
        <f t="shared" si="2"/>
        <v>48213</v>
      </c>
      <c r="AA3" s="40">
        <f t="shared" si="2"/>
        <v>48579</v>
      </c>
      <c r="AB3" s="40">
        <f t="shared" si="2"/>
        <v>48944</v>
      </c>
      <c r="AC3" s="40">
        <f t="shared" si="2"/>
        <v>49309</v>
      </c>
      <c r="AD3" s="40">
        <f t="shared" si="2"/>
        <v>49674</v>
      </c>
      <c r="AE3" s="40">
        <f t="shared" si="2"/>
        <v>50040</v>
      </c>
      <c r="AF3" s="40">
        <f t="shared" si="2"/>
        <v>50405</v>
      </c>
      <c r="AG3" s="40">
        <f t="shared" si="2"/>
        <v>50770</v>
      </c>
      <c r="AH3" s="40">
        <f t="shared" si="2"/>
        <v>51135</v>
      </c>
      <c r="AI3" s="40">
        <f t="shared" si="2"/>
        <v>51501</v>
      </c>
      <c r="AJ3" s="40">
        <f t="shared" si="2"/>
        <v>51866</v>
      </c>
      <c r="AK3" s="40">
        <f t="shared" si="2"/>
        <v>52231</v>
      </c>
      <c r="AL3" s="40">
        <f t="shared" si="2"/>
        <v>52596</v>
      </c>
      <c r="AM3" s="40">
        <f t="shared" si="2"/>
        <v>52962</v>
      </c>
      <c r="AN3" s="40">
        <f t="shared" si="2"/>
        <v>53327</v>
      </c>
      <c r="AO3" s="40">
        <f t="shared" si="2"/>
        <v>53692</v>
      </c>
      <c r="AP3" s="40">
        <f t="shared" si="2"/>
        <v>54057</v>
      </c>
      <c r="AQ3" s="40">
        <f t="shared" si="2"/>
        <v>54423</v>
      </c>
      <c r="AR3" s="40">
        <f t="shared" si="2"/>
        <v>54788</v>
      </c>
      <c r="AS3" s="40">
        <f t="shared" si="2"/>
        <v>55153</v>
      </c>
      <c r="AT3" s="40">
        <f t="shared" si="2"/>
        <v>55518</v>
      </c>
      <c r="AU3" s="40">
        <f t="shared" si="2"/>
        <v>55884</v>
      </c>
      <c r="AV3" s="40">
        <f t="shared" si="2"/>
        <v>56249</v>
      </c>
      <c r="AW3" s="40">
        <f t="shared" si="2"/>
        <v>56614</v>
      </c>
      <c r="AX3" s="40">
        <f t="shared" si="2"/>
        <v>56979</v>
      </c>
      <c r="AY3" s="40">
        <f t="shared" si="2"/>
        <v>57345</v>
      </c>
      <c r="AZ3" s="40">
        <f t="shared" si="2"/>
        <v>57710</v>
      </c>
      <c r="BA3" s="40">
        <f t="shared" si="2"/>
        <v>58075</v>
      </c>
      <c r="BB3" s="38"/>
      <c r="BC3" s="111" t="s">
        <v>399</v>
      </c>
    </row>
    <row r="4" spans="1:57" ht="15" customHeight="1" thickTop="1" x14ac:dyDescent="0.25">
      <c r="D4" s="112"/>
      <c r="E4" s="113"/>
      <c r="F4" s="113"/>
      <c r="G4" s="113"/>
      <c r="H4" s="113"/>
      <c r="I4" s="113"/>
      <c r="J4" s="113"/>
      <c r="K4" s="113"/>
      <c r="L4" s="113"/>
      <c r="M4" s="113"/>
      <c r="N4" s="113"/>
      <c r="O4" s="113"/>
      <c r="P4" s="114"/>
      <c r="Q4" s="113"/>
      <c r="R4" s="113"/>
      <c r="S4" s="113"/>
      <c r="T4" s="113"/>
      <c r="U4" s="113"/>
      <c r="V4" s="113"/>
      <c r="W4" s="113"/>
      <c r="X4" s="113"/>
      <c r="Y4" s="113"/>
      <c r="Z4" s="113"/>
      <c r="AA4" s="113"/>
      <c r="AB4" s="113"/>
      <c r="AC4" s="113"/>
      <c r="AD4" s="113"/>
      <c r="AE4" s="113"/>
      <c r="AF4" s="113"/>
      <c r="AG4" s="113"/>
      <c r="AH4" s="113"/>
      <c r="AI4" s="113"/>
      <c r="AJ4" s="113"/>
      <c r="AK4" s="113"/>
      <c r="AL4" s="113"/>
      <c r="AM4" s="113"/>
      <c r="AN4" s="113"/>
      <c r="AO4" s="113"/>
      <c r="AP4" s="113"/>
      <c r="AQ4" s="113"/>
      <c r="AR4" s="113"/>
      <c r="AS4" s="113"/>
      <c r="AT4" s="113"/>
      <c r="AU4" s="113"/>
      <c r="AV4" s="113"/>
      <c r="AW4" s="113"/>
      <c r="AX4" s="113"/>
      <c r="AY4" s="113"/>
      <c r="AZ4" s="113"/>
      <c r="BA4" s="113"/>
      <c r="BB4" s="113"/>
      <c r="BD4" s="112"/>
      <c r="BE4" s="112"/>
    </row>
    <row r="5" spans="1:57" s="124" customFormat="1" ht="15" customHeight="1" x14ac:dyDescent="0.25">
      <c r="A5" s="115">
        <v>1</v>
      </c>
      <c r="B5" s="116" t="s">
        <v>400</v>
      </c>
      <c r="C5" s="116"/>
      <c r="D5" s="117"/>
      <c r="E5" s="118"/>
      <c r="F5" s="118"/>
      <c r="G5" s="118"/>
      <c r="H5" s="118"/>
      <c r="I5" s="119">
        <f>'IS Raw'!I17/Input!$B$1</f>
        <v>2451.8793050929999</v>
      </c>
      <c r="J5" s="119">
        <f>'IS Raw'!J17/Input!$B$1</f>
        <v>1225.068036933</v>
      </c>
      <c r="K5" s="119">
        <f>'IS Raw'!K17/Input!$B$1</f>
        <v>1384.901834538</v>
      </c>
      <c r="L5" s="119">
        <f>'IS Raw'!L17/Input!$B$1</f>
        <v>1388.227398407</v>
      </c>
      <c r="M5" s="119">
        <f>'IS Raw'!M17/Input!$B$1</f>
        <v>1401.0243162510001</v>
      </c>
      <c r="N5" s="119">
        <f>'IS Raw'!N17/Input!$B$1</f>
        <v>1261.729021484</v>
      </c>
      <c r="O5" s="119">
        <f>'IS Raw'!O17/Input!$B$1</f>
        <v>1256.952371543</v>
      </c>
      <c r="P5" s="671">
        <f>'IS Raw'!P17/Input!$B$1</f>
        <v>1558.5043332830001</v>
      </c>
      <c r="Q5" s="120">
        <f>'Consol. Rev.'!Q8</f>
        <v>1674.6241956129609</v>
      </c>
      <c r="R5" s="120">
        <f>'Consol. Rev.'!R8</f>
        <v>1747.0633585486698</v>
      </c>
      <c r="S5" s="120">
        <f>'Consol. Rev.'!S8</f>
        <v>2205.6779275070485</v>
      </c>
      <c r="T5" s="120">
        <f>'Consol. Rev.'!T8</f>
        <v>2352.6624514638038</v>
      </c>
      <c r="U5" s="120">
        <f>'Consol. Rev.'!U8</f>
        <v>2500.2090223576433</v>
      </c>
      <c r="V5" s="120">
        <f>'Consol. Rev.'!V8</f>
        <v>2621.935344537902</v>
      </c>
      <c r="W5" s="120">
        <f>'Consol. Rev.'!W8</f>
        <v>2773.8208160693039</v>
      </c>
      <c r="X5" s="120">
        <f>'Consol. Rev.'!X8</f>
        <v>2880.957655097322</v>
      </c>
      <c r="Y5" s="120">
        <f>'Consol. Rev.'!Y8</f>
        <v>2996.9379229805013</v>
      </c>
      <c r="Z5" s="120">
        <f>'Consol. Rev.'!Z8</f>
        <v>3122.6339329848565</v>
      </c>
      <c r="AA5" s="120"/>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2"/>
      <c r="BC5" s="123"/>
    </row>
    <row r="6" spans="1:57" s="131" customFormat="1" ht="15" customHeight="1" x14ac:dyDescent="0.25">
      <c r="A6" s="125"/>
      <c r="B6" s="126" t="s">
        <v>401</v>
      </c>
      <c r="C6" s="126"/>
      <c r="D6" s="127"/>
      <c r="E6" s="128"/>
      <c r="F6" s="128"/>
      <c r="G6" s="128"/>
      <c r="H6" s="128"/>
      <c r="I6" s="128"/>
      <c r="J6" s="128">
        <f>IFERROR(J7/I7-1, " ")</f>
        <v>-0.50035548879249048</v>
      </c>
      <c r="K6" s="128">
        <f>IFERROR(K7/J7-1, " ")</f>
        <v>0.13046932316114401</v>
      </c>
      <c r="L6" s="128">
        <f t="shared" ref="L6:P6" si="3">IFERROR(L7/K7-1, " ")</f>
        <v>2.4012993456026255E-3</v>
      </c>
      <c r="M6" s="128">
        <f t="shared" si="3"/>
        <v>9.2181712150938289E-3</v>
      </c>
      <c r="N6" s="128">
        <f t="shared" si="3"/>
        <v>-9.9423895182447874E-2</v>
      </c>
      <c r="O6" s="128">
        <f t="shared" si="3"/>
        <v>-3.7857969973471572E-3</v>
      </c>
      <c r="P6" s="1781">
        <f t="shared" si="3"/>
        <v>0.23990723003276826</v>
      </c>
      <c r="Q6" s="129">
        <f t="shared" ref="Q6" si="4">IFERROR(Q7/P7-1, " ")</f>
        <v>7.4507243804291301E-2</v>
      </c>
      <c r="R6" s="129">
        <f t="shared" ref="R6" si="5">IFERROR(R7/Q7-1, " ")</f>
        <v>4.3256966623006488E-2</v>
      </c>
      <c r="S6" s="129">
        <f t="shared" ref="S6" si="6">IFERROR(S7/R7-1, " ")</f>
        <v>0.26250597421913846</v>
      </c>
      <c r="T6" s="129">
        <f t="shared" ref="T6" si="7">IFERROR(T7/S7-1, " ")</f>
        <v>6.6639159835490291E-2</v>
      </c>
      <c r="U6" s="129">
        <f t="shared" ref="U6" si="8">IFERROR(U7/T7-1, " ")</f>
        <v>6.2714721698404974E-2</v>
      </c>
      <c r="V6" s="129">
        <f t="shared" ref="V6" si="9">IFERROR(V7/U7-1, " ")</f>
        <v>4.8686458248788034E-2</v>
      </c>
      <c r="W6" s="129">
        <f t="shared" ref="W6" si="10">IFERROR(W7/V7-1, " ")</f>
        <v>5.7928763135908223E-2</v>
      </c>
      <c r="X6" s="129">
        <f t="shared" ref="X6" si="11">IFERROR(X7/W7-1, " ")</f>
        <v>3.8624282580674629E-2</v>
      </c>
      <c r="Y6" s="129">
        <f t="shared" ref="Y6" si="12">IFERROR(Y7/X7-1, " ")</f>
        <v>4.0257539946126464E-2</v>
      </c>
      <c r="Z6" s="129">
        <f t="shared" ref="Z6" si="13">IFERROR(Z7/Y7-1, " ")</f>
        <v>4.1941479348143629E-2</v>
      </c>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7"/>
      <c r="BC6" s="130"/>
    </row>
    <row r="7" spans="1:57" s="117" customFormat="1" ht="15" customHeight="1" x14ac:dyDescent="0.25">
      <c r="A7" s="132"/>
      <c r="B7" s="133" t="s">
        <v>402</v>
      </c>
      <c r="C7" s="133"/>
      <c r="D7" s="134"/>
      <c r="E7" s="135"/>
      <c r="F7" s="135"/>
      <c r="G7" s="135"/>
      <c r="H7" s="135"/>
      <c r="I7" s="136">
        <f>IF(ISTEXT('IS Raw'!I11), 'IS Raw'!I17, Input!I5)</f>
        <v>2451.8793050929999</v>
      </c>
      <c r="J7" s="136">
        <f>IF(ISTEXT('IS Raw'!J11), 'IS Raw'!J17, Input!J5)</f>
        <v>1225.068036933</v>
      </c>
      <c r="K7" s="136">
        <f>IF(ISTEXT('IS Raw'!K11), 'IS Raw'!K17, Input!K5)</f>
        <v>1384.901834538</v>
      </c>
      <c r="L7" s="136">
        <f>IF(ISTEXT('IS Raw'!L11), 'IS Raw'!L17, Input!L5)</f>
        <v>1388.227398407</v>
      </c>
      <c r="M7" s="136">
        <f>IF(ISTEXT('IS Raw'!M11), 'IS Raw'!M17, Input!M5)</f>
        <v>1401.0243162510001</v>
      </c>
      <c r="N7" s="136">
        <f>IF(ISTEXT('IS Raw'!N11), 'IS Raw'!N17, Input!N5)</f>
        <v>1261.729021484</v>
      </c>
      <c r="O7" s="136">
        <f>IF(ISTEXT('IS Raw'!O11), 'IS Raw'!O17, Input!O5)</f>
        <v>1256.952371543</v>
      </c>
      <c r="P7" s="1782">
        <f>IF(ISTEXT('IS Raw'!P11), 'IS Raw'!P17, Input!P5)</f>
        <v>1558.5043332830001</v>
      </c>
      <c r="Q7" s="137">
        <f>IF(ISTEXT('IS Raw'!Q11), 'IS Raw'!Q17, Input!Q5)</f>
        <v>1674.6241956129609</v>
      </c>
      <c r="R7" s="137">
        <f>IF(ISTEXT('IS Raw'!R11), 'IS Raw'!R17, Input!R5)</f>
        <v>1747.0633585486698</v>
      </c>
      <c r="S7" s="137">
        <f>IF(ISTEXT('IS Raw'!S11), 'IS Raw'!S17, Input!S5)</f>
        <v>2205.6779275070485</v>
      </c>
      <c r="T7" s="137">
        <f>IF(ISTEXT('IS Raw'!T11), 'IS Raw'!T17, Input!T5)</f>
        <v>2352.6624514638038</v>
      </c>
      <c r="U7" s="137">
        <f>IF(ISTEXT('IS Raw'!U11), 'IS Raw'!U17, Input!U5)</f>
        <v>2500.2090223576433</v>
      </c>
      <c r="V7" s="137">
        <f>IF(ISTEXT('IS Raw'!V11), 'IS Raw'!V17, Input!V5)</f>
        <v>2621.935344537902</v>
      </c>
      <c r="W7" s="137">
        <f>IF(ISTEXT('IS Raw'!W11), 'IS Raw'!W17, Input!W5)</f>
        <v>2773.8208160693039</v>
      </c>
      <c r="X7" s="137">
        <f>IF(ISTEXT('IS Raw'!X11), 'IS Raw'!X17, Input!X5)</f>
        <v>2880.957655097322</v>
      </c>
      <c r="Y7" s="137">
        <f>IF(ISTEXT('IS Raw'!Y11), 'IS Raw'!Y17, Input!Y5)</f>
        <v>2996.9379229805013</v>
      </c>
      <c r="Z7" s="137">
        <f>IF(ISTEXT('IS Raw'!Z11), 'IS Raw'!Z17, Input!Z5)</f>
        <v>3122.6339329848565</v>
      </c>
      <c r="AA7" s="137"/>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9"/>
      <c r="BC7" s="140"/>
    </row>
    <row r="8" spans="1:57" ht="15" customHeight="1" x14ac:dyDescent="0.25">
      <c r="B8" s="141"/>
      <c r="C8" s="141"/>
      <c r="D8" s="142"/>
      <c r="E8" s="143"/>
      <c r="F8" s="143"/>
      <c r="G8" s="143"/>
      <c r="H8" s="143"/>
      <c r="I8" s="143"/>
      <c r="J8" s="143"/>
      <c r="K8" s="143"/>
      <c r="L8" s="143"/>
      <c r="M8" s="143"/>
      <c r="N8" s="143"/>
      <c r="O8" s="143"/>
      <c r="P8" s="144"/>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5"/>
      <c r="BC8" s="146"/>
      <c r="BD8" s="112"/>
      <c r="BE8" s="112"/>
    </row>
    <row r="9" spans="1:57" s="124" customFormat="1" ht="15" customHeight="1" x14ac:dyDescent="0.25">
      <c r="A9" s="115">
        <v>2</v>
      </c>
      <c r="B9" s="116" t="s">
        <v>403</v>
      </c>
      <c r="C9" s="116"/>
      <c r="E9" s="118"/>
      <c r="F9" s="118"/>
      <c r="G9" s="118"/>
      <c r="H9" s="118"/>
      <c r="I9" s="119">
        <f>'IS Raw'!I21 * (-1) / Input!$B$1</f>
        <v>2128.8437159710002</v>
      </c>
      <c r="J9" s="119">
        <f>'IS Raw'!J21 * (-1) / Input!$B$1</f>
        <v>773.07692048900003</v>
      </c>
      <c r="K9" s="119">
        <f>'IS Raw'!K21 * (-1) / Input!$B$1</f>
        <v>875.70243685100002</v>
      </c>
      <c r="L9" s="119">
        <f>'IS Raw'!L21 * (-1) / Input!$B$1</f>
        <v>897.55493153600003</v>
      </c>
      <c r="M9" s="119">
        <f>'IS Raw'!M21 * (-1) / Input!$B$1</f>
        <v>972.89627893099998</v>
      </c>
      <c r="N9" s="119">
        <f>'IS Raw'!N21 * (-1) / Input!$B$1</f>
        <v>846.93308036400003</v>
      </c>
      <c r="O9" s="119">
        <f>'IS Raw'!O21 * (-1) / Input!$B$1</f>
        <v>765.81309361800004</v>
      </c>
      <c r="P9" s="671">
        <f>'IS Raw'!P21 * (-1) / Input!$B$1</f>
        <v>935.938713151</v>
      </c>
      <c r="Q9" s="120">
        <f>'Consol. Rev.'!Q23</f>
        <v>1012.6251940072838</v>
      </c>
      <c r="R9" s="120">
        <f>'Consol. Rev.'!R23</f>
        <v>1068.8092083292872</v>
      </c>
      <c r="S9" s="120">
        <f>'Consol. Rev.'!S23</f>
        <v>1296.3681791200668</v>
      </c>
      <c r="T9" s="120">
        <f>'Consol. Rev.'!T23</f>
        <v>1357.3298826322605</v>
      </c>
      <c r="U9" s="120">
        <f>'Consol. Rev.'!U23</f>
        <v>1410.7837820808772</v>
      </c>
      <c r="V9" s="120">
        <f>'Consol. Rev.'!V23</f>
        <v>1465.7026623117556</v>
      </c>
      <c r="W9" s="120">
        <f>'Consol. Rev.'!W23</f>
        <v>1532.2327524787643</v>
      </c>
      <c r="X9" s="120">
        <f>'Consol. Rev.'!X23</f>
        <v>1590.3549921054873</v>
      </c>
      <c r="Y9" s="120">
        <f>'Consol. Rev.'!Y23</f>
        <v>1653.0812476685103</v>
      </c>
      <c r="Z9" s="120">
        <f>'Consol. Rev.'!Z23</f>
        <v>1720.8580712685739</v>
      </c>
      <c r="AA9" s="120"/>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2"/>
      <c r="BC9" s="123"/>
    </row>
    <row r="10" spans="1:57" ht="15" customHeight="1" x14ac:dyDescent="0.25">
      <c r="B10" s="147" t="s">
        <v>404</v>
      </c>
      <c r="C10" s="147"/>
      <c r="D10" s="148"/>
      <c r="E10" s="148"/>
      <c r="F10" s="148"/>
      <c r="G10" s="148"/>
      <c r="H10" s="148"/>
      <c r="I10" s="148">
        <f>IFERROR(I11/I7, " ")</f>
        <v>0.86824979987758943</v>
      </c>
      <c r="J10" s="148">
        <f>IFERROR(J11/J7, " ")</f>
        <v>0.63104815176177864</v>
      </c>
      <c r="K10" s="148">
        <f t="shared" ref="K10:Z10" si="14">IFERROR(K11/K7, " ")</f>
        <v>0.63232094507487768</v>
      </c>
      <c r="L10" s="148">
        <f t="shared" si="14"/>
        <v>0.64654748391074124</v>
      </c>
      <c r="M10" s="148">
        <f t="shared" si="14"/>
        <v>0.6944178396092171</v>
      </c>
      <c r="N10" s="148">
        <f t="shared" si="14"/>
        <v>0.6712479985344777</v>
      </c>
      <c r="O10" s="148">
        <f t="shared" si="14"/>
        <v>0.60926182324466993</v>
      </c>
      <c r="P10" s="497">
        <f t="shared" si="14"/>
        <v>0.60053648434806639</v>
      </c>
      <c r="Q10" s="150">
        <f t="shared" si="14"/>
        <v>0.60468802293677215</v>
      </c>
      <c r="R10" s="150">
        <f t="shared" si="14"/>
        <v>0.6117747264856922</v>
      </c>
      <c r="S10" s="150">
        <f t="shared" si="14"/>
        <v>0.58774137554401584</v>
      </c>
      <c r="T10" s="150">
        <f t="shared" si="14"/>
        <v>0.57693354258607854</v>
      </c>
      <c r="U10" s="150">
        <f t="shared" si="14"/>
        <v>0.56426633512046864</v>
      </c>
      <c r="V10" s="150">
        <f t="shared" si="14"/>
        <v>0.55901556282276499</v>
      </c>
      <c r="W10" s="150">
        <f t="shared" si="14"/>
        <v>0.55239067484180326</v>
      </c>
      <c r="X10" s="150">
        <f t="shared" si="14"/>
        <v>0.55202303626075455</v>
      </c>
      <c r="Y10" s="150">
        <f t="shared" si="14"/>
        <v>0.551590086332017</v>
      </c>
      <c r="Z10" s="150">
        <f t="shared" si="14"/>
        <v>0.55109183727586153</v>
      </c>
      <c r="AA10" s="149"/>
      <c r="AB10" s="150"/>
      <c r="AC10" s="150"/>
      <c r="AD10" s="150"/>
      <c r="AE10" s="150"/>
      <c r="AF10" s="150"/>
      <c r="AG10" s="150"/>
      <c r="AH10" s="150"/>
      <c r="AI10" s="150"/>
      <c r="AJ10" s="150"/>
      <c r="AK10" s="150"/>
      <c r="AL10" s="150"/>
      <c r="AM10" s="150"/>
      <c r="AN10" s="150"/>
      <c r="AO10" s="150"/>
      <c r="AP10" s="150"/>
      <c r="AQ10" s="150"/>
      <c r="AR10" s="150"/>
      <c r="AS10" s="150"/>
      <c r="AT10" s="150"/>
      <c r="AU10" s="150"/>
      <c r="AV10" s="150"/>
      <c r="AW10" s="150"/>
      <c r="AX10" s="150"/>
      <c r="AY10" s="150"/>
      <c r="AZ10" s="150"/>
      <c r="BA10" s="150"/>
      <c r="BB10" s="148"/>
      <c r="BD10" s="112"/>
      <c r="BE10" s="112"/>
    </row>
    <row r="11" spans="1:57" s="117" customFormat="1" ht="15" customHeight="1" x14ac:dyDescent="0.25">
      <c r="A11" s="132"/>
      <c r="B11" s="133" t="s">
        <v>405</v>
      </c>
      <c r="C11" s="133"/>
      <c r="D11" s="139"/>
      <c r="E11" s="135"/>
      <c r="F11" s="135"/>
      <c r="G11" s="135"/>
      <c r="H11" s="135"/>
      <c r="I11" s="136">
        <f>IF(ISTEXT('IS Raw'!I11), -'IS Raw'!I21/Input!$B$1, Input!I9)</f>
        <v>2128.8437159710002</v>
      </c>
      <c r="J11" s="136">
        <f>IF(ISTEXT('IS Raw'!J11), -'IS Raw'!J21/Input!$B$1, Input!J9)</f>
        <v>773.07692048900003</v>
      </c>
      <c r="K11" s="136">
        <f>IF(ISTEXT('IS Raw'!K11), -'IS Raw'!K21/Input!$B$1, Input!K9)</f>
        <v>875.70243685100002</v>
      </c>
      <c r="L11" s="136">
        <f>IF(ISTEXT('IS Raw'!L11), -'IS Raw'!L21/Input!$B$1, Input!L9)</f>
        <v>897.55493153600003</v>
      </c>
      <c r="M11" s="136">
        <f>IF(ISTEXT('IS Raw'!M11), -'IS Raw'!M21/Input!$B$1, Input!M9)</f>
        <v>972.89627893099998</v>
      </c>
      <c r="N11" s="136">
        <f>IF(ISTEXT('IS Raw'!N11), -'IS Raw'!N21/Input!$B$1, Input!N9)</f>
        <v>846.93308036400003</v>
      </c>
      <c r="O11" s="136">
        <f>IF(ISTEXT('IS Raw'!O11), -'IS Raw'!O21/Input!$B$1, Input!O9)</f>
        <v>765.81309361800004</v>
      </c>
      <c r="P11" s="1782">
        <f>IF(ISTEXT('IS Raw'!P11), -'IS Raw'!P21/Input!$B$1, Input!P9)</f>
        <v>935.938713151</v>
      </c>
      <c r="Q11" s="137">
        <f>IF(ISTEXT('IS Raw'!Q11), -'IS Raw'!Q21/Input!$B$1, Input!Q9)</f>
        <v>1012.6251940072838</v>
      </c>
      <c r="R11" s="137">
        <f>IF(ISTEXT('IS Raw'!R11), -'IS Raw'!R21/Input!$B$1, Input!R9)</f>
        <v>1068.8092083292872</v>
      </c>
      <c r="S11" s="137">
        <f>IF(ISTEXT('IS Raw'!S11), -'IS Raw'!S21/Input!$B$1, Input!S9)</f>
        <v>1296.3681791200668</v>
      </c>
      <c r="T11" s="137">
        <f>IF(ISTEXT('IS Raw'!T11), -'IS Raw'!T21/Input!$B$1, Input!T9)</f>
        <v>1357.3298826322605</v>
      </c>
      <c r="U11" s="137">
        <f>IF(ISTEXT('IS Raw'!U11), -'IS Raw'!U21/Input!$B$1, Input!U9)</f>
        <v>1410.7837820808772</v>
      </c>
      <c r="V11" s="137">
        <f>IF(ISTEXT('IS Raw'!V11), -'IS Raw'!V21/Input!$B$1, Input!V9)</f>
        <v>1465.7026623117556</v>
      </c>
      <c r="W11" s="137">
        <f>IF(ISTEXT('IS Raw'!W11), -'IS Raw'!W21/Input!$B$1, Input!W9)</f>
        <v>1532.2327524787643</v>
      </c>
      <c r="X11" s="137">
        <f>IF(ISTEXT('IS Raw'!X11), -'IS Raw'!X21/Input!$B$1, Input!X9)</f>
        <v>1590.3549921054873</v>
      </c>
      <c r="Y11" s="137">
        <f>IF(ISTEXT('IS Raw'!Y11), -'IS Raw'!Y21/Input!$B$1, Input!Y9)</f>
        <v>1653.0812476685103</v>
      </c>
      <c r="Z11" s="137">
        <f>IF(ISTEXT('IS Raw'!Z11), -'IS Raw'!Z21/Input!$B$1, Input!Z9)</f>
        <v>1720.8580712685739</v>
      </c>
      <c r="AA11" s="137"/>
      <c r="AB11" s="138"/>
      <c r="AC11" s="138"/>
      <c r="AD11" s="138"/>
      <c r="AE11" s="138"/>
      <c r="AF11" s="138"/>
      <c r="AG11" s="138"/>
      <c r="AH11" s="138"/>
      <c r="AI11" s="138"/>
      <c r="AJ11" s="138"/>
      <c r="AK11" s="138"/>
      <c r="AL11" s="138"/>
      <c r="AM11" s="138"/>
      <c r="AN11" s="138"/>
      <c r="AO11" s="138"/>
      <c r="AP11" s="138"/>
      <c r="AQ11" s="138"/>
      <c r="AR11" s="138"/>
      <c r="AS11" s="138"/>
      <c r="AT11" s="138"/>
      <c r="AU11" s="138"/>
      <c r="AV11" s="138"/>
      <c r="AW11" s="138"/>
      <c r="AX11" s="138"/>
      <c r="AY11" s="138"/>
      <c r="AZ11" s="138"/>
      <c r="BA11" s="138"/>
      <c r="BB11" s="139"/>
      <c r="BC11" s="140"/>
    </row>
    <row r="12" spans="1:57" s="117" customFormat="1" ht="15" customHeight="1" x14ac:dyDescent="0.25">
      <c r="A12" s="132"/>
      <c r="B12" s="151"/>
      <c r="C12" s="151"/>
      <c r="E12" s="152"/>
      <c r="F12" s="152"/>
      <c r="G12" s="152"/>
      <c r="H12" s="152"/>
      <c r="I12" s="152"/>
      <c r="J12" s="152"/>
      <c r="K12" s="152"/>
      <c r="L12" s="152"/>
      <c r="M12" s="152"/>
      <c r="N12" s="153"/>
      <c r="O12" s="153"/>
      <c r="P12" s="154"/>
      <c r="Q12" s="153"/>
      <c r="R12" s="153"/>
      <c r="S12" s="153"/>
      <c r="T12" s="153"/>
      <c r="U12" s="153"/>
      <c r="V12" s="153"/>
      <c r="W12" s="153"/>
      <c r="X12" s="153"/>
      <c r="Y12" s="153"/>
      <c r="Z12" s="153"/>
      <c r="AA12" s="153"/>
      <c r="AB12" s="153"/>
      <c r="AC12" s="153"/>
      <c r="AD12" s="153"/>
      <c r="AE12" s="153"/>
      <c r="AF12" s="153"/>
      <c r="AG12" s="153"/>
      <c r="AH12" s="153"/>
      <c r="AI12" s="153"/>
      <c r="AJ12" s="153"/>
      <c r="AK12" s="153"/>
      <c r="AL12" s="153"/>
      <c r="AM12" s="153"/>
      <c r="AN12" s="153"/>
      <c r="AO12" s="153"/>
      <c r="AP12" s="153"/>
      <c r="AQ12" s="153"/>
      <c r="AR12" s="153"/>
      <c r="AS12" s="153"/>
      <c r="AT12" s="153"/>
      <c r="AU12" s="153"/>
      <c r="AV12" s="153"/>
      <c r="AW12" s="153"/>
      <c r="AX12" s="153"/>
      <c r="AY12" s="153"/>
      <c r="AZ12" s="153"/>
      <c r="BA12" s="153"/>
      <c r="BB12" s="155"/>
      <c r="BC12" s="123"/>
    </row>
    <row r="13" spans="1:57" s="124" customFormat="1" ht="15" customHeight="1" x14ac:dyDescent="0.25">
      <c r="A13" s="115"/>
      <c r="B13" s="156" t="s">
        <v>406</v>
      </c>
      <c r="C13" s="156"/>
      <c r="E13" s="157"/>
      <c r="F13" s="157"/>
      <c r="G13" s="157"/>
      <c r="H13" s="157"/>
      <c r="I13" s="158">
        <f>I5-I9</f>
        <v>323.03558912199969</v>
      </c>
      <c r="J13" s="158">
        <f>J5-J9</f>
        <v>451.991116444</v>
      </c>
      <c r="K13" s="158">
        <f t="shared" ref="K13:Z13" si="15">K5-K9</f>
        <v>509.19939768699999</v>
      </c>
      <c r="L13" s="158">
        <f t="shared" si="15"/>
        <v>490.67246687099998</v>
      </c>
      <c r="M13" s="158">
        <f t="shared" si="15"/>
        <v>428.12803732000009</v>
      </c>
      <c r="N13" s="158">
        <f t="shared" si="15"/>
        <v>414.79594111999995</v>
      </c>
      <c r="O13" s="158">
        <f t="shared" si="15"/>
        <v>491.13927792499999</v>
      </c>
      <c r="P13" s="1783">
        <f t="shared" si="15"/>
        <v>622.56562013200005</v>
      </c>
      <c r="Q13" s="120">
        <f t="shared" si="15"/>
        <v>661.99900160567711</v>
      </c>
      <c r="R13" s="120">
        <f t="shared" si="15"/>
        <v>678.25415021938261</v>
      </c>
      <c r="S13" s="120">
        <f t="shared" si="15"/>
        <v>909.30974838698171</v>
      </c>
      <c r="T13" s="120">
        <f t="shared" si="15"/>
        <v>995.33256883154331</v>
      </c>
      <c r="U13" s="120">
        <f t="shared" si="15"/>
        <v>1089.4252402767661</v>
      </c>
      <c r="V13" s="120">
        <f t="shared" si="15"/>
        <v>1156.2326822261464</v>
      </c>
      <c r="W13" s="120">
        <f t="shared" si="15"/>
        <v>1241.5880635905396</v>
      </c>
      <c r="X13" s="120">
        <f t="shared" si="15"/>
        <v>1290.6026629918347</v>
      </c>
      <c r="Y13" s="120">
        <f t="shared" si="15"/>
        <v>1343.856675311991</v>
      </c>
      <c r="Z13" s="120">
        <f t="shared" si="15"/>
        <v>1401.7758617162826</v>
      </c>
      <c r="AA13" s="120"/>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1"/>
      <c r="BB13" s="122"/>
      <c r="BC13" s="123"/>
    </row>
    <row r="14" spans="1:57" s="165" customFormat="1" ht="15" customHeight="1" x14ac:dyDescent="0.25">
      <c r="A14" s="159"/>
      <c r="B14" s="160" t="s">
        <v>407</v>
      </c>
      <c r="C14" s="160"/>
      <c r="D14" s="161"/>
      <c r="E14" s="161"/>
      <c r="F14" s="161"/>
      <c r="G14" s="161"/>
      <c r="H14" s="161"/>
      <c r="I14" s="161">
        <f>IFERROR(I15/I7, " ")</f>
        <v>0.13175020012241057</v>
      </c>
      <c r="J14" s="161">
        <f>IFERROR(J15/J7, " ")</f>
        <v>0.36895184823822136</v>
      </c>
      <c r="K14" s="161">
        <f t="shared" ref="K14:Z14" si="16">IFERROR(K15/K7, " ")</f>
        <v>0.36767905492512232</v>
      </c>
      <c r="L14" s="161">
        <f t="shared" si="16"/>
        <v>0.35345251608925876</v>
      </c>
      <c r="M14" s="161">
        <f t="shared" si="16"/>
        <v>0.30558216039078295</v>
      </c>
      <c r="N14" s="161">
        <f t="shared" si="16"/>
        <v>0.3287520014655223</v>
      </c>
      <c r="O14" s="161">
        <f t="shared" si="16"/>
        <v>0.39073817675533001</v>
      </c>
      <c r="P14" s="1784">
        <f t="shared" si="16"/>
        <v>0.39946351565193361</v>
      </c>
      <c r="Q14" s="163">
        <f t="shared" si="16"/>
        <v>0.39531197706322779</v>
      </c>
      <c r="R14" s="163">
        <f t="shared" si="16"/>
        <v>0.38822527351430786</v>
      </c>
      <c r="S14" s="163">
        <f t="shared" si="16"/>
        <v>0.41225862445598416</v>
      </c>
      <c r="T14" s="163">
        <f t="shared" si="16"/>
        <v>0.4230664574139214</v>
      </c>
      <c r="U14" s="163">
        <f t="shared" si="16"/>
        <v>0.43573366487953136</v>
      </c>
      <c r="V14" s="163">
        <f t="shared" si="16"/>
        <v>0.44098443717723496</v>
      </c>
      <c r="W14" s="163">
        <f t="shared" si="16"/>
        <v>0.44760932515819674</v>
      </c>
      <c r="X14" s="163">
        <f t="shared" si="16"/>
        <v>0.44797696373924545</v>
      </c>
      <c r="Y14" s="163">
        <f t="shared" si="16"/>
        <v>0.44840991366798305</v>
      </c>
      <c r="Z14" s="163">
        <f t="shared" si="16"/>
        <v>0.44890816272413853</v>
      </c>
      <c r="AA14" s="162"/>
      <c r="AB14" s="163"/>
      <c r="AC14" s="163"/>
      <c r="AD14" s="163"/>
      <c r="AE14" s="163"/>
      <c r="AF14" s="163"/>
      <c r="AG14" s="163"/>
      <c r="AH14" s="163"/>
      <c r="AI14" s="163"/>
      <c r="AJ14" s="163"/>
      <c r="AK14" s="163"/>
      <c r="AL14" s="163"/>
      <c r="AM14" s="163"/>
      <c r="AN14" s="163"/>
      <c r="AO14" s="163"/>
      <c r="AP14" s="163"/>
      <c r="AQ14" s="163"/>
      <c r="AR14" s="163"/>
      <c r="AS14" s="163"/>
      <c r="AT14" s="163"/>
      <c r="AU14" s="163"/>
      <c r="AV14" s="163"/>
      <c r="AW14" s="163"/>
      <c r="AX14" s="163"/>
      <c r="AY14" s="163"/>
      <c r="AZ14" s="163"/>
      <c r="BA14" s="163"/>
      <c r="BB14" s="161"/>
      <c r="BC14" s="130"/>
      <c r="BD14" s="164"/>
      <c r="BE14" s="164"/>
    </row>
    <row r="15" spans="1:57" s="117" customFormat="1" ht="15" customHeight="1" x14ac:dyDescent="0.25">
      <c r="A15" s="132"/>
      <c r="B15" s="133" t="s">
        <v>408</v>
      </c>
      <c r="C15" s="133"/>
      <c r="D15" s="134"/>
      <c r="E15" s="166"/>
      <c r="F15" s="166"/>
      <c r="G15" s="166"/>
      <c r="H15" s="166"/>
      <c r="I15" s="167">
        <f>I7-I11</f>
        <v>323.03558912199969</v>
      </c>
      <c r="J15" s="167">
        <f>J7-J11</f>
        <v>451.991116444</v>
      </c>
      <c r="K15" s="167">
        <f t="shared" ref="K15:Z15" si="17">K7-K11</f>
        <v>509.19939768699999</v>
      </c>
      <c r="L15" s="167">
        <f t="shared" si="17"/>
        <v>490.67246687099998</v>
      </c>
      <c r="M15" s="167">
        <f t="shared" si="17"/>
        <v>428.12803732000009</v>
      </c>
      <c r="N15" s="167">
        <f t="shared" si="17"/>
        <v>414.79594111999995</v>
      </c>
      <c r="O15" s="167">
        <f t="shared" si="17"/>
        <v>491.13927792499999</v>
      </c>
      <c r="P15" s="743">
        <f t="shared" si="17"/>
        <v>622.56562013200005</v>
      </c>
      <c r="Q15" s="168">
        <f t="shared" si="17"/>
        <v>661.99900160567711</v>
      </c>
      <c r="R15" s="168">
        <f t="shared" si="17"/>
        <v>678.25415021938261</v>
      </c>
      <c r="S15" s="168">
        <f t="shared" si="17"/>
        <v>909.30974838698171</v>
      </c>
      <c r="T15" s="168">
        <f t="shared" si="17"/>
        <v>995.33256883154331</v>
      </c>
      <c r="U15" s="168">
        <f t="shared" si="17"/>
        <v>1089.4252402767661</v>
      </c>
      <c r="V15" s="168">
        <f t="shared" si="17"/>
        <v>1156.2326822261464</v>
      </c>
      <c r="W15" s="168">
        <f t="shared" si="17"/>
        <v>1241.5880635905396</v>
      </c>
      <c r="X15" s="168">
        <f t="shared" si="17"/>
        <v>1290.6026629918347</v>
      </c>
      <c r="Y15" s="168">
        <f t="shared" si="17"/>
        <v>1343.856675311991</v>
      </c>
      <c r="Z15" s="168">
        <f t="shared" si="17"/>
        <v>1401.7758617162826</v>
      </c>
      <c r="AA15" s="168"/>
      <c r="AB15" s="169"/>
      <c r="AC15" s="169"/>
      <c r="AD15" s="169"/>
      <c r="AE15" s="169"/>
      <c r="AF15" s="169"/>
      <c r="AG15" s="169"/>
      <c r="AH15" s="169"/>
      <c r="AI15" s="169"/>
      <c r="AJ15" s="169"/>
      <c r="AK15" s="169"/>
      <c r="AL15" s="169"/>
      <c r="AM15" s="169"/>
      <c r="AN15" s="169"/>
      <c r="AO15" s="169"/>
      <c r="AP15" s="169"/>
      <c r="AQ15" s="169"/>
      <c r="AR15" s="169"/>
      <c r="AS15" s="169"/>
      <c r="AT15" s="169"/>
      <c r="AU15" s="169"/>
      <c r="AV15" s="169"/>
      <c r="AW15" s="169"/>
      <c r="AX15" s="169"/>
      <c r="AY15" s="169"/>
      <c r="AZ15" s="169"/>
      <c r="BA15" s="169"/>
      <c r="BB15" s="134"/>
      <c r="BC15" s="140"/>
    </row>
    <row r="16" spans="1:57" x14ac:dyDescent="0.25">
      <c r="D16" s="112"/>
      <c r="E16" s="170"/>
      <c r="F16" s="170"/>
      <c r="G16" s="170"/>
      <c r="H16" s="170"/>
      <c r="I16" s="170"/>
      <c r="J16" s="170"/>
      <c r="K16" s="170"/>
      <c r="L16" s="170"/>
      <c r="M16" s="170"/>
      <c r="N16" s="170"/>
      <c r="O16" s="170"/>
      <c r="P16" s="171"/>
      <c r="Q16" s="170"/>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13"/>
      <c r="BD16" s="112"/>
      <c r="BE16" s="112"/>
    </row>
    <row r="17" spans="1:57" s="124" customFormat="1" ht="15" customHeight="1" x14ac:dyDescent="0.25">
      <c r="A17" s="115"/>
      <c r="B17" s="116" t="s">
        <v>409</v>
      </c>
      <c r="C17" s="116"/>
      <c r="E17" s="118"/>
      <c r="F17" s="118"/>
      <c r="G17" s="118"/>
      <c r="H17" s="118"/>
      <c r="I17" s="119">
        <f>I21+I25</f>
        <v>154.662770096</v>
      </c>
      <c r="J17" s="119">
        <f>J21+J25</f>
        <v>324.11408480799997</v>
      </c>
      <c r="K17" s="119">
        <f t="shared" ref="K17:P17" si="18">K21+K25</f>
        <v>351.19045200300002</v>
      </c>
      <c r="L17" s="119">
        <f t="shared" si="18"/>
        <v>303.73434159300001</v>
      </c>
      <c r="M17" s="119">
        <f t="shared" si="18"/>
        <v>241.571069018</v>
      </c>
      <c r="N17" s="119">
        <f t="shared" si="18"/>
        <v>254.04638620999998</v>
      </c>
      <c r="O17" s="119">
        <f t="shared" si="18"/>
        <v>309.35620358699998</v>
      </c>
      <c r="P17" s="671">
        <f t="shared" si="18"/>
        <v>405.43709983100001</v>
      </c>
      <c r="Q17" s="172">
        <f>Q21+Q25</f>
        <v>388.64818126208149</v>
      </c>
      <c r="R17" s="172">
        <f t="shared" ref="R17:Z17" si="19">R21+R25</f>
        <v>405.45992266702751</v>
      </c>
      <c r="S17" s="172">
        <f t="shared" si="19"/>
        <v>511.89557467355212</v>
      </c>
      <c r="T17" s="172">
        <f t="shared" si="19"/>
        <v>546.00786569330319</v>
      </c>
      <c r="U17" s="172">
        <f t="shared" si="19"/>
        <v>580.25059703539875</v>
      </c>
      <c r="V17" s="172">
        <f t="shared" si="19"/>
        <v>608.50094350179711</v>
      </c>
      <c r="W17" s="172">
        <f t="shared" si="19"/>
        <v>643.75065052588934</v>
      </c>
      <c r="X17" s="172">
        <f t="shared" si="19"/>
        <v>668.61505756329427</v>
      </c>
      <c r="Y17" s="172">
        <f t="shared" si="19"/>
        <v>695.53185495173034</v>
      </c>
      <c r="Z17" s="172">
        <f t="shared" si="19"/>
        <v>724.70348988216438</v>
      </c>
      <c r="AA17" s="172"/>
      <c r="AB17" s="173"/>
      <c r="AC17" s="173"/>
      <c r="AD17" s="173"/>
      <c r="AE17" s="173"/>
      <c r="AF17" s="173"/>
      <c r="AG17" s="173"/>
      <c r="AH17" s="173"/>
      <c r="AI17" s="173"/>
      <c r="AJ17" s="173"/>
      <c r="AK17" s="173"/>
      <c r="AL17" s="173"/>
      <c r="AM17" s="173"/>
      <c r="AN17" s="173"/>
      <c r="AO17" s="173"/>
      <c r="AP17" s="173"/>
      <c r="AQ17" s="173"/>
      <c r="AR17" s="173"/>
      <c r="AS17" s="173"/>
      <c r="AT17" s="173"/>
      <c r="AU17" s="173"/>
      <c r="AV17" s="173"/>
      <c r="AW17" s="173"/>
      <c r="AX17" s="173"/>
      <c r="AY17" s="173"/>
      <c r="AZ17" s="173"/>
      <c r="BA17" s="173"/>
      <c r="BC17" s="123"/>
    </row>
    <row r="18" spans="1:57" s="180" customFormat="1" x14ac:dyDescent="0.25">
      <c r="A18" s="174"/>
      <c r="B18" s="175" t="s">
        <v>404</v>
      </c>
      <c r="C18" s="175"/>
      <c r="D18" s="176"/>
      <c r="E18" s="177"/>
      <c r="F18" s="177"/>
      <c r="G18" s="177"/>
      <c r="H18" s="177"/>
      <c r="I18" s="177">
        <f>I19/I7</f>
        <v>6.3079275466266738E-2</v>
      </c>
      <c r="J18" s="177">
        <f>J19/J7</f>
        <v>0.26456823216074654</v>
      </c>
      <c r="K18" s="177">
        <f t="shared" ref="K18:Z18" si="20">K19/K7</f>
        <v>0.25358508685935588</v>
      </c>
      <c r="L18" s="177">
        <f t="shared" si="20"/>
        <v>0.21879293114480894</v>
      </c>
      <c r="M18" s="177">
        <f t="shared" si="20"/>
        <v>0.17242460834971077</v>
      </c>
      <c r="N18" s="177">
        <f t="shared" si="20"/>
        <v>0.20134781865538753</v>
      </c>
      <c r="O18" s="177">
        <f t="shared" si="20"/>
        <v>0.24611609046669194</v>
      </c>
      <c r="P18" s="1785">
        <f t="shared" si="20"/>
        <v>0.26014499361509247</v>
      </c>
      <c r="Q18" s="179">
        <f t="shared" si="20"/>
        <v>0.23208083478085961</v>
      </c>
      <c r="R18" s="179">
        <f t="shared" si="20"/>
        <v>0.23208083478085959</v>
      </c>
      <c r="S18" s="179">
        <f t="shared" si="20"/>
        <v>0.23208083478085959</v>
      </c>
      <c r="T18" s="179">
        <f t="shared" si="20"/>
        <v>0.23208083478085961</v>
      </c>
      <c r="U18" s="179">
        <f t="shared" si="20"/>
        <v>0.23208083478085961</v>
      </c>
      <c r="V18" s="179">
        <f t="shared" si="20"/>
        <v>0.23208083478085964</v>
      </c>
      <c r="W18" s="179">
        <f t="shared" si="20"/>
        <v>0.23208083478085964</v>
      </c>
      <c r="X18" s="179">
        <f t="shared" si="20"/>
        <v>0.23208083478085959</v>
      </c>
      <c r="Y18" s="179">
        <f t="shared" si="20"/>
        <v>0.23208083478085964</v>
      </c>
      <c r="Z18" s="179">
        <f t="shared" si="20"/>
        <v>0.23208083478085961</v>
      </c>
      <c r="AA18" s="178"/>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6"/>
      <c r="BC18" s="146"/>
    </row>
    <row r="19" spans="1:57" s="117" customFormat="1" x14ac:dyDescent="0.25">
      <c r="A19" s="132"/>
      <c r="B19" s="133" t="s">
        <v>410</v>
      </c>
      <c r="C19" s="133"/>
      <c r="D19" s="134"/>
      <c r="E19" s="135"/>
      <c r="F19" s="135"/>
      <c r="G19" s="135"/>
      <c r="H19" s="135"/>
      <c r="I19" s="136">
        <f>I23+I27</f>
        <v>154.662770096</v>
      </c>
      <c r="J19" s="136">
        <f>J23+J27</f>
        <v>324.11408480799997</v>
      </c>
      <c r="K19" s="136">
        <f t="shared" ref="K19:Z19" si="21">K23+K27</f>
        <v>351.19045200300002</v>
      </c>
      <c r="L19" s="136">
        <f t="shared" si="21"/>
        <v>303.73434159300001</v>
      </c>
      <c r="M19" s="136">
        <f t="shared" si="21"/>
        <v>241.571069018</v>
      </c>
      <c r="N19" s="136">
        <f t="shared" si="21"/>
        <v>254.04638620999998</v>
      </c>
      <c r="O19" s="136">
        <f t="shared" si="21"/>
        <v>309.35620358699998</v>
      </c>
      <c r="P19" s="1782">
        <f t="shared" si="21"/>
        <v>405.43709983100001</v>
      </c>
      <c r="Q19" s="137">
        <f t="shared" si="21"/>
        <v>388.64818126208149</v>
      </c>
      <c r="R19" s="137">
        <f t="shared" si="21"/>
        <v>405.45992266702751</v>
      </c>
      <c r="S19" s="137">
        <f t="shared" si="21"/>
        <v>511.89557467355212</v>
      </c>
      <c r="T19" s="137">
        <f t="shared" si="21"/>
        <v>546.00786569330319</v>
      </c>
      <c r="U19" s="137">
        <f t="shared" si="21"/>
        <v>580.25059703539875</v>
      </c>
      <c r="V19" s="137">
        <f t="shared" si="21"/>
        <v>608.50094350179711</v>
      </c>
      <c r="W19" s="137">
        <f t="shared" si="21"/>
        <v>643.75065052588934</v>
      </c>
      <c r="X19" s="137">
        <f t="shared" si="21"/>
        <v>668.61505756329427</v>
      </c>
      <c r="Y19" s="137">
        <f t="shared" si="21"/>
        <v>695.53185495173034</v>
      </c>
      <c r="Z19" s="137">
        <f t="shared" si="21"/>
        <v>724.70348988216438</v>
      </c>
      <c r="AA19" s="137"/>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39"/>
      <c r="BC19" s="140"/>
    </row>
    <row r="20" spans="1:57" s="42" customFormat="1" x14ac:dyDescent="0.25">
      <c r="A20" s="41"/>
      <c r="D20" s="181"/>
      <c r="E20" s="44"/>
      <c r="F20" s="44"/>
      <c r="G20" s="44"/>
      <c r="H20" s="44"/>
      <c r="I20" s="44"/>
      <c r="J20" s="44"/>
      <c r="K20" s="44"/>
      <c r="L20" s="44"/>
      <c r="M20" s="44"/>
      <c r="N20" s="182"/>
      <c r="O20" s="182"/>
      <c r="P20" s="183"/>
      <c r="Q20" s="182"/>
      <c r="R20" s="182"/>
      <c r="S20" s="182"/>
      <c r="T20" s="182"/>
      <c r="U20" s="182"/>
      <c r="V20" s="182"/>
      <c r="W20" s="182"/>
      <c r="X20" s="182"/>
      <c r="Y20" s="182"/>
      <c r="Z20" s="182"/>
      <c r="AA20" s="182"/>
      <c r="AB20" s="182"/>
      <c r="AC20" s="182"/>
      <c r="AD20" s="182"/>
      <c r="AE20" s="182"/>
      <c r="AF20" s="182"/>
      <c r="AG20" s="182"/>
      <c r="AH20" s="182"/>
      <c r="AI20" s="182"/>
      <c r="AJ20" s="182"/>
      <c r="AK20" s="182"/>
      <c r="AL20" s="182"/>
      <c r="AM20" s="182"/>
      <c r="AN20" s="182"/>
      <c r="AO20" s="182"/>
      <c r="AP20" s="182"/>
      <c r="AQ20" s="182"/>
      <c r="AR20" s="182"/>
      <c r="AS20" s="182"/>
      <c r="AT20" s="182"/>
      <c r="AU20" s="182"/>
      <c r="AV20" s="182"/>
      <c r="AW20" s="182"/>
      <c r="AX20" s="182"/>
      <c r="AY20" s="182"/>
      <c r="AZ20" s="182"/>
      <c r="BA20" s="182"/>
      <c r="BB20" s="184"/>
      <c r="BC20" s="123"/>
      <c r="BD20" s="181"/>
      <c r="BE20" s="181"/>
    </row>
    <row r="21" spans="1:57" s="124" customFormat="1" x14ac:dyDescent="0.25">
      <c r="A21" s="115">
        <v>3</v>
      </c>
      <c r="B21" s="185" t="s">
        <v>411</v>
      </c>
      <c r="C21" s="185"/>
      <c r="D21" s="186"/>
      <c r="E21" s="187"/>
      <c r="F21" s="187"/>
      <c r="G21" s="187"/>
      <c r="H21" s="187"/>
      <c r="I21" s="188">
        <f>-'IS Raw'!I30/$B$1</f>
        <v>83.251927007000006</v>
      </c>
      <c r="J21" s="188">
        <f>-'IS Raw'!J30/$B$1</f>
        <v>222.09589608499999</v>
      </c>
      <c r="K21" s="188">
        <f>-'IS Raw'!K30/$B$1</f>
        <v>260.80345499600003</v>
      </c>
      <c r="L21" s="188">
        <f>-'IS Raw'!L30/$B$1</f>
        <v>210.957435113</v>
      </c>
      <c r="M21" s="188">
        <f>-'IS Raw'!M30/$B$1</f>
        <v>174.049858919</v>
      </c>
      <c r="N21" s="188">
        <f>-'IS Raw'!N30/$B$1</f>
        <v>169.937788281</v>
      </c>
      <c r="O21" s="188">
        <f>-'IS Raw'!O30/$B$1</f>
        <v>220.85512802299999</v>
      </c>
      <c r="P21" s="1786">
        <f>-'IS Raw'!P30/$B$1</f>
        <v>276.43932295000002</v>
      </c>
      <c r="Q21" s="120">
        <f>'Consol. Rev.'!Q87</f>
        <v>271.18672571559631</v>
      </c>
      <c r="R21" s="120">
        <f>'Consol. Rev.'!R87</f>
        <v>282.91744085847824</v>
      </c>
      <c r="S21" s="120">
        <f>'Consol. Rev.'!S87</f>
        <v>357.18495929461858</v>
      </c>
      <c r="T21" s="120">
        <f>'Consol. Rev.'!T87</f>
        <v>380.98746488788578</v>
      </c>
      <c r="U21" s="120">
        <f>'Consol. Rev.'!U87</f>
        <v>404.88098771891038</v>
      </c>
      <c r="V21" s="120">
        <f>'Consol. Rev.'!V87</f>
        <v>424.59320902321519</v>
      </c>
      <c r="W21" s="120">
        <f>'Consol. Rev.'!W87</f>
        <v>449.18936845783617</v>
      </c>
      <c r="X21" s="120">
        <f>'Consol. Rev.'!X87</f>
        <v>466.53898555738635</v>
      </c>
      <c r="Y21" s="120">
        <f>'Consol. Rev.'!Y87</f>
        <v>485.32069740488822</v>
      </c>
      <c r="Z21" s="120">
        <f>'Consol. Rev.'!Z87</f>
        <v>505.67576541232199</v>
      </c>
      <c r="AA21" s="120"/>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2"/>
      <c r="BC21" s="123"/>
    </row>
    <row r="22" spans="1:57" s="180" customFormat="1" x14ac:dyDescent="0.25">
      <c r="A22" s="189"/>
      <c r="B22" s="190" t="s">
        <v>404</v>
      </c>
      <c r="C22" s="190"/>
      <c r="D22" s="176"/>
      <c r="E22" s="177"/>
      <c r="F22" s="177"/>
      <c r="G22" s="177"/>
      <c r="H22" s="177"/>
      <c r="I22" s="177">
        <f>IFERROR(I23/I7, " ")</f>
        <v>3.3954333247183333E-2</v>
      </c>
      <c r="J22" s="177">
        <f>IFERROR(J23/J7, " ")</f>
        <v>0.18129270325346558</v>
      </c>
      <c r="K22" s="177">
        <f t="shared" ref="K22:Z22" si="22">IFERROR(K23/K7, " ")</f>
        <v>0.18831909128274313</v>
      </c>
      <c r="L22" s="177">
        <f t="shared" si="22"/>
        <v>0.15196172857204449</v>
      </c>
      <c r="M22" s="177">
        <f t="shared" si="22"/>
        <v>0.12423043404752594</v>
      </c>
      <c r="N22" s="177">
        <f t="shared" si="22"/>
        <v>0.1346864385199964</v>
      </c>
      <c r="O22" s="177">
        <f t="shared" si="22"/>
        <v>0.17570683903629883</v>
      </c>
      <c r="P22" s="1785">
        <f t="shared" si="22"/>
        <v>0.17737475414500689</v>
      </c>
      <c r="Q22" s="179">
        <f t="shared" si="22"/>
        <v>0.16193885555101162</v>
      </c>
      <c r="R22" s="179">
        <f t="shared" si="22"/>
        <v>0.16193885555101162</v>
      </c>
      <c r="S22" s="179">
        <f t="shared" si="22"/>
        <v>0.16193885555101162</v>
      </c>
      <c r="T22" s="179">
        <f t="shared" si="22"/>
        <v>0.16193885555101162</v>
      </c>
      <c r="U22" s="179">
        <f t="shared" si="22"/>
        <v>0.16193885555101162</v>
      </c>
      <c r="V22" s="179">
        <f t="shared" si="22"/>
        <v>0.16193885555101162</v>
      </c>
      <c r="W22" s="179">
        <f t="shared" si="22"/>
        <v>0.16193885555101162</v>
      </c>
      <c r="X22" s="179">
        <f t="shared" si="22"/>
        <v>0.16193885555101162</v>
      </c>
      <c r="Y22" s="179">
        <f t="shared" si="22"/>
        <v>0.16193885555101162</v>
      </c>
      <c r="Z22" s="179">
        <f t="shared" si="22"/>
        <v>0.16193885555101162</v>
      </c>
      <c r="AA22" s="178"/>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6"/>
      <c r="BC22" s="146"/>
    </row>
    <row r="23" spans="1:57" s="117" customFormat="1" x14ac:dyDescent="0.25">
      <c r="A23" s="132"/>
      <c r="B23" s="191" t="s">
        <v>412</v>
      </c>
      <c r="C23" s="191"/>
      <c r="D23" s="134"/>
      <c r="E23" s="135"/>
      <c r="F23" s="135"/>
      <c r="G23" s="135"/>
      <c r="H23" s="135"/>
      <c r="I23" s="136">
        <f>IF(ISTEXT('IS Raw'!I11), -'IS Raw'!I30/Input!$B$1, Input!I21)</f>
        <v>83.251927007000006</v>
      </c>
      <c r="J23" s="136">
        <f>IF(ISTEXT('IS Raw'!J11), -'IS Raw'!J30/Input!$B$1, Input!J21)</f>
        <v>222.09589608499999</v>
      </c>
      <c r="K23" s="136">
        <f>IF(ISTEXT('IS Raw'!K11), -'IS Raw'!K30/Input!$B$1, Input!K21)</f>
        <v>260.80345499600003</v>
      </c>
      <c r="L23" s="136">
        <f>IF(ISTEXT('IS Raw'!L11), -'IS Raw'!L30/Input!$B$1, Input!L21)</f>
        <v>210.957435113</v>
      </c>
      <c r="M23" s="136">
        <f>IF(ISTEXT('IS Raw'!M11), -'IS Raw'!M30/Input!$B$1, Input!M21)</f>
        <v>174.049858919</v>
      </c>
      <c r="N23" s="136">
        <f>IF(ISTEXT('IS Raw'!N11), -'IS Raw'!N30/Input!$B$1, Input!N21)</f>
        <v>169.937788281</v>
      </c>
      <c r="O23" s="136">
        <f>IF(ISTEXT('IS Raw'!O11), -'IS Raw'!O30/Input!$B$1, Input!O21)</f>
        <v>220.85512802299999</v>
      </c>
      <c r="P23" s="1782">
        <f>IF(ISTEXT('IS Raw'!P11), -'IS Raw'!P30/Input!$B$1, Input!P21)</f>
        <v>276.43932295000002</v>
      </c>
      <c r="Q23" s="137">
        <f>IF(ISTEXT('IS Raw'!Q11), -'IS Raw'!Q30/Input!$B$1, Input!Q21)</f>
        <v>271.18672571559631</v>
      </c>
      <c r="R23" s="137">
        <f>IF(ISTEXT('IS Raw'!R11), -'IS Raw'!R30/Input!$B$1, Input!R21)</f>
        <v>282.91744085847824</v>
      </c>
      <c r="S23" s="137">
        <f>IF(ISTEXT('IS Raw'!S11), -'IS Raw'!S30/Input!$B$1, Input!S21)</f>
        <v>357.18495929461858</v>
      </c>
      <c r="T23" s="137">
        <f>IF(ISTEXT('IS Raw'!T11), -'IS Raw'!T30/Input!$B$1, Input!T21)</f>
        <v>380.98746488788578</v>
      </c>
      <c r="U23" s="137">
        <f>IF(ISTEXT('IS Raw'!U11), -'IS Raw'!U30/Input!$B$1, Input!U21)</f>
        <v>404.88098771891038</v>
      </c>
      <c r="V23" s="137">
        <f>IF(ISTEXT('IS Raw'!V11), -'IS Raw'!V30/Input!$B$1, Input!V21)</f>
        <v>424.59320902321519</v>
      </c>
      <c r="W23" s="137">
        <f>IF(ISTEXT('IS Raw'!W11), -'IS Raw'!W30/Input!$B$1, Input!W21)</f>
        <v>449.18936845783617</v>
      </c>
      <c r="X23" s="137">
        <f>IF(ISTEXT('IS Raw'!X11), -'IS Raw'!X30/Input!$B$1, Input!X21)</f>
        <v>466.53898555738635</v>
      </c>
      <c r="Y23" s="137">
        <f>IF(ISTEXT('IS Raw'!Y11), -'IS Raw'!Y30/Input!$B$1, Input!Y21)</f>
        <v>485.32069740488822</v>
      </c>
      <c r="Z23" s="137">
        <f>IF(ISTEXT('IS Raw'!Z11), -'IS Raw'!Z30/Input!$B$1, Input!Z21)</f>
        <v>505.67576541232199</v>
      </c>
      <c r="AA23" s="137"/>
      <c r="AB23" s="138"/>
      <c r="AC23" s="138"/>
      <c r="AD23" s="138"/>
      <c r="AE23" s="138"/>
      <c r="AF23" s="138"/>
      <c r="AG23" s="138"/>
      <c r="AH23" s="138"/>
      <c r="AI23" s="138"/>
      <c r="AJ23" s="138"/>
      <c r="AK23" s="138"/>
      <c r="AL23" s="138"/>
      <c r="AM23" s="138"/>
      <c r="AN23" s="138"/>
      <c r="AO23" s="138"/>
      <c r="AP23" s="138"/>
      <c r="AQ23" s="138"/>
      <c r="AR23" s="138"/>
      <c r="AS23" s="138"/>
      <c r="AT23" s="138"/>
      <c r="AU23" s="138"/>
      <c r="AV23" s="138"/>
      <c r="AW23" s="138"/>
      <c r="AX23" s="138"/>
      <c r="AY23" s="138"/>
      <c r="AZ23" s="138"/>
      <c r="BA23" s="138"/>
      <c r="BB23" s="139"/>
      <c r="BC23" s="140"/>
    </row>
    <row r="24" spans="1:57" s="196" customFormat="1" x14ac:dyDescent="0.25">
      <c r="A24" s="192"/>
      <c r="B24" s="193"/>
      <c r="C24" s="193"/>
      <c r="D24" s="177"/>
      <c r="E24" s="194"/>
      <c r="F24" s="194"/>
      <c r="G24" s="194"/>
      <c r="H24" s="194"/>
      <c r="I24" s="194"/>
      <c r="J24" s="194"/>
      <c r="K24" s="194"/>
      <c r="L24" s="194"/>
      <c r="M24" s="194"/>
      <c r="N24" s="194"/>
      <c r="O24" s="194"/>
      <c r="P24" s="195"/>
      <c r="Q24" s="194"/>
      <c r="R24" s="194"/>
      <c r="S24" s="194"/>
      <c r="T24" s="194"/>
      <c r="U24" s="194"/>
      <c r="V24" s="194"/>
      <c r="W24" s="194"/>
      <c r="X24" s="194"/>
      <c r="Y24" s="194"/>
      <c r="Z24" s="194"/>
      <c r="AA24" s="194"/>
      <c r="AB24" s="194"/>
      <c r="AC24" s="194"/>
      <c r="AD24" s="194"/>
      <c r="AE24" s="194"/>
      <c r="AF24" s="194"/>
      <c r="AG24" s="194"/>
      <c r="AH24" s="194"/>
      <c r="AI24" s="194"/>
      <c r="AJ24" s="194"/>
      <c r="AK24" s="194"/>
      <c r="AL24" s="194"/>
      <c r="AM24" s="194"/>
      <c r="AN24" s="194"/>
      <c r="AO24" s="194"/>
      <c r="AP24" s="194"/>
      <c r="AQ24" s="194"/>
      <c r="AR24" s="194"/>
      <c r="AS24" s="194"/>
      <c r="AT24" s="194"/>
      <c r="AU24" s="194"/>
      <c r="AV24" s="194"/>
      <c r="AW24" s="194"/>
      <c r="AX24" s="194"/>
      <c r="AY24" s="194"/>
      <c r="AZ24" s="194"/>
      <c r="BA24" s="194"/>
      <c r="BB24" s="177"/>
      <c r="BC24" s="146"/>
    </row>
    <row r="25" spans="1:57" s="124" customFormat="1" x14ac:dyDescent="0.25">
      <c r="A25" s="115">
        <v>4</v>
      </c>
      <c r="B25" s="185" t="s">
        <v>413</v>
      </c>
      <c r="C25" s="185"/>
      <c r="D25" s="186"/>
      <c r="E25" s="187"/>
      <c r="F25" s="187"/>
      <c r="G25" s="187"/>
      <c r="H25" s="187"/>
      <c r="I25" s="188">
        <f>-'IS Raw'!I31/$B$1</f>
        <v>71.410843088999997</v>
      </c>
      <c r="J25" s="188">
        <f>-'IS Raw'!J31/$B$1</f>
        <v>102.01818872299999</v>
      </c>
      <c r="K25" s="188">
        <f>-'IS Raw'!K31/$B$1</f>
        <v>90.386997007000005</v>
      </c>
      <c r="L25" s="188">
        <f>-'IS Raw'!L31/$B$1</f>
        <v>92.776906479999994</v>
      </c>
      <c r="M25" s="188">
        <f>-'IS Raw'!M31/$B$1</f>
        <v>67.521210099000001</v>
      </c>
      <c r="N25" s="188">
        <f>-'IS Raw'!N31/$B$1</f>
        <v>84.108597928999998</v>
      </c>
      <c r="O25" s="188">
        <f>-'IS Raw'!O31/$B$1</f>
        <v>88.501075564000004</v>
      </c>
      <c r="P25" s="1786">
        <f>-'IS Raw'!P31/$B$1</f>
        <v>128.99777688099999</v>
      </c>
      <c r="Q25" s="120">
        <f>'Consol. Rev.'!Q105</f>
        <v>117.46145554648521</v>
      </c>
      <c r="R25" s="120">
        <f>'Consol. Rev.'!R105</f>
        <v>122.54248180854927</v>
      </c>
      <c r="S25" s="120">
        <f>'Consol. Rev.'!S105</f>
        <v>154.71061537893357</v>
      </c>
      <c r="T25" s="120">
        <f>'Consol. Rev.'!T105</f>
        <v>165.02040080541738</v>
      </c>
      <c r="U25" s="120">
        <f>'Consol. Rev.'!U105</f>
        <v>175.36960931648838</v>
      </c>
      <c r="V25" s="120">
        <f>'Consol. Rev.'!V105</f>
        <v>183.90773447858186</v>
      </c>
      <c r="W25" s="120">
        <f>'Consol. Rev.'!W105</f>
        <v>194.56128206805312</v>
      </c>
      <c r="X25" s="120">
        <f>'Consol. Rev.'!X105</f>
        <v>202.07607200590792</v>
      </c>
      <c r="Y25" s="120">
        <f>'Consol. Rev.'!Y105</f>
        <v>210.21115754684212</v>
      </c>
      <c r="Z25" s="120">
        <f>'Consol. Rev.'!Z105</f>
        <v>219.02772446984235</v>
      </c>
      <c r="AA25" s="120"/>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2"/>
      <c r="BC25" s="123"/>
    </row>
    <row r="26" spans="1:57" s="180" customFormat="1" x14ac:dyDescent="0.25">
      <c r="A26" s="189"/>
      <c r="B26" s="190" t="s">
        <v>404</v>
      </c>
      <c r="C26" s="190"/>
      <c r="D26" s="176"/>
      <c r="E26" s="177"/>
      <c r="F26" s="177"/>
      <c r="G26" s="177"/>
      <c r="H26" s="177"/>
      <c r="I26" s="177">
        <f>I27/I7</f>
        <v>2.9124942219083405E-2</v>
      </c>
      <c r="J26" s="177">
        <f>J27/J7</f>
        <v>8.3275528907280974E-2</v>
      </c>
      <c r="K26" s="177">
        <f t="shared" ref="K26:Z26" si="23">K27/K7</f>
        <v>6.5265995576612765E-2</v>
      </c>
      <c r="L26" s="177">
        <f t="shared" si="23"/>
        <v>6.6831202572764453E-2</v>
      </c>
      <c r="M26" s="177">
        <f t="shared" si="23"/>
        <v>4.8194174302184818E-2</v>
      </c>
      <c r="N26" s="177">
        <f t="shared" si="23"/>
        <v>6.6661380135391121E-2</v>
      </c>
      <c r="O26" s="177">
        <f t="shared" si="23"/>
        <v>7.040925143039313E-2</v>
      </c>
      <c r="P26" s="1785">
        <f t="shared" si="23"/>
        <v>8.2770239470085591E-2</v>
      </c>
      <c r="Q26" s="179">
        <f t="shared" si="23"/>
        <v>7.0141979229847995E-2</v>
      </c>
      <c r="R26" s="179">
        <f t="shared" si="23"/>
        <v>7.0141979229847995E-2</v>
      </c>
      <c r="S26" s="179">
        <f t="shared" si="23"/>
        <v>7.0141979229847995E-2</v>
      </c>
      <c r="T26" s="179">
        <f t="shared" si="23"/>
        <v>7.0141979229847995E-2</v>
      </c>
      <c r="U26" s="179">
        <f t="shared" si="23"/>
        <v>7.0141979229847995E-2</v>
      </c>
      <c r="V26" s="179">
        <f t="shared" si="23"/>
        <v>7.0141979229847995E-2</v>
      </c>
      <c r="W26" s="179">
        <f t="shared" si="23"/>
        <v>7.0141979229847995E-2</v>
      </c>
      <c r="X26" s="179">
        <f t="shared" si="23"/>
        <v>7.0141979229847981E-2</v>
      </c>
      <c r="Y26" s="179">
        <f t="shared" si="23"/>
        <v>7.0141979229847995E-2</v>
      </c>
      <c r="Z26" s="179">
        <f t="shared" si="23"/>
        <v>7.0141979229847995E-2</v>
      </c>
      <c r="AA26" s="178"/>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6"/>
      <c r="BC26" s="146"/>
    </row>
    <row r="27" spans="1:57" s="117" customFormat="1" x14ac:dyDescent="0.25">
      <c r="A27" s="132"/>
      <c r="B27" s="191" t="s">
        <v>414</v>
      </c>
      <c r="C27" s="191"/>
      <c r="D27" s="134"/>
      <c r="E27" s="166"/>
      <c r="F27" s="166"/>
      <c r="G27" s="166"/>
      <c r="H27" s="166"/>
      <c r="I27" s="167">
        <f>IF(ISTEXT('IS Raw'!I25), 'IS Raw'!I30/Input!$B$1, Input!I25)</f>
        <v>71.410843088999997</v>
      </c>
      <c r="J27" s="167">
        <f>IF(ISTEXT('IS Raw'!J25), 'IS Raw'!J30/Input!$B$1, Input!J25)</f>
        <v>102.01818872299999</v>
      </c>
      <c r="K27" s="167">
        <f>IF(ISTEXT('IS Raw'!K25), 'IS Raw'!K30/Input!$B$1, Input!K25)</f>
        <v>90.386997007000005</v>
      </c>
      <c r="L27" s="167">
        <f>IF(ISTEXT('IS Raw'!L25), 'IS Raw'!L30/Input!$B$1, Input!L25)</f>
        <v>92.776906479999994</v>
      </c>
      <c r="M27" s="167">
        <f>IF(ISTEXT('IS Raw'!M25), 'IS Raw'!M30/Input!$B$1, Input!M25)</f>
        <v>67.521210099000001</v>
      </c>
      <c r="N27" s="167">
        <f>IF(ISTEXT('IS Raw'!N25), 'IS Raw'!N30/Input!$B$1, Input!N25)</f>
        <v>84.108597928999998</v>
      </c>
      <c r="O27" s="167">
        <f>IF(ISTEXT('IS Raw'!O25), 'IS Raw'!O30/Input!$B$1, Input!O25)</f>
        <v>88.501075564000004</v>
      </c>
      <c r="P27" s="743">
        <f>IF(ISTEXT('IS Raw'!P25), 'IS Raw'!P30/Input!$B$1, Input!P25)</f>
        <v>128.99777688099999</v>
      </c>
      <c r="Q27" s="168">
        <f>IF(ISTEXT('IS Raw'!Q25), 'IS Raw'!Q30/Input!$B$1, Input!Q25)</f>
        <v>117.46145554648521</v>
      </c>
      <c r="R27" s="168">
        <f>IF(ISTEXT('IS Raw'!R25), 'IS Raw'!R30/Input!$B$1, Input!R25)</f>
        <v>122.54248180854927</v>
      </c>
      <c r="S27" s="168">
        <f>IF(ISTEXT('IS Raw'!S25), 'IS Raw'!S30/Input!$B$1, Input!S25)</f>
        <v>154.71061537893357</v>
      </c>
      <c r="T27" s="168">
        <f>IF(ISTEXT('IS Raw'!T25), 'IS Raw'!T30/Input!$B$1, Input!T25)</f>
        <v>165.02040080541738</v>
      </c>
      <c r="U27" s="168">
        <f>IF(ISTEXT('IS Raw'!U25), 'IS Raw'!U30/Input!$B$1, Input!U25)</f>
        <v>175.36960931648838</v>
      </c>
      <c r="V27" s="168">
        <f>IF(ISTEXT('IS Raw'!V25), 'IS Raw'!V30/Input!$B$1, Input!V25)</f>
        <v>183.90773447858186</v>
      </c>
      <c r="W27" s="168">
        <f>IF(ISTEXT('IS Raw'!W25), 'IS Raw'!W30/Input!$B$1, Input!W25)</f>
        <v>194.56128206805312</v>
      </c>
      <c r="X27" s="168">
        <f>IF(ISTEXT('IS Raw'!X25), 'IS Raw'!X30/Input!$B$1, Input!X25)</f>
        <v>202.07607200590792</v>
      </c>
      <c r="Y27" s="168">
        <f>IF(ISTEXT('IS Raw'!Y25), 'IS Raw'!Y30/Input!$B$1, Input!Y25)</f>
        <v>210.21115754684212</v>
      </c>
      <c r="Z27" s="168">
        <f>IF(ISTEXT('IS Raw'!Z25), 'IS Raw'!Z30/Input!$B$1, Input!Z25)</f>
        <v>219.02772446984235</v>
      </c>
      <c r="AA27" s="168"/>
      <c r="AB27" s="169"/>
      <c r="AC27" s="169"/>
      <c r="AD27" s="169"/>
      <c r="AE27" s="169"/>
      <c r="AF27" s="169"/>
      <c r="AG27" s="169"/>
      <c r="AH27" s="169"/>
      <c r="AI27" s="169"/>
      <c r="AJ27" s="169"/>
      <c r="AK27" s="169"/>
      <c r="AL27" s="169"/>
      <c r="AM27" s="169"/>
      <c r="AN27" s="169"/>
      <c r="AO27" s="169"/>
      <c r="AP27" s="169"/>
      <c r="AQ27" s="169"/>
      <c r="AR27" s="169"/>
      <c r="AS27" s="169"/>
      <c r="AT27" s="169"/>
      <c r="AU27" s="169"/>
      <c r="AV27" s="169"/>
      <c r="AW27" s="169"/>
      <c r="AX27" s="169"/>
      <c r="AY27" s="169"/>
      <c r="AZ27" s="169"/>
      <c r="BA27" s="169"/>
      <c r="BB27" s="139"/>
      <c r="BC27" s="140"/>
    </row>
    <row r="28" spans="1:57" x14ac:dyDescent="0.25">
      <c r="D28" s="112"/>
      <c r="E28" s="170"/>
      <c r="F28" s="170"/>
      <c r="G28" s="170"/>
      <c r="H28" s="170"/>
      <c r="I28" s="170"/>
      <c r="J28" s="170"/>
      <c r="K28" s="170"/>
      <c r="L28" s="170"/>
      <c r="M28" s="170"/>
      <c r="N28" s="170"/>
      <c r="O28" s="170"/>
      <c r="P28" s="171"/>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13"/>
      <c r="BD28" s="112"/>
      <c r="BE28" s="112"/>
    </row>
    <row r="29" spans="1:57" s="124" customFormat="1" x14ac:dyDescent="0.25">
      <c r="A29" s="115"/>
      <c r="B29" s="116" t="s">
        <v>415</v>
      </c>
      <c r="C29" s="116"/>
      <c r="E29" s="157"/>
      <c r="F29" s="157"/>
      <c r="G29" s="157"/>
      <c r="H29" s="157"/>
      <c r="I29" s="158">
        <f>I9+I17</f>
        <v>2283.506486067</v>
      </c>
      <c r="J29" s="158">
        <f>J9+J17</f>
        <v>1097.1910052969999</v>
      </c>
      <c r="K29" s="158">
        <f t="shared" ref="K29:P29" si="24">K9+K17</f>
        <v>1226.8928888539999</v>
      </c>
      <c r="L29" s="158">
        <f t="shared" si="24"/>
        <v>1201.2892731290001</v>
      </c>
      <c r="M29" s="158">
        <f t="shared" si="24"/>
        <v>1214.467347949</v>
      </c>
      <c r="N29" s="158">
        <f t="shared" si="24"/>
        <v>1100.9794665740001</v>
      </c>
      <c r="O29" s="158">
        <f t="shared" si="24"/>
        <v>1075.169297205</v>
      </c>
      <c r="P29" s="1783">
        <f t="shared" si="24"/>
        <v>1341.3758129820001</v>
      </c>
      <c r="Q29" s="120">
        <f>+Q17+Q9</f>
        <v>1401.2733752693653</v>
      </c>
      <c r="R29" s="120">
        <f t="shared" ref="R29:Z29" si="25">+R17+R9</f>
        <v>1474.2691309963147</v>
      </c>
      <c r="S29" s="120">
        <f t="shared" si="25"/>
        <v>1808.2637537936189</v>
      </c>
      <c r="T29" s="120">
        <f t="shared" si="25"/>
        <v>1903.3377483255636</v>
      </c>
      <c r="U29" s="120">
        <f t="shared" si="25"/>
        <v>1991.0343791162759</v>
      </c>
      <c r="V29" s="120">
        <f t="shared" si="25"/>
        <v>2074.2036058135527</v>
      </c>
      <c r="W29" s="120">
        <f t="shared" si="25"/>
        <v>2175.9834030046536</v>
      </c>
      <c r="X29" s="120">
        <f t="shared" si="25"/>
        <v>2258.9700496687815</v>
      </c>
      <c r="Y29" s="120">
        <f t="shared" si="25"/>
        <v>2348.6131026202406</v>
      </c>
      <c r="Z29" s="120">
        <f t="shared" si="25"/>
        <v>2445.5615611507383</v>
      </c>
      <c r="AA29" s="120"/>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2"/>
      <c r="BC29" s="123"/>
    </row>
    <row r="30" spans="1:57" s="180" customFormat="1" x14ac:dyDescent="0.25">
      <c r="A30" s="174"/>
      <c r="B30" s="197" t="s">
        <v>404</v>
      </c>
      <c r="C30" s="197"/>
      <c r="D30" s="198"/>
      <c r="E30" s="148"/>
      <c r="F30" s="148"/>
      <c r="G30" s="148"/>
      <c r="H30" s="148"/>
      <c r="I30" s="199">
        <f>I31/I7</f>
        <v>0.93132907534385612</v>
      </c>
      <c r="J30" s="199">
        <f>J31/J7</f>
        <v>0.89561638392252507</v>
      </c>
      <c r="K30" s="199">
        <f t="shared" ref="K30:Z30" si="26">K31/K7</f>
        <v>0.88590603193423345</v>
      </c>
      <c r="L30" s="199">
        <f t="shared" si="26"/>
        <v>0.86534041505555026</v>
      </c>
      <c r="M30" s="199">
        <f t="shared" si="26"/>
        <v>0.86684244795892784</v>
      </c>
      <c r="N30" s="199">
        <f t="shared" si="26"/>
        <v>0.87259581718986534</v>
      </c>
      <c r="O30" s="199">
        <f t="shared" si="26"/>
        <v>0.85537791371136196</v>
      </c>
      <c r="P30" s="370">
        <f t="shared" si="26"/>
        <v>0.86068147796315886</v>
      </c>
      <c r="Q30" s="149">
        <f t="shared" si="26"/>
        <v>0.83676885771763176</v>
      </c>
      <c r="R30" s="149">
        <f t="shared" si="26"/>
        <v>0.84385556126655181</v>
      </c>
      <c r="S30" s="149">
        <f t="shared" si="26"/>
        <v>0.81982221032487546</v>
      </c>
      <c r="T30" s="149">
        <f t="shared" si="26"/>
        <v>0.80901437736693815</v>
      </c>
      <c r="U30" s="149">
        <f t="shared" si="26"/>
        <v>0.79634716990132826</v>
      </c>
      <c r="V30" s="149">
        <f t="shared" si="26"/>
        <v>0.79109639760362471</v>
      </c>
      <c r="W30" s="149">
        <f t="shared" si="26"/>
        <v>0.78447150962266288</v>
      </c>
      <c r="X30" s="149">
        <f t="shared" si="26"/>
        <v>0.78410387104161405</v>
      </c>
      <c r="Y30" s="149">
        <f t="shared" si="26"/>
        <v>0.78367092111287662</v>
      </c>
      <c r="Z30" s="149">
        <f t="shared" si="26"/>
        <v>0.78317267205672114</v>
      </c>
      <c r="AA30" s="149"/>
      <c r="AB30" s="150"/>
      <c r="AC30" s="150"/>
      <c r="AD30" s="150"/>
      <c r="AE30" s="150"/>
      <c r="AF30" s="150"/>
      <c r="AG30" s="150"/>
      <c r="AH30" s="150"/>
      <c r="AI30" s="150"/>
      <c r="AJ30" s="150"/>
      <c r="AK30" s="150"/>
      <c r="AL30" s="150"/>
      <c r="AM30" s="150"/>
      <c r="AN30" s="150"/>
      <c r="AO30" s="150"/>
      <c r="AP30" s="150"/>
      <c r="AQ30" s="150"/>
      <c r="AR30" s="150"/>
      <c r="AS30" s="150"/>
      <c r="AT30" s="150"/>
      <c r="AU30" s="150"/>
      <c r="AV30" s="150"/>
      <c r="AW30" s="150"/>
      <c r="AX30" s="150"/>
      <c r="AY30" s="150"/>
      <c r="AZ30" s="150"/>
      <c r="BA30" s="150"/>
      <c r="BB30" s="198"/>
      <c r="BC30" s="146"/>
    </row>
    <row r="31" spans="1:57" s="117" customFormat="1" x14ac:dyDescent="0.25">
      <c r="A31" s="132"/>
      <c r="B31" s="133" t="s">
        <v>416</v>
      </c>
      <c r="C31" s="133"/>
      <c r="D31" s="134"/>
      <c r="E31" s="135"/>
      <c r="F31" s="135"/>
      <c r="G31" s="135"/>
      <c r="H31" s="135"/>
      <c r="I31" s="136">
        <f>I11+I19</f>
        <v>2283.506486067</v>
      </c>
      <c r="J31" s="136">
        <f>J11+J19</f>
        <v>1097.1910052969999</v>
      </c>
      <c r="K31" s="136">
        <f t="shared" ref="K31:Z31" si="27">K11+K19</f>
        <v>1226.8928888539999</v>
      </c>
      <c r="L31" s="136">
        <f t="shared" si="27"/>
        <v>1201.2892731290001</v>
      </c>
      <c r="M31" s="136">
        <f t="shared" si="27"/>
        <v>1214.467347949</v>
      </c>
      <c r="N31" s="136">
        <f t="shared" si="27"/>
        <v>1100.9794665740001</v>
      </c>
      <c r="O31" s="136">
        <f t="shared" si="27"/>
        <v>1075.169297205</v>
      </c>
      <c r="P31" s="1782">
        <f t="shared" si="27"/>
        <v>1341.3758129820001</v>
      </c>
      <c r="Q31" s="137">
        <f t="shared" si="27"/>
        <v>1401.2733752693653</v>
      </c>
      <c r="R31" s="137">
        <f t="shared" si="27"/>
        <v>1474.2691309963147</v>
      </c>
      <c r="S31" s="137">
        <f t="shared" si="27"/>
        <v>1808.2637537936189</v>
      </c>
      <c r="T31" s="137">
        <f t="shared" si="27"/>
        <v>1903.3377483255636</v>
      </c>
      <c r="U31" s="137">
        <f t="shared" si="27"/>
        <v>1991.0343791162759</v>
      </c>
      <c r="V31" s="137">
        <f t="shared" si="27"/>
        <v>2074.2036058135527</v>
      </c>
      <c r="W31" s="137">
        <f t="shared" si="27"/>
        <v>2175.9834030046536</v>
      </c>
      <c r="X31" s="137">
        <f t="shared" si="27"/>
        <v>2258.9700496687815</v>
      </c>
      <c r="Y31" s="137">
        <f t="shared" si="27"/>
        <v>2348.6131026202406</v>
      </c>
      <c r="Z31" s="137">
        <f t="shared" si="27"/>
        <v>2445.5615611507383</v>
      </c>
      <c r="AA31" s="137"/>
      <c r="AB31" s="138"/>
      <c r="AC31" s="138"/>
      <c r="AD31" s="138"/>
      <c r="AE31" s="138"/>
      <c r="AF31" s="138"/>
      <c r="AG31" s="138"/>
      <c r="AH31" s="138"/>
      <c r="AI31" s="138"/>
      <c r="AJ31" s="138"/>
      <c r="AK31" s="138"/>
      <c r="AL31" s="138"/>
      <c r="AM31" s="138"/>
      <c r="AN31" s="138"/>
      <c r="AO31" s="138"/>
      <c r="AP31" s="138"/>
      <c r="AQ31" s="138"/>
      <c r="AR31" s="138"/>
      <c r="AS31" s="138"/>
      <c r="AT31" s="138"/>
      <c r="AU31" s="138"/>
      <c r="AV31" s="138"/>
      <c r="AW31" s="138"/>
      <c r="AX31" s="138"/>
      <c r="AY31" s="138"/>
      <c r="AZ31" s="138"/>
      <c r="BA31" s="138"/>
      <c r="BB31" s="139"/>
      <c r="BC31" s="140"/>
    </row>
    <row r="32" spans="1:57" x14ac:dyDescent="0.25">
      <c r="B32" s="141"/>
      <c r="C32" s="141"/>
      <c r="D32" s="112"/>
      <c r="E32" s="143"/>
      <c r="F32" s="143"/>
      <c r="G32" s="143"/>
      <c r="H32" s="143"/>
      <c r="I32" s="143"/>
      <c r="J32" s="143"/>
      <c r="K32" s="143"/>
      <c r="L32" s="143"/>
      <c r="M32" s="143"/>
      <c r="N32" s="200"/>
      <c r="O32" s="200"/>
      <c r="P32" s="201"/>
      <c r="Q32" s="200"/>
      <c r="R32" s="200"/>
      <c r="S32" s="200"/>
      <c r="T32" s="200"/>
      <c r="U32" s="200"/>
      <c r="V32" s="200"/>
      <c r="W32" s="200"/>
      <c r="X32" s="200"/>
      <c r="Y32" s="200"/>
      <c r="Z32" s="200"/>
      <c r="AA32" s="200"/>
      <c r="AB32" s="200"/>
      <c r="AC32" s="200"/>
      <c r="AD32" s="200"/>
      <c r="AE32" s="200"/>
      <c r="AF32" s="200"/>
      <c r="AG32" s="200"/>
      <c r="AH32" s="200"/>
      <c r="AI32" s="200"/>
      <c r="AJ32" s="200"/>
      <c r="AK32" s="200"/>
      <c r="AL32" s="200"/>
      <c r="AM32" s="200"/>
      <c r="AN32" s="200"/>
      <c r="AO32" s="200"/>
      <c r="AP32" s="200"/>
      <c r="AQ32" s="200"/>
      <c r="AR32" s="200"/>
      <c r="AS32" s="200"/>
      <c r="AT32" s="200"/>
      <c r="AU32" s="200"/>
      <c r="AV32" s="200"/>
      <c r="AW32" s="200"/>
      <c r="AX32" s="200"/>
      <c r="AY32" s="200"/>
      <c r="AZ32" s="200"/>
      <c r="BA32" s="200"/>
      <c r="BB32" s="202"/>
      <c r="BC32" s="203"/>
      <c r="BD32" s="112"/>
      <c r="BE32" s="112"/>
    </row>
    <row r="33" spans="1:57" s="124" customFormat="1" x14ac:dyDescent="0.25">
      <c r="A33" s="115"/>
      <c r="B33" s="116" t="s">
        <v>417</v>
      </c>
      <c r="C33" s="116"/>
      <c r="E33" s="118"/>
      <c r="F33" s="118"/>
      <c r="G33" s="118"/>
      <c r="H33" s="118"/>
      <c r="I33" s="204">
        <f>I13-I17+I37</f>
        <v>236.74427448899968</v>
      </c>
      <c r="J33" s="204">
        <f>J13-J17+J37</f>
        <v>167.09401340400001</v>
      </c>
      <c r="K33" s="204">
        <f t="shared" ref="K33:Z33" si="28">K13-K17+K37</f>
        <v>191.80277707599998</v>
      </c>
      <c r="L33" s="204">
        <f t="shared" si="28"/>
        <v>223.75196760799997</v>
      </c>
      <c r="M33" s="204">
        <f t="shared" si="28"/>
        <v>223.07388376400007</v>
      </c>
      <c r="N33" s="204">
        <f t="shared" si="28"/>
        <v>188.69457661899997</v>
      </c>
      <c r="O33" s="204">
        <f t="shared" si="28"/>
        <v>213.59206486799999</v>
      </c>
      <c r="P33" s="1179">
        <f t="shared" si="28"/>
        <v>257.80264870500002</v>
      </c>
      <c r="Q33" s="1180">
        <f t="shared" si="28"/>
        <v>375.06371231883986</v>
      </c>
      <c r="R33" s="1180">
        <f t="shared" si="28"/>
        <v>406.38749260380672</v>
      </c>
      <c r="S33" s="1180">
        <f t="shared" si="28"/>
        <v>538.15270169095936</v>
      </c>
      <c r="T33" s="1180">
        <f t="shared" si="28"/>
        <v>549.23597791525174</v>
      </c>
      <c r="U33" s="1180">
        <f t="shared" si="28"/>
        <v>607.59090702304798</v>
      </c>
      <c r="V33" s="1180">
        <f t="shared" si="28"/>
        <v>655.01109494336447</v>
      </c>
      <c r="W33" s="1180">
        <f t="shared" si="28"/>
        <v>714.79064406556051</v>
      </c>
      <c r="X33" s="1180">
        <f t="shared" si="28"/>
        <v>747.32805297489028</v>
      </c>
      <c r="Y33" s="1180">
        <f t="shared" si="28"/>
        <v>782.40762967183957</v>
      </c>
      <c r="Z33" s="1180">
        <f t="shared" si="28"/>
        <v>820.28519040945832</v>
      </c>
      <c r="AA33" s="172"/>
      <c r="AB33" s="173"/>
      <c r="AC33" s="173"/>
      <c r="AD33" s="173"/>
      <c r="AE33" s="173"/>
      <c r="AF33" s="173"/>
      <c r="AG33" s="173"/>
      <c r="AH33" s="173"/>
      <c r="AI33" s="173"/>
      <c r="AJ33" s="173"/>
      <c r="AK33" s="173"/>
      <c r="AL33" s="173"/>
      <c r="AM33" s="173"/>
      <c r="AN33" s="173"/>
      <c r="AO33" s="173"/>
      <c r="AP33" s="173"/>
      <c r="AQ33" s="173"/>
      <c r="AR33" s="173"/>
      <c r="AS33" s="173"/>
      <c r="AT33" s="173"/>
      <c r="AU33" s="173"/>
      <c r="AV33" s="173"/>
      <c r="AW33" s="173"/>
      <c r="AX33" s="173"/>
      <c r="AY33" s="173"/>
      <c r="AZ33" s="173"/>
      <c r="BA33" s="173"/>
      <c r="BC33" s="123"/>
    </row>
    <row r="34" spans="1:57" s="180" customFormat="1" x14ac:dyDescent="0.25">
      <c r="A34" s="189"/>
      <c r="B34" s="175" t="s">
        <v>418</v>
      </c>
      <c r="C34" s="175"/>
      <c r="E34" s="196"/>
      <c r="F34" s="196"/>
      <c r="G34" s="196"/>
      <c r="H34" s="196"/>
      <c r="I34" s="205">
        <f>I35/I7</f>
        <v>9.6556251360839299E-2</v>
      </c>
      <c r="J34" s="205">
        <f>J35/J7</f>
        <v>0.13639570078273008</v>
      </c>
      <c r="K34" s="205">
        <f t="shared" ref="K34:Z34" si="29">K35/K7</f>
        <v>0.13849557585428784</v>
      </c>
      <c r="L34" s="205">
        <f t="shared" si="29"/>
        <v>0.16117818151749261</v>
      </c>
      <c r="M34" s="205">
        <f t="shared" si="29"/>
        <v>0.15922199292081049</v>
      </c>
      <c r="N34" s="205">
        <f t="shared" si="29"/>
        <v>0.14955237884364761</v>
      </c>
      <c r="O34" s="205">
        <f t="shared" si="29"/>
        <v>0.16992852689064128</v>
      </c>
      <c r="P34" s="1787">
        <f t="shared" si="29"/>
        <v>0.1654167031810152</v>
      </c>
      <c r="Q34" s="162">
        <f t="shared" si="29"/>
        <v>0.22396888406449644</v>
      </c>
      <c r="R34" s="162">
        <f t="shared" si="29"/>
        <v>0.23261176568971328</v>
      </c>
      <c r="S34" s="162">
        <f t="shared" si="29"/>
        <v>0.24398516890414848</v>
      </c>
      <c r="T34" s="162">
        <f t="shared" si="29"/>
        <v>0.23345294501279706</v>
      </c>
      <c r="U34" s="162">
        <f t="shared" si="29"/>
        <v>0.24301604449459302</v>
      </c>
      <c r="V34" s="162">
        <f t="shared" si="29"/>
        <v>0.24981969761684023</v>
      </c>
      <c r="W34" s="162">
        <f t="shared" si="29"/>
        <v>0.25769171531363311</v>
      </c>
      <c r="X34" s="162">
        <f t="shared" si="29"/>
        <v>0.25940265093887493</v>
      </c>
      <c r="Y34" s="162">
        <f t="shared" si="29"/>
        <v>0.26106901436707874</v>
      </c>
      <c r="Z34" s="162">
        <f t="shared" si="29"/>
        <v>0.26269015453417749</v>
      </c>
      <c r="AA34" s="162"/>
      <c r="AB34" s="206"/>
      <c r="AC34" s="206"/>
      <c r="AD34" s="206"/>
      <c r="AE34" s="206"/>
      <c r="AF34" s="206"/>
      <c r="AG34" s="206"/>
      <c r="AH34" s="206"/>
      <c r="AI34" s="206"/>
      <c r="AJ34" s="206"/>
      <c r="AK34" s="206"/>
      <c r="AL34" s="206"/>
      <c r="AM34" s="206"/>
      <c r="AN34" s="206"/>
      <c r="AO34" s="206"/>
      <c r="AP34" s="206"/>
      <c r="AQ34" s="206"/>
      <c r="AR34" s="206"/>
      <c r="AS34" s="206"/>
      <c r="AT34" s="206"/>
      <c r="AU34" s="206"/>
      <c r="AV34" s="206"/>
      <c r="AW34" s="206"/>
      <c r="AX34" s="206"/>
      <c r="AY34" s="206"/>
      <c r="AZ34" s="206"/>
      <c r="BA34" s="206"/>
      <c r="BC34" s="146"/>
    </row>
    <row r="35" spans="1:57" s="117" customFormat="1" x14ac:dyDescent="0.25">
      <c r="A35" s="132"/>
      <c r="B35" s="133" t="s">
        <v>419</v>
      </c>
      <c r="C35" s="133"/>
      <c r="D35" s="134"/>
      <c r="E35" s="135"/>
      <c r="F35" s="135"/>
      <c r="G35" s="135"/>
      <c r="H35" s="135"/>
      <c r="I35" s="136">
        <f>I15-I19+I40</f>
        <v>236.74427448899968</v>
      </c>
      <c r="J35" s="136">
        <f>J15-J19+J40</f>
        <v>167.09401340400001</v>
      </c>
      <c r="K35" s="136">
        <f t="shared" ref="K35:Z35" si="30">K15-K19+K40</f>
        <v>191.80277707599998</v>
      </c>
      <c r="L35" s="136">
        <f t="shared" si="30"/>
        <v>223.75196760799997</v>
      </c>
      <c r="M35" s="136">
        <f t="shared" si="30"/>
        <v>223.07388376400007</v>
      </c>
      <c r="N35" s="136">
        <f t="shared" si="30"/>
        <v>188.69457661899997</v>
      </c>
      <c r="O35" s="136">
        <f t="shared" si="30"/>
        <v>213.59206486799999</v>
      </c>
      <c r="P35" s="1782">
        <f t="shared" si="30"/>
        <v>257.80264870500002</v>
      </c>
      <c r="Q35" s="137">
        <f t="shared" si="30"/>
        <v>375.06371231883986</v>
      </c>
      <c r="R35" s="137">
        <f t="shared" si="30"/>
        <v>406.38749260380672</v>
      </c>
      <c r="S35" s="137">
        <f t="shared" si="30"/>
        <v>538.15270169095936</v>
      </c>
      <c r="T35" s="137">
        <f t="shared" si="30"/>
        <v>549.23597791525174</v>
      </c>
      <c r="U35" s="137">
        <f t="shared" si="30"/>
        <v>607.59090702304798</v>
      </c>
      <c r="V35" s="137">
        <f t="shared" si="30"/>
        <v>655.01109494336447</v>
      </c>
      <c r="W35" s="137">
        <f t="shared" si="30"/>
        <v>714.79064406556051</v>
      </c>
      <c r="X35" s="137">
        <f t="shared" si="30"/>
        <v>747.32805297489028</v>
      </c>
      <c r="Y35" s="137">
        <f t="shared" si="30"/>
        <v>782.40762967183957</v>
      </c>
      <c r="Z35" s="137">
        <f t="shared" si="30"/>
        <v>820.28519040945832</v>
      </c>
      <c r="AA35" s="137"/>
      <c r="AB35" s="138"/>
      <c r="AC35" s="138"/>
      <c r="AD35" s="138"/>
      <c r="AE35" s="138"/>
      <c r="AF35" s="138"/>
      <c r="AG35" s="138"/>
      <c r="AH35" s="138"/>
      <c r="AI35" s="138"/>
      <c r="AJ35" s="138"/>
      <c r="AK35" s="138"/>
      <c r="AL35" s="138"/>
      <c r="AM35" s="138"/>
      <c r="AN35" s="138"/>
      <c r="AO35" s="138"/>
      <c r="AP35" s="138"/>
      <c r="AQ35" s="138"/>
      <c r="AR35" s="138"/>
      <c r="AS35" s="138"/>
      <c r="AT35" s="138"/>
      <c r="AU35" s="138"/>
      <c r="AV35" s="138"/>
      <c r="AW35" s="138"/>
      <c r="AX35" s="138"/>
      <c r="AY35" s="138"/>
      <c r="AZ35" s="138"/>
      <c r="BA35" s="138"/>
      <c r="BB35" s="139"/>
      <c r="BC35" s="140"/>
    </row>
    <row r="36" spans="1:57" x14ac:dyDescent="0.25">
      <c r="D36" s="112"/>
      <c r="E36" s="170"/>
      <c r="F36" s="170"/>
      <c r="G36" s="170"/>
      <c r="H36" s="170"/>
      <c r="I36" s="170"/>
      <c r="J36" s="170"/>
      <c r="K36" s="170"/>
      <c r="L36" s="170"/>
      <c r="M36" s="170"/>
      <c r="N36" s="170"/>
      <c r="O36" s="170"/>
      <c r="P36" s="171"/>
      <c r="Q36" s="170"/>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13"/>
      <c r="BD36" s="112"/>
      <c r="BE36" s="112"/>
    </row>
    <row r="37" spans="1:57" x14ac:dyDescent="0.25">
      <c r="A37" s="100">
        <v>5</v>
      </c>
      <c r="B37" s="29" t="s">
        <v>420</v>
      </c>
      <c r="D37" s="112"/>
      <c r="E37" s="66"/>
      <c r="F37" s="66"/>
      <c r="G37" s="66"/>
      <c r="H37" s="66"/>
      <c r="I37" s="119">
        <f>'Output-FR (show)'!I132</f>
        <v>68.371455463000004</v>
      </c>
      <c r="J37" s="119">
        <f>'Output-FR (show)'!J132</f>
        <v>39.216981767999997</v>
      </c>
      <c r="K37" s="119">
        <f>'Output-FR (show)'!K132</f>
        <v>33.793831392000001</v>
      </c>
      <c r="L37" s="119">
        <f>'Output-FR (show)'!L132</f>
        <v>36.81384233</v>
      </c>
      <c r="M37" s="119">
        <f>'Output-FR (show)'!M132</f>
        <v>36.516915462</v>
      </c>
      <c r="N37" s="119">
        <f>'Output-FR (show)'!N132</f>
        <v>27.945021708999999</v>
      </c>
      <c r="O37" s="119">
        <f>'Output-FR (show)'!O132</f>
        <v>31.808990529999999</v>
      </c>
      <c r="P37" s="671">
        <f>'Output-FR (show)'!P132</f>
        <v>40.674128404000001</v>
      </c>
      <c r="Q37" s="207">
        <f>'LT. Asset'!Q8</f>
        <v>101.71289197524426</v>
      </c>
      <c r="R37" s="207">
        <f>'LT. Asset'!R8</f>
        <v>133.59326505145162</v>
      </c>
      <c r="S37" s="207">
        <f>'LT. Asset'!S8</f>
        <v>140.73852797752977</v>
      </c>
      <c r="T37" s="207">
        <f>'LT. Asset'!T8</f>
        <v>99.91127477701157</v>
      </c>
      <c r="U37" s="207">
        <f>'LT. Asset'!U8</f>
        <v>98.416263781680655</v>
      </c>
      <c r="V37" s="207">
        <f>'LT. Asset'!V8</f>
        <v>107.27935621901526</v>
      </c>
      <c r="W37" s="207">
        <f>'LT. Asset'!W8</f>
        <v>116.95323100091025</v>
      </c>
      <c r="X37" s="207">
        <f>'LT. Asset'!X8</f>
        <v>125.34044754634992</v>
      </c>
      <c r="Y37" s="207">
        <f>'LT. Asset'!Y8</f>
        <v>134.08280931157887</v>
      </c>
      <c r="Z37" s="207">
        <f>'LT. Asset'!Z8</f>
        <v>143.21281857534004</v>
      </c>
      <c r="AA37" s="207"/>
      <c r="AB37" s="207"/>
      <c r="AC37" s="207"/>
      <c r="AD37" s="207"/>
      <c r="AE37" s="207"/>
      <c r="AF37" s="207"/>
      <c r="AG37" s="207"/>
      <c r="AH37" s="207"/>
      <c r="AI37" s="207"/>
      <c r="AJ37" s="207"/>
      <c r="AK37" s="207"/>
      <c r="AL37" s="207"/>
      <c r="AM37" s="207"/>
      <c r="AN37" s="207"/>
      <c r="AO37" s="207"/>
      <c r="AP37" s="207"/>
      <c r="AQ37" s="207"/>
      <c r="AR37" s="207"/>
      <c r="AS37" s="207"/>
      <c r="AT37" s="207"/>
      <c r="AU37" s="207"/>
      <c r="AV37" s="207"/>
      <c r="AW37" s="207"/>
      <c r="AX37" s="207"/>
      <c r="AY37" s="207"/>
      <c r="AZ37" s="208"/>
      <c r="BA37" s="208"/>
      <c r="BB37" s="113"/>
      <c r="BD37" s="112"/>
      <c r="BE37" s="112"/>
    </row>
    <row r="38" spans="1:57" s="180" customFormat="1" x14ac:dyDescent="0.25">
      <c r="A38" s="189"/>
      <c r="B38" s="175" t="s">
        <v>404</v>
      </c>
      <c r="C38" s="175"/>
      <c r="E38" s="196"/>
      <c r="F38" s="196"/>
      <c r="G38" s="196"/>
      <c r="H38" s="196"/>
      <c r="I38" s="196">
        <f>I40/I7</f>
        <v>2.7885326704695471E-2</v>
      </c>
      <c r="J38" s="196">
        <f>J40/J7</f>
        <v>3.2012084705255274E-2</v>
      </c>
      <c r="K38" s="196">
        <f t="shared" ref="K38:Z38" si="31">K40/K7</f>
        <v>2.4401607788521375E-2</v>
      </c>
      <c r="L38" s="196">
        <f t="shared" si="31"/>
        <v>2.6518596573042806E-2</v>
      </c>
      <c r="M38" s="196">
        <f t="shared" si="31"/>
        <v>2.6064440879738325E-2</v>
      </c>
      <c r="N38" s="196">
        <f t="shared" si="31"/>
        <v>2.2148196033512868E-2</v>
      </c>
      <c r="O38" s="196">
        <f t="shared" si="31"/>
        <v>2.5306440602003211E-2</v>
      </c>
      <c r="P38" s="1196">
        <f t="shared" si="31"/>
        <v>2.6098181144174087E-2</v>
      </c>
      <c r="Q38" s="206">
        <f t="shared" si="31"/>
        <v>6.0737741782128263E-2</v>
      </c>
      <c r="R38" s="206">
        <f t="shared" si="31"/>
        <v>7.6467326956265028E-2</v>
      </c>
      <c r="S38" s="206">
        <f t="shared" si="31"/>
        <v>6.3807379229023922E-2</v>
      </c>
      <c r="T38" s="206">
        <f t="shared" si="31"/>
        <v>4.2467322379735238E-2</v>
      </c>
      <c r="U38" s="206">
        <f t="shared" si="31"/>
        <v>3.9363214395921282E-2</v>
      </c>
      <c r="V38" s="206">
        <f t="shared" si="31"/>
        <v>4.0916095220464903E-2</v>
      </c>
      <c r="W38" s="206">
        <f t="shared" si="31"/>
        <v>4.2163224936296019E-2</v>
      </c>
      <c r="X38" s="206">
        <f t="shared" si="31"/>
        <v>4.3506521980489078E-2</v>
      </c>
      <c r="Y38" s="206">
        <f t="shared" si="31"/>
        <v>4.4739935479955299E-2</v>
      </c>
      <c r="Z38" s="206">
        <f t="shared" si="31"/>
        <v>4.5862826590898562E-2</v>
      </c>
      <c r="AA38" s="209"/>
      <c r="AB38" s="209"/>
      <c r="AC38" s="209"/>
      <c r="AD38" s="209"/>
      <c r="AE38" s="209"/>
      <c r="AF38" s="209"/>
      <c r="AG38" s="209"/>
      <c r="AH38" s="209"/>
      <c r="AI38" s="209"/>
      <c r="AJ38" s="209"/>
      <c r="AK38" s="209"/>
      <c r="AL38" s="209"/>
      <c r="AM38" s="209"/>
      <c r="AN38" s="209"/>
      <c r="AO38" s="210"/>
      <c r="AP38" s="210"/>
      <c r="AQ38" s="210"/>
      <c r="AR38" s="210"/>
      <c r="AS38" s="210"/>
      <c r="AT38" s="210"/>
      <c r="AU38" s="210"/>
      <c r="AV38" s="210"/>
      <c r="AW38" s="210"/>
      <c r="AX38" s="210"/>
      <c r="AY38" s="210"/>
      <c r="AZ38" s="210"/>
      <c r="BA38" s="210"/>
      <c r="BC38" s="146"/>
    </row>
    <row r="39" spans="1:57" s="180" customFormat="1" x14ac:dyDescent="0.25">
      <c r="A39" s="189"/>
      <c r="B39" s="175" t="s">
        <v>421</v>
      </c>
      <c r="C39" s="175"/>
      <c r="P39" s="211"/>
      <c r="Q39" s="210"/>
      <c r="R39" s="210"/>
      <c r="S39" s="210"/>
      <c r="T39" s="210"/>
      <c r="U39" s="210"/>
      <c r="V39" s="210"/>
      <c r="W39" s="210"/>
      <c r="X39" s="210"/>
      <c r="Y39" s="210"/>
      <c r="Z39" s="210"/>
      <c r="AA39" s="210"/>
      <c r="AB39" s="210"/>
      <c r="AC39" s="210"/>
      <c r="AD39" s="210"/>
      <c r="AE39" s="210"/>
      <c r="AF39" s="210"/>
      <c r="AG39" s="210"/>
      <c r="AH39" s="210"/>
      <c r="AI39" s="210"/>
      <c r="AJ39" s="210"/>
      <c r="AK39" s="210"/>
      <c r="AL39" s="210"/>
      <c r="AM39" s="210"/>
      <c r="AN39" s="210"/>
      <c r="AO39" s="210"/>
      <c r="AP39" s="210"/>
      <c r="AQ39" s="210"/>
      <c r="AR39" s="210"/>
      <c r="AS39" s="210"/>
      <c r="AT39" s="210"/>
      <c r="AU39" s="210"/>
      <c r="AV39" s="210"/>
      <c r="AW39" s="210"/>
      <c r="AX39" s="210"/>
      <c r="AY39" s="210"/>
      <c r="AZ39" s="210"/>
      <c r="BA39" s="210"/>
      <c r="BC39" s="146"/>
    </row>
    <row r="40" spans="1:57" s="42" customFormat="1" x14ac:dyDescent="0.25">
      <c r="A40" s="41"/>
      <c r="B40" s="212" t="s">
        <v>422</v>
      </c>
      <c r="C40" s="212"/>
      <c r="D40" s="213"/>
      <c r="E40" s="214"/>
      <c r="F40" s="214"/>
      <c r="G40" s="214"/>
      <c r="H40" s="214"/>
      <c r="I40" s="215">
        <f>I37</f>
        <v>68.371455463000004</v>
      </c>
      <c r="J40" s="215">
        <f>J37</f>
        <v>39.216981767999997</v>
      </c>
      <c r="K40" s="215">
        <f t="shared" ref="K40:Z41" si="32">K37</f>
        <v>33.793831392000001</v>
      </c>
      <c r="L40" s="215">
        <f t="shared" si="32"/>
        <v>36.81384233</v>
      </c>
      <c r="M40" s="215">
        <f t="shared" si="32"/>
        <v>36.516915462</v>
      </c>
      <c r="N40" s="215">
        <f t="shared" si="32"/>
        <v>27.945021708999999</v>
      </c>
      <c r="O40" s="215">
        <f t="shared" si="32"/>
        <v>31.808990529999999</v>
      </c>
      <c r="P40" s="1788">
        <f t="shared" si="32"/>
        <v>40.674128404000001</v>
      </c>
      <c r="Q40" s="519">
        <f t="shared" si="32"/>
        <v>101.71289197524426</v>
      </c>
      <c r="R40" s="519">
        <f t="shared" si="32"/>
        <v>133.59326505145162</v>
      </c>
      <c r="S40" s="519">
        <f t="shared" si="32"/>
        <v>140.73852797752977</v>
      </c>
      <c r="T40" s="519">
        <f t="shared" si="32"/>
        <v>99.91127477701157</v>
      </c>
      <c r="U40" s="519">
        <f t="shared" si="32"/>
        <v>98.416263781680655</v>
      </c>
      <c r="V40" s="519">
        <f t="shared" si="32"/>
        <v>107.27935621901526</v>
      </c>
      <c r="W40" s="519">
        <f t="shared" si="32"/>
        <v>116.95323100091025</v>
      </c>
      <c r="X40" s="519">
        <f t="shared" si="32"/>
        <v>125.34044754634992</v>
      </c>
      <c r="Y40" s="519">
        <f t="shared" si="32"/>
        <v>134.08280931157887</v>
      </c>
      <c r="Z40" s="519">
        <f t="shared" si="32"/>
        <v>143.21281857534004</v>
      </c>
      <c r="AA40" s="137"/>
      <c r="AB40" s="137"/>
      <c r="AC40" s="137"/>
      <c r="AD40" s="137"/>
      <c r="AE40" s="137"/>
      <c r="AF40" s="137"/>
      <c r="AG40" s="137"/>
      <c r="AH40" s="137"/>
      <c r="AI40" s="137"/>
      <c r="AJ40" s="137"/>
      <c r="AK40" s="137"/>
      <c r="AL40" s="137"/>
      <c r="AM40" s="137"/>
      <c r="AN40" s="137"/>
      <c r="AO40" s="137"/>
      <c r="AP40" s="138"/>
      <c r="AQ40" s="138"/>
      <c r="AR40" s="138"/>
      <c r="AS40" s="138"/>
      <c r="AT40" s="138"/>
      <c r="AU40" s="138"/>
      <c r="AV40" s="138"/>
      <c r="AW40" s="138"/>
      <c r="AX40" s="138"/>
      <c r="AY40" s="138"/>
      <c r="AZ40" s="138"/>
      <c r="BA40" s="138"/>
      <c r="BB40" s="216"/>
      <c r="BC40" s="140"/>
      <c r="BD40" s="181"/>
      <c r="BE40" s="181"/>
    </row>
    <row r="41" spans="1:57" s="180" customFormat="1" x14ac:dyDescent="0.25">
      <c r="A41" s="189"/>
      <c r="B41" s="175" t="s">
        <v>404</v>
      </c>
      <c r="C41" s="175"/>
      <c r="D41" s="198"/>
      <c r="E41" s="148"/>
      <c r="F41" s="148"/>
      <c r="G41" s="148"/>
      <c r="H41" s="148"/>
      <c r="I41" s="148">
        <f>I38</f>
        <v>2.7885326704695471E-2</v>
      </c>
      <c r="J41" s="148">
        <f>J38</f>
        <v>3.2012084705255274E-2</v>
      </c>
      <c r="K41" s="148">
        <f t="shared" si="32"/>
        <v>2.4401607788521375E-2</v>
      </c>
      <c r="L41" s="148">
        <f t="shared" si="32"/>
        <v>2.6518596573042806E-2</v>
      </c>
      <c r="M41" s="148">
        <f t="shared" si="32"/>
        <v>2.6064440879738325E-2</v>
      </c>
      <c r="N41" s="148">
        <f t="shared" si="32"/>
        <v>2.2148196033512868E-2</v>
      </c>
      <c r="O41" s="148">
        <f t="shared" si="32"/>
        <v>2.5306440602003211E-2</v>
      </c>
      <c r="P41" s="497">
        <f t="shared" si="32"/>
        <v>2.6098181144174087E-2</v>
      </c>
      <c r="Q41" s="150">
        <f t="shared" si="32"/>
        <v>6.0737741782128263E-2</v>
      </c>
      <c r="R41" s="150">
        <f t="shared" si="32"/>
        <v>7.6467326956265028E-2</v>
      </c>
      <c r="S41" s="150">
        <f t="shared" si="32"/>
        <v>6.3807379229023922E-2</v>
      </c>
      <c r="T41" s="150">
        <f t="shared" si="32"/>
        <v>4.2467322379735238E-2</v>
      </c>
      <c r="U41" s="150">
        <f t="shared" si="32"/>
        <v>3.9363214395921282E-2</v>
      </c>
      <c r="V41" s="150">
        <f t="shared" si="32"/>
        <v>4.0916095220464903E-2</v>
      </c>
      <c r="W41" s="150">
        <f t="shared" si="32"/>
        <v>4.2163224936296019E-2</v>
      </c>
      <c r="X41" s="150">
        <f t="shared" si="32"/>
        <v>4.3506521980489078E-2</v>
      </c>
      <c r="Y41" s="150">
        <f t="shared" si="32"/>
        <v>4.4739935479955299E-2</v>
      </c>
      <c r="Z41" s="150">
        <f t="shared" si="32"/>
        <v>4.5862826590898562E-2</v>
      </c>
      <c r="AA41" s="149"/>
      <c r="AB41" s="150"/>
      <c r="AC41" s="150"/>
      <c r="AD41" s="150"/>
      <c r="AE41" s="150"/>
      <c r="AF41" s="150"/>
      <c r="AG41" s="150"/>
      <c r="AH41" s="150"/>
      <c r="AI41" s="150"/>
      <c r="AJ41" s="150"/>
      <c r="AK41" s="150"/>
      <c r="AL41" s="150"/>
      <c r="AM41" s="150"/>
      <c r="AN41" s="150"/>
      <c r="AO41" s="150"/>
      <c r="AP41" s="150"/>
      <c r="AQ41" s="150"/>
      <c r="AR41" s="150"/>
      <c r="AS41" s="150"/>
      <c r="AT41" s="150"/>
      <c r="AU41" s="150"/>
      <c r="AV41" s="150"/>
      <c r="AW41" s="150"/>
      <c r="AX41" s="150"/>
      <c r="AY41" s="150"/>
      <c r="AZ41" s="150"/>
      <c r="BA41" s="150"/>
      <c r="BB41" s="198"/>
      <c r="BC41" s="146"/>
    </row>
    <row r="42" spans="1:57" x14ac:dyDescent="0.25">
      <c r="A42" s="64"/>
      <c r="B42" s="147" t="s">
        <v>423</v>
      </c>
      <c r="C42" s="147"/>
      <c r="D42" s="217"/>
      <c r="E42" s="118"/>
      <c r="F42" s="118"/>
      <c r="G42" s="118"/>
      <c r="H42" s="118"/>
      <c r="I42" s="118"/>
      <c r="J42" s="118"/>
      <c r="K42" s="118"/>
      <c r="L42" s="118"/>
      <c r="M42" s="118"/>
      <c r="N42" s="118"/>
      <c r="O42" s="118"/>
      <c r="P42" s="218"/>
      <c r="Q42" s="173"/>
      <c r="R42" s="173"/>
      <c r="S42" s="173"/>
      <c r="T42" s="173"/>
      <c r="U42" s="173"/>
      <c r="V42" s="173"/>
      <c r="W42" s="173"/>
      <c r="X42" s="173"/>
      <c r="Y42" s="173"/>
      <c r="Z42" s="173"/>
      <c r="AA42" s="173"/>
      <c r="AB42" s="173"/>
      <c r="AC42" s="173"/>
      <c r="AD42" s="173"/>
      <c r="AE42" s="173"/>
      <c r="AF42" s="173"/>
      <c r="AG42" s="173"/>
      <c r="AH42" s="173"/>
      <c r="AI42" s="173"/>
      <c r="AJ42" s="173"/>
      <c r="AK42" s="173"/>
      <c r="AL42" s="173"/>
      <c r="AM42" s="173"/>
      <c r="AN42" s="173"/>
      <c r="AO42" s="173"/>
      <c r="AP42" s="173"/>
      <c r="AQ42" s="173"/>
      <c r="AR42" s="173"/>
      <c r="AS42" s="173"/>
      <c r="AT42" s="173"/>
      <c r="AU42" s="173"/>
      <c r="AV42" s="173"/>
      <c r="AW42" s="173"/>
      <c r="AX42" s="173"/>
      <c r="AY42" s="173"/>
      <c r="AZ42" s="173"/>
      <c r="BA42" s="173"/>
      <c r="BB42" s="217"/>
      <c r="BD42" s="112"/>
      <c r="BE42" s="112"/>
    </row>
    <row r="43" spans="1:57" x14ac:dyDescent="0.25">
      <c r="A43" s="64"/>
      <c r="B43" s="147" t="s">
        <v>424</v>
      </c>
      <c r="C43" s="147"/>
      <c r="D43" s="217"/>
      <c r="E43" s="118"/>
      <c r="F43" s="118"/>
      <c r="G43" s="118"/>
      <c r="H43" s="118"/>
      <c r="I43" s="118"/>
      <c r="J43" s="118"/>
      <c r="K43" s="118"/>
      <c r="L43" s="118"/>
      <c r="M43" s="118"/>
      <c r="N43" s="118"/>
      <c r="O43" s="118"/>
      <c r="P43" s="218"/>
      <c r="Q43" s="173"/>
      <c r="R43" s="173"/>
      <c r="S43" s="173"/>
      <c r="T43" s="173"/>
      <c r="U43" s="173"/>
      <c r="V43" s="173"/>
      <c r="W43" s="173"/>
      <c r="X43" s="173"/>
      <c r="Y43" s="173"/>
      <c r="Z43" s="173"/>
      <c r="AA43" s="173"/>
      <c r="AB43" s="173"/>
      <c r="AC43" s="173"/>
      <c r="AD43" s="173"/>
      <c r="AE43" s="173"/>
      <c r="AF43" s="173"/>
      <c r="AG43" s="173"/>
      <c r="AH43" s="173"/>
      <c r="AI43" s="173"/>
      <c r="AJ43" s="173"/>
      <c r="AK43" s="173"/>
      <c r="AL43" s="173"/>
      <c r="AM43" s="173"/>
      <c r="AN43" s="173"/>
      <c r="AO43" s="173"/>
      <c r="AP43" s="173"/>
      <c r="AQ43" s="173"/>
      <c r="AR43" s="173"/>
      <c r="AS43" s="173"/>
      <c r="AT43" s="173"/>
      <c r="AU43" s="173"/>
      <c r="AV43" s="173"/>
      <c r="AW43" s="173"/>
      <c r="AX43" s="173"/>
      <c r="AY43" s="173"/>
      <c r="AZ43" s="173"/>
      <c r="BA43" s="173"/>
      <c r="BB43" s="217"/>
      <c r="BD43" s="112"/>
      <c r="BE43" s="112"/>
    </row>
    <row r="44" spans="1:57" x14ac:dyDescent="0.25">
      <c r="A44" s="64"/>
      <c r="B44" s="141"/>
      <c r="C44" s="141"/>
      <c r="D44" s="112"/>
      <c r="E44" s="170"/>
      <c r="F44" s="170"/>
      <c r="G44" s="170"/>
      <c r="H44" s="170"/>
      <c r="I44" s="170"/>
      <c r="J44" s="170"/>
      <c r="K44" s="170"/>
      <c r="L44" s="170"/>
      <c r="M44" s="170"/>
      <c r="N44" s="170"/>
      <c r="O44" s="170"/>
      <c r="P44" s="171"/>
      <c r="Q44" s="219"/>
      <c r="R44" s="219"/>
      <c r="S44" s="219"/>
      <c r="T44" s="219"/>
      <c r="U44" s="219"/>
      <c r="V44" s="219"/>
      <c r="W44" s="219"/>
      <c r="X44" s="219"/>
      <c r="Y44" s="219"/>
      <c r="Z44" s="219"/>
      <c r="AA44" s="219"/>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0"/>
      <c r="AX44" s="170"/>
      <c r="AY44" s="170"/>
      <c r="AZ44" s="170"/>
      <c r="BA44" s="170"/>
      <c r="BB44" s="113"/>
      <c r="BD44" s="112"/>
      <c r="BE44" s="112"/>
    </row>
    <row r="45" spans="1:57" s="124" customFormat="1" x14ac:dyDescent="0.25">
      <c r="A45" s="115"/>
      <c r="B45" s="116" t="s">
        <v>425</v>
      </c>
      <c r="C45" s="116"/>
      <c r="E45" s="118"/>
      <c r="F45" s="118"/>
      <c r="G45" s="118"/>
      <c r="H45" s="118"/>
      <c r="I45" s="119">
        <f>I33-I37</f>
        <v>168.37281902599966</v>
      </c>
      <c r="J45" s="119">
        <f>J33-J37</f>
        <v>127.87703163600001</v>
      </c>
      <c r="K45" s="119">
        <f t="shared" ref="K45:P45" si="33">K33-K37</f>
        <v>158.00894568399997</v>
      </c>
      <c r="L45" s="119">
        <f t="shared" si="33"/>
        <v>186.93812527799997</v>
      </c>
      <c r="M45" s="119">
        <f t="shared" si="33"/>
        <v>186.55696830200009</v>
      </c>
      <c r="N45" s="119">
        <f t="shared" si="33"/>
        <v>160.74955490999997</v>
      </c>
      <c r="O45" s="119">
        <f t="shared" si="33"/>
        <v>181.78307433800001</v>
      </c>
      <c r="P45" s="671">
        <f t="shared" si="33"/>
        <v>217.12852030100004</v>
      </c>
      <c r="Q45" s="172">
        <f>Q13-Q17</f>
        <v>273.35082034359561</v>
      </c>
      <c r="R45" s="172">
        <f t="shared" ref="R45:Z45" si="34">R13-R17</f>
        <v>272.7942275523551</v>
      </c>
      <c r="S45" s="172">
        <f t="shared" si="34"/>
        <v>397.41417371342959</v>
      </c>
      <c r="T45" s="172">
        <f t="shared" si="34"/>
        <v>449.32470313824012</v>
      </c>
      <c r="U45" s="172">
        <f t="shared" si="34"/>
        <v>509.17464324136733</v>
      </c>
      <c r="V45" s="172">
        <f t="shared" si="34"/>
        <v>547.73173872434927</v>
      </c>
      <c r="W45" s="172">
        <f t="shared" si="34"/>
        <v>597.83741306465026</v>
      </c>
      <c r="X45" s="172">
        <f t="shared" si="34"/>
        <v>621.98760542854041</v>
      </c>
      <c r="Y45" s="172">
        <f t="shared" si="34"/>
        <v>648.32482036026067</v>
      </c>
      <c r="Z45" s="172">
        <f t="shared" si="34"/>
        <v>677.07237183411826</v>
      </c>
      <c r="AA45" s="172"/>
      <c r="AB45" s="173"/>
      <c r="AC45" s="173"/>
      <c r="AD45" s="173"/>
      <c r="AE45" s="173"/>
      <c r="AF45" s="173"/>
      <c r="AG45" s="173"/>
      <c r="AH45" s="173"/>
      <c r="AI45" s="173"/>
      <c r="AJ45" s="173"/>
      <c r="AK45" s="173"/>
      <c r="AL45" s="173"/>
      <c r="AM45" s="173"/>
      <c r="AN45" s="173"/>
      <c r="AO45" s="173"/>
      <c r="AP45" s="173"/>
      <c r="AQ45" s="173"/>
      <c r="AR45" s="173"/>
      <c r="AS45" s="173"/>
      <c r="AT45" s="173"/>
      <c r="AU45" s="173"/>
      <c r="AV45" s="173"/>
      <c r="AW45" s="173"/>
      <c r="AX45" s="173"/>
      <c r="AY45" s="173"/>
      <c r="AZ45" s="173"/>
      <c r="BA45" s="173"/>
      <c r="BC45" s="123"/>
    </row>
    <row r="46" spans="1:57" s="131" customFormat="1" x14ac:dyDescent="0.25">
      <c r="A46" s="125"/>
      <c r="B46" s="126" t="s">
        <v>426</v>
      </c>
      <c r="C46" s="126"/>
      <c r="E46" s="161"/>
      <c r="F46" s="161"/>
      <c r="G46" s="161"/>
      <c r="H46" s="161"/>
      <c r="I46" s="161">
        <f>I47/I7</f>
        <v>6.8670924656143814E-2</v>
      </c>
      <c r="J46" s="161">
        <f>J47/J7</f>
        <v>0.10438361607747482</v>
      </c>
      <c r="K46" s="161">
        <f t="shared" ref="K46:Z46" si="35">K47/K7</f>
        <v>0.11409396806576647</v>
      </c>
      <c r="L46" s="161">
        <f t="shared" si="35"/>
        <v>0.13465958494444979</v>
      </c>
      <c r="M46" s="161">
        <f t="shared" si="35"/>
        <v>0.13315755204107216</v>
      </c>
      <c r="N46" s="161">
        <f t="shared" si="35"/>
        <v>0.12740418281013474</v>
      </c>
      <c r="O46" s="161">
        <f t="shared" si="35"/>
        <v>0.14462208628863807</v>
      </c>
      <c r="P46" s="1784">
        <f t="shared" si="35"/>
        <v>0.13931852203684114</v>
      </c>
      <c r="Q46" s="163">
        <f t="shared" si="35"/>
        <v>0.16323114228236821</v>
      </c>
      <c r="R46" s="163">
        <f t="shared" si="35"/>
        <v>0.15614443873344824</v>
      </c>
      <c r="S46" s="163">
        <f t="shared" si="35"/>
        <v>0.18017778967512454</v>
      </c>
      <c r="T46" s="163">
        <f t="shared" si="35"/>
        <v>0.19098562263306185</v>
      </c>
      <c r="U46" s="163">
        <f t="shared" si="35"/>
        <v>0.20365283009867174</v>
      </c>
      <c r="V46" s="163">
        <f t="shared" si="35"/>
        <v>0.20890360239637534</v>
      </c>
      <c r="W46" s="163">
        <f t="shared" si="35"/>
        <v>0.2155284903773371</v>
      </c>
      <c r="X46" s="163">
        <f t="shared" si="35"/>
        <v>0.21589612895838586</v>
      </c>
      <c r="Y46" s="163">
        <f t="shared" si="35"/>
        <v>0.21632907888712341</v>
      </c>
      <c r="Z46" s="163">
        <f t="shared" si="35"/>
        <v>0.21682732794327889</v>
      </c>
      <c r="AA46" s="162"/>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3"/>
      <c r="AX46" s="163"/>
      <c r="AY46" s="163"/>
      <c r="AZ46" s="163"/>
      <c r="BA46" s="163"/>
      <c r="BC46" s="130"/>
    </row>
    <row r="47" spans="1:57" s="117" customFormat="1" x14ac:dyDescent="0.25">
      <c r="A47" s="132"/>
      <c r="B47" s="212" t="s">
        <v>427</v>
      </c>
      <c r="C47" s="212"/>
      <c r="D47" s="134"/>
      <c r="E47" s="135"/>
      <c r="F47" s="135"/>
      <c r="G47" s="135"/>
      <c r="H47" s="135"/>
      <c r="I47" s="136">
        <f>I35-I40</f>
        <v>168.37281902599966</v>
      </c>
      <c r="J47" s="136">
        <f>J35-J40</f>
        <v>127.87703163600001</v>
      </c>
      <c r="K47" s="136">
        <f t="shared" ref="K47:Z47" si="36">K35-K40</f>
        <v>158.00894568399997</v>
      </c>
      <c r="L47" s="136">
        <f t="shared" si="36"/>
        <v>186.93812527799997</v>
      </c>
      <c r="M47" s="136">
        <f t="shared" si="36"/>
        <v>186.55696830200009</v>
      </c>
      <c r="N47" s="136">
        <f t="shared" si="36"/>
        <v>160.74955490999997</v>
      </c>
      <c r="O47" s="136">
        <f t="shared" si="36"/>
        <v>181.78307433800001</v>
      </c>
      <c r="P47" s="1782">
        <f t="shared" si="36"/>
        <v>217.12852030100004</v>
      </c>
      <c r="Q47" s="137">
        <f t="shared" si="36"/>
        <v>273.35082034359561</v>
      </c>
      <c r="R47" s="137">
        <f t="shared" si="36"/>
        <v>272.7942275523551</v>
      </c>
      <c r="S47" s="137">
        <f t="shared" si="36"/>
        <v>397.41417371342959</v>
      </c>
      <c r="T47" s="137">
        <f t="shared" si="36"/>
        <v>449.32470313824018</v>
      </c>
      <c r="U47" s="137">
        <f t="shared" si="36"/>
        <v>509.17464324136733</v>
      </c>
      <c r="V47" s="137">
        <f t="shared" si="36"/>
        <v>547.73173872434927</v>
      </c>
      <c r="W47" s="137">
        <f t="shared" si="36"/>
        <v>597.83741306465026</v>
      </c>
      <c r="X47" s="137">
        <f t="shared" si="36"/>
        <v>621.98760542854041</v>
      </c>
      <c r="Y47" s="137">
        <f t="shared" si="36"/>
        <v>648.32482036026067</v>
      </c>
      <c r="Z47" s="137">
        <f t="shared" si="36"/>
        <v>677.07237183411826</v>
      </c>
      <c r="AA47" s="137"/>
      <c r="AB47" s="138"/>
      <c r="AC47" s="138"/>
      <c r="AD47" s="138"/>
      <c r="AE47" s="138"/>
      <c r="AF47" s="138"/>
      <c r="AG47" s="138"/>
      <c r="AH47" s="138"/>
      <c r="AI47" s="138"/>
      <c r="AJ47" s="138"/>
      <c r="AK47" s="138"/>
      <c r="AL47" s="138"/>
      <c r="AM47" s="138"/>
      <c r="AN47" s="138"/>
      <c r="AO47" s="138"/>
      <c r="AP47" s="138"/>
      <c r="AQ47" s="138"/>
      <c r="AR47" s="138"/>
      <c r="AS47" s="138"/>
      <c r="AT47" s="138"/>
      <c r="AU47" s="138"/>
      <c r="AV47" s="138"/>
      <c r="AW47" s="138"/>
      <c r="AX47" s="138"/>
      <c r="AY47" s="138"/>
      <c r="AZ47" s="138"/>
      <c r="BA47" s="138"/>
      <c r="BB47" s="139"/>
      <c r="BC47" s="140"/>
    </row>
    <row r="48" spans="1:57" x14ac:dyDescent="0.25">
      <c r="D48" s="112"/>
      <c r="E48" s="170"/>
      <c r="F48" s="170"/>
      <c r="G48" s="170"/>
      <c r="H48" s="170"/>
      <c r="I48" s="170"/>
      <c r="J48" s="170"/>
      <c r="K48" s="170"/>
      <c r="L48" s="170"/>
      <c r="M48" s="170"/>
      <c r="N48" s="170"/>
      <c r="O48" s="170"/>
      <c r="P48" s="171"/>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170"/>
      <c r="BA48" s="170"/>
      <c r="BB48" s="113"/>
      <c r="BD48" s="112"/>
      <c r="BE48" s="112"/>
    </row>
    <row r="49" spans="1:57" ht="15" customHeight="1" x14ac:dyDescent="0.25">
      <c r="A49" s="100">
        <v>6</v>
      </c>
      <c r="B49" s="29" t="s">
        <v>428</v>
      </c>
      <c r="D49" s="112"/>
      <c r="E49" s="66"/>
      <c r="F49" s="66"/>
      <c r="G49" s="66"/>
      <c r="H49" s="66"/>
      <c r="I49" s="220">
        <f>'IS Raw'!I33/Input!$B$1</f>
        <v>8.7732738030000004</v>
      </c>
      <c r="J49" s="220">
        <f>'IS Raw'!J33/Input!$B$1</f>
        <v>144.14160363799999</v>
      </c>
      <c r="K49" s="220">
        <f>'IS Raw'!K33/Input!$B$1</f>
        <v>0.22343835200000001</v>
      </c>
      <c r="L49" s="220">
        <f>'IS Raw'!L33/Input!$B$1</f>
        <v>0.68875094599999998</v>
      </c>
      <c r="M49" s="220">
        <f>'IS Raw'!M33/Input!$B$1</f>
        <v>0.23141077800000001</v>
      </c>
      <c r="N49" s="220">
        <f>'IS Raw'!N33/Input!$B$1</f>
        <v>0.34645156399999999</v>
      </c>
      <c r="O49" s="220">
        <f>'IS Raw'!O33/Input!$B$1</f>
        <v>2.8734187769999999</v>
      </c>
      <c r="P49" s="1789">
        <f>'IS Raw'!P33/Input!$B$1</f>
        <v>1.8696857170000001</v>
      </c>
      <c r="Q49" s="221">
        <f>AVERAGE(K49:P49)</f>
        <v>1.0388593556666668</v>
      </c>
      <c r="R49" s="221">
        <f t="shared" ref="R49:Z49" si="37">AVERAGE(L49:Q49)</f>
        <v>1.1747628562777779</v>
      </c>
      <c r="S49" s="221">
        <f t="shared" si="37"/>
        <v>1.2557648413240741</v>
      </c>
      <c r="T49" s="221">
        <f t="shared" si="37"/>
        <v>1.4264905185447532</v>
      </c>
      <c r="U49" s="221">
        <f t="shared" si="37"/>
        <v>1.6064970109688785</v>
      </c>
      <c r="V49" s="221">
        <f t="shared" si="37"/>
        <v>1.395343383297025</v>
      </c>
      <c r="W49" s="221">
        <f t="shared" si="37"/>
        <v>1.3162863276798624</v>
      </c>
      <c r="X49" s="221">
        <f t="shared" si="37"/>
        <v>1.3625241563487285</v>
      </c>
      <c r="Y49" s="221">
        <f t="shared" si="37"/>
        <v>1.3938177063605537</v>
      </c>
      <c r="Z49" s="221">
        <f t="shared" si="37"/>
        <v>1.4168265171999668</v>
      </c>
      <c r="AA49" s="221"/>
      <c r="AB49" s="221"/>
      <c r="AC49" s="221"/>
      <c r="AD49" s="221"/>
      <c r="AE49" s="222"/>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113"/>
      <c r="BC49" s="223"/>
      <c r="BD49" s="112"/>
      <c r="BE49" s="112"/>
    </row>
    <row r="50" spans="1:57" x14ac:dyDescent="0.25">
      <c r="B50" s="147" t="s">
        <v>429</v>
      </c>
      <c r="C50" s="147"/>
      <c r="D50" s="112"/>
      <c r="E50" s="170"/>
      <c r="F50" s="170"/>
      <c r="G50" s="170"/>
      <c r="H50" s="170"/>
      <c r="I50" s="170"/>
      <c r="J50" s="170"/>
      <c r="K50" s="170"/>
      <c r="L50" s="170"/>
      <c r="M50" s="170"/>
      <c r="N50" s="170"/>
      <c r="O50" s="170"/>
      <c r="P50" s="171"/>
      <c r="Q50" s="224"/>
      <c r="R50" s="224"/>
      <c r="S50" s="224"/>
      <c r="T50" s="224"/>
      <c r="U50" s="224"/>
      <c r="V50" s="224"/>
      <c r="W50" s="224"/>
      <c r="X50" s="224"/>
      <c r="Y50" s="224"/>
      <c r="Z50" s="224"/>
      <c r="AA50" s="224"/>
      <c r="AB50" s="224"/>
      <c r="AC50" s="224"/>
      <c r="AD50" s="224"/>
      <c r="AE50" s="224"/>
      <c r="AF50" s="224"/>
      <c r="AG50" s="224"/>
      <c r="AH50" s="224"/>
      <c r="AI50" s="224"/>
      <c r="AJ50" s="224"/>
      <c r="AK50" s="224"/>
      <c r="AL50" s="224"/>
      <c r="AM50" s="224"/>
      <c r="AN50" s="224"/>
      <c r="AO50" s="224"/>
      <c r="AP50" s="224"/>
      <c r="AQ50" s="224"/>
      <c r="AR50" s="224"/>
      <c r="AS50" s="224"/>
      <c r="AT50" s="224"/>
      <c r="AU50" s="224"/>
      <c r="AV50" s="224"/>
      <c r="AW50" s="224"/>
      <c r="AX50" s="224"/>
      <c r="AY50" s="224"/>
      <c r="AZ50" s="224"/>
      <c r="BA50" s="224"/>
      <c r="BB50" s="113"/>
      <c r="BC50" s="223"/>
      <c r="BD50" s="112"/>
      <c r="BE50" s="112"/>
    </row>
    <row r="51" spans="1:57" x14ac:dyDescent="0.25">
      <c r="B51" s="147" t="s">
        <v>430</v>
      </c>
      <c r="C51" s="147"/>
      <c r="D51" s="112"/>
      <c r="E51" s="170"/>
      <c r="F51" s="170"/>
      <c r="G51" s="170"/>
      <c r="H51" s="170"/>
      <c r="I51" s="170"/>
      <c r="J51" s="170"/>
      <c r="K51" s="170"/>
      <c r="L51" s="170"/>
      <c r="M51" s="170"/>
      <c r="N51" s="170"/>
      <c r="O51" s="170"/>
      <c r="P51" s="171"/>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113"/>
      <c r="BC51" s="223"/>
      <c r="BD51" s="112"/>
      <c r="BE51" s="112"/>
    </row>
    <row r="52" spans="1:57" s="117" customFormat="1" x14ac:dyDescent="0.25">
      <c r="A52" s="132"/>
      <c r="B52" s="133" t="s">
        <v>431</v>
      </c>
      <c r="C52" s="133"/>
      <c r="D52" s="134"/>
      <c r="E52" s="135"/>
      <c r="F52" s="135"/>
      <c r="G52" s="135"/>
      <c r="H52" s="135"/>
      <c r="I52" s="136">
        <f>IF(ISTEXT('IS Raw'!I11), 'IS Raw'!I33/Input!$B$1, Input!I49)</f>
        <v>8.7732738030000004</v>
      </c>
      <c r="J52" s="136">
        <f>IF(ISTEXT('IS Raw'!J11), 'IS Raw'!J33/Input!$B$1, Input!J49)</f>
        <v>144.14160363799999</v>
      </c>
      <c r="K52" s="136">
        <f>IF(ISTEXT('IS Raw'!K11), 'IS Raw'!K33/Input!$B$1, Input!K49)</f>
        <v>0.22343835200000001</v>
      </c>
      <c r="L52" s="136">
        <f>IF(ISTEXT('IS Raw'!L11), 'IS Raw'!L33/Input!$B$1, Input!L49)</f>
        <v>0.68875094599999998</v>
      </c>
      <c r="M52" s="136">
        <f>IF(ISTEXT('IS Raw'!M11), 'IS Raw'!M33/Input!$B$1, Input!M49)</f>
        <v>0.23141077800000001</v>
      </c>
      <c r="N52" s="136">
        <f>IF(ISTEXT('IS Raw'!N11), 'IS Raw'!N33/Input!$B$1, Input!N49)</f>
        <v>0.34645156399999999</v>
      </c>
      <c r="O52" s="136">
        <f>IF(ISTEXT('IS Raw'!O11), 'IS Raw'!O33/Input!$B$1, Input!O49)</f>
        <v>2.8734187769999999</v>
      </c>
      <c r="P52" s="1782">
        <f>IF(ISTEXT('IS Raw'!P11), 'IS Raw'!P33/Input!$B$1, Input!P49)</f>
        <v>1.8696857170000001</v>
      </c>
      <c r="Q52" s="137">
        <f>IF(ISTEXT('IS Raw'!Q11), 'IS Raw'!Q33/Input!$B$1, Input!Q49)</f>
        <v>1.0388593556666668</v>
      </c>
      <c r="R52" s="137">
        <f>IF(ISTEXT('IS Raw'!R11), 'IS Raw'!R33/Input!$B$1, Input!R49)</f>
        <v>1.1747628562777779</v>
      </c>
      <c r="S52" s="137">
        <f>IF(ISTEXT('IS Raw'!S11), 'IS Raw'!S33/Input!$B$1, Input!S49)</f>
        <v>1.2557648413240741</v>
      </c>
      <c r="T52" s="137">
        <f>IF(ISTEXT('IS Raw'!T11), 'IS Raw'!T33/Input!$B$1, Input!T49)</f>
        <v>1.4264905185447532</v>
      </c>
      <c r="U52" s="137">
        <f>IF(ISTEXT('IS Raw'!U11), 'IS Raw'!U33/Input!$B$1, Input!U49)</f>
        <v>1.6064970109688785</v>
      </c>
      <c r="V52" s="137">
        <f>IF(ISTEXT('IS Raw'!V11), 'IS Raw'!V33/Input!$B$1, Input!V49)</f>
        <v>1.395343383297025</v>
      </c>
      <c r="W52" s="137">
        <f>IF(ISTEXT('IS Raw'!W11), 'IS Raw'!W33/Input!$B$1, Input!W49)</f>
        <v>1.3162863276798624</v>
      </c>
      <c r="X52" s="137">
        <f>IF(ISTEXT('IS Raw'!X11), 'IS Raw'!X33/Input!$B$1, Input!X49)</f>
        <v>1.3625241563487285</v>
      </c>
      <c r="Y52" s="137">
        <f>IF(ISTEXT('IS Raw'!Y11), 'IS Raw'!Y33/Input!$B$1, Input!Y49)</f>
        <v>1.3938177063605537</v>
      </c>
      <c r="Z52" s="137">
        <f>IF(ISTEXT('IS Raw'!Z11), 'IS Raw'!Z33/Input!$B$1, Input!Z49)</f>
        <v>1.4168265171999668</v>
      </c>
      <c r="AA52" s="137"/>
      <c r="AB52" s="137"/>
      <c r="AC52" s="137"/>
      <c r="AD52" s="137"/>
      <c r="AE52" s="137"/>
      <c r="AF52" s="137"/>
      <c r="AG52" s="137"/>
      <c r="AH52" s="137"/>
      <c r="AI52" s="137"/>
      <c r="AJ52" s="137"/>
      <c r="AK52" s="137"/>
      <c r="AL52" s="137"/>
      <c r="AM52" s="137"/>
      <c r="AN52" s="137"/>
      <c r="AO52" s="137"/>
      <c r="AP52" s="136"/>
      <c r="AQ52" s="136"/>
      <c r="AR52" s="136"/>
      <c r="AS52" s="136"/>
      <c r="AT52" s="136"/>
      <c r="AU52" s="136"/>
      <c r="AV52" s="136"/>
      <c r="AW52" s="138"/>
      <c r="AX52" s="138"/>
      <c r="AY52" s="138"/>
      <c r="AZ52" s="138"/>
      <c r="BA52" s="138"/>
      <c r="BB52" s="139"/>
      <c r="BC52" s="225"/>
    </row>
    <row r="53" spans="1:57" x14ac:dyDescent="0.25">
      <c r="D53" s="112"/>
      <c r="E53" s="170"/>
      <c r="F53" s="170"/>
      <c r="G53" s="170"/>
      <c r="H53" s="170"/>
      <c r="I53" s="170"/>
      <c r="J53" s="170"/>
      <c r="K53" s="170"/>
      <c r="L53" s="170"/>
      <c r="M53" s="170"/>
      <c r="N53" s="170"/>
      <c r="O53" s="170"/>
      <c r="P53" s="171"/>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0"/>
      <c r="AU53" s="170"/>
      <c r="AV53" s="170"/>
      <c r="AW53" s="170"/>
      <c r="AX53" s="170"/>
      <c r="AY53" s="170"/>
      <c r="AZ53" s="170"/>
      <c r="BA53" s="170"/>
      <c r="BB53" s="113"/>
      <c r="BD53" s="112"/>
      <c r="BE53" s="112"/>
    </row>
    <row r="54" spans="1:57" x14ac:dyDescent="0.25">
      <c r="A54" s="100">
        <v>7</v>
      </c>
      <c r="B54" s="226" t="s">
        <v>432</v>
      </c>
      <c r="C54" s="226"/>
      <c r="D54" s="112"/>
      <c r="E54" s="66"/>
      <c r="F54" s="66"/>
      <c r="G54" s="66"/>
      <c r="H54" s="66"/>
      <c r="I54" s="220">
        <f>-'IS Raw'!I34/Input!$B$1</f>
        <v>0.98062654900000001</v>
      </c>
      <c r="J54" s="220">
        <f>-'IS Raw'!J34/Input!$B$1</f>
        <v>6.1872556000000002E-2</v>
      </c>
      <c r="K54" s="220">
        <f>-'IS Raw'!K34/Input!$B$1</f>
        <v>0.186788596</v>
      </c>
      <c r="L54" s="220">
        <f>-'IS Raw'!L34/Input!$B$1</f>
        <v>2.2626146999999999E-2</v>
      </c>
      <c r="M54" s="220">
        <f>-'IS Raw'!M34/Input!$B$1</f>
        <v>0.21626276</v>
      </c>
      <c r="N54" s="220">
        <f>-'IS Raw'!N34/Input!$B$1</f>
        <v>0.15042520600000001</v>
      </c>
      <c r="O54" s="220">
        <f>-'IS Raw'!O34/Input!$B$1</f>
        <v>0.12983325100000001</v>
      </c>
      <c r="P54" s="1789">
        <f>-'IS Raw'!P34/Input!$B$1</f>
        <v>-0.30660156799999999</v>
      </c>
      <c r="Q54" s="221">
        <f>AVERAGE(J54:O54)</f>
        <v>0.12796808600000001</v>
      </c>
      <c r="R54" s="221">
        <f>Q54</f>
        <v>0.12796808600000001</v>
      </c>
      <c r="S54" s="221">
        <f t="shared" ref="S54:Z54" si="38">R54</f>
        <v>0.12796808600000001</v>
      </c>
      <c r="T54" s="221">
        <f t="shared" si="38"/>
        <v>0.12796808600000001</v>
      </c>
      <c r="U54" s="221">
        <f t="shared" si="38"/>
        <v>0.12796808600000001</v>
      </c>
      <c r="V54" s="221">
        <f t="shared" si="38"/>
        <v>0.12796808600000001</v>
      </c>
      <c r="W54" s="221">
        <f t="shared" si="38"/>
        <v>0.12796808600000001</v>
      </c>
      <c r="X54" s="221">
        <f t="shared" si="38"/>
        <v>0.12796808600000001</v>
      </c>
      <c r="Y54" s="221">
        <f t="shared" si="38"/>
        <v>0.12796808600000001</v>
      </c>
      <c r="Z54" s="221">
        <f t="shared" si="38"/>
        <v>0.12796808600000001</v>
      </c>
      <c r="AA54" s="221"/>
      <c r="AB54" s="221"/>
      <c r="AC54" s="221"/>
      <c r="AD54" s="221"/>
      <c r="AE54" s="221"/>
      <c r="AF54" s="221"/>
      <c r="AG54" s="221"/>
      <c r="AH54" s="221"/>
      <c r="AI54" s="221"/>
      <c r="AJ54" s="221"/>
      <c r="AK54" s="221"/>
      <c r="AL54" s="222"/>
      <c r="AM54" s="222"/>
      <c r="AN54" s="222"/>
      <c r="AO54" s="222"/>
      <c r="AP54" s="222"/>
      <c r="AQ54" s="222"/>
      <c r="AR54" s="222"/>
      <c r="AS54" s="222"/>
      <c r="AT54" s="222"/>
      <c r="AU54" s="222"/>
      <c r="AV54" s="222"/>
      <c r="AW54" s="222"/>
      <c r="AX54" s="222"/>
      <c r="AY54" s="222"/>
      <c r="AZ54" s="222"/>
      <c r="BA54" s="222"/>
      <c r="BB54" s="113"/>
      <c r="BC54" s="223"/>
      <c r="BD54" s="112"/>
      <c r="BE54" s="112"/>
    </row>
    <row r="55" spans="1:57" s="180" customFormat="1" x14ac:dyDescent="0.25">
      <c r="A55" s="189"/>
      <c r="B55" s="175" t="s">
        <v>404</v>
      </c>
      <c r="C55" s="175"/>
      <c r="D55" s="176"/>
      <c r="E55" s="177"/>
      <c r="F55" s="177"/>
      <c r="G55" s="177"/>
      <c r="H55" s="177"/>
      <c r="I55" s="227">
        <f>I54/I7</f>
        <v>3.9994894812442848E-4</v>
      </c>
      <c r="J55" s="227">
        <f>J54/J7</f>
        <v>5.0505403891607583E-5</v>
      </c>
      <c r="K55" s="227">
        <f t="shared" ref="K55:Z55" si="39">K54/K7</f>
        <v>1.3487497188731232E-4</v>
      </c>
      <c r="L55" s="227">
        <f t="shared" si="39"/>
        <v>1.6298588419997798E-5</v>
      </c>
      <c r="M55" s="227">
        <f t="shared" si="39"/>
        <v>1.543604614791393E-4</v>
      </c>
      <c r="N55" s="227">
        <f t="shared" si="39"/>
        <v>1.192214837248297E-4</v>
      </c>
      <c r="O55" s="227">
        <f t="shared" si="39"/>
        <v>1.0329210075050043E-4</v>
      </c>
      <c r="P55" s="1790">
        <f t="shared" si="39"/>
        <v>-1.9672808182325788E-4</v>
      </c>
      <c r="Q55" s="178">
        <f t="shared" si="39"/>
        <v>7.6416002070936272E-5</v>
      </c>
      <c r="R55" s="178">
        <f t="shared" si="39"/>
        <v>7.3247535857146225E-5</v>
      </c>
      <c r="S55" s="178">
        <f t="shared" si="39"/>
        <v>5.801757564153304E-5</v>
      </c>
      <c r="T55" s="178">
        <f t="shared" si="39"/>
        <v>5.4392879828714703E-5</v>
      </c>
      <c r="U55" s="178">
        <f t="shared" si="39"/>
        <v>5.1182955047225954E-5</v>
      </c>
      <c r="V55" s="178">
        <f t="shared" si="39"/>
        <v>4.8806728307235775E-5</v>
      </c>
      <c r="W55" s="178">
        <f t="shared" si="39"/>
        <v>4.6134229456587481E-5</v>
      </c>
      <c r="X55" s="178">
        <f t="shared" si="39"/>
        <v>4.4418593162445181E-5</v>
      </c>
      <c r="Y55" s="178">
        <f t="shared" si="39"/>
        <v>4.2699611833378841E-5</v>
      </c>
      <c r="Z55" s="178">
        <f t="shared" si="39"/>
        <v>4.0980815794081299E-5</v>
      </c>
      <c r="AA55" s="178"/>
      <c r="AB55" s="178"/>
      <c r="AC55" s="178"/>
      <c r="AD55" s="178"/>
      <c r="AE55" s="178"/>
      <c r="AF55" s="178"/>
      <c r="AG55" s="178"/>
      <c r="AH55" s="178"/>
      <c r="AI55" s="178"/>
      <c r="AJ55" s="178"/>
      <c r="AK55" s="178"/>
      <c r="AL55" s="178"/>
      <c r="AM55" s="178"/>
      <c r="AN55" s="178"/>
      <c r="AO55" s="179"/>
      <c r="AP55" s="179"/>
      <c r="AQ55" s="179"/>
      <c r="AR55" s="179"/>
      <c r="AS55" s="179"/>
      <c r="AT55" s="179"/>
      <c r="AU55" s="179"/>
      <c r="AV55" s="179"/>
      <c r="AW55" s="179"/>
      <c r="AX55" s="179"/>
      <c r="AY55" s="179"/>
      <c r="AZ55" s="179"/>
      <c r="BA55" s="179"/>
      <c r="BB55" s="176"/>
      <c r="BC55" s="146"/>
    </row>
    <row r="56" spans="1:57" s="117" customFormat="1" x14ac:dyDescent="0.25">
      <c r="A56" s="132"/>
      <c r="B56" s="133" t="s">
        <v>433</v>
      </c>
      <c r="C56" s="133"/>
      <c r="D56" s="134"/>
      <c r="E56" s="135"/>
      <c r="F56" s="135"/>
      <c r="G56" s="135"/>
      <c r="H56" s="135"/>
      <c r="I56" s="136">
        <f>IF(ISTEXT('IS Raw'!I11), -'IS Raw'!I34/$B$1, Input!I54)</f>
        <v>0.98062654900000001</v>
      </c>
      <c r="J56" s="136">
        <f>IF(ISTEXT('IS Raw'!J11), -'IS Raw'!J34/$B$1, Input!J54)</f>
        <v>6.1872556000000002E-2</v>
      </c>
      <c r="K56" s="136">
        <f>IF(ISTEXT('IS Raw'!K11), -'IS Raw'!K34/$B$1, Input!K54)</f>
        <v>0.186788596</v>
      </c>
      <c r="L56" s="136">
        <f>IF(ISTEXT('IS Raw'!L11), -'IS Raw'!L34/$B$1, Input!L54)</f>
        <v>2.2626146999999999E-2</v>
      </c>
      <c r="M56" s="136">
        <f>IF(ISTEXT('IS Raw'!M11), -'IS Raw'!M34/$B$1, Input!M54)</f>
        <v>0.21626276</v>
      </c>
      <c r="N56" s="136">
        <f>IF(ISTEXT('IS Raw'!N11), -'IS Raw'!N34/$B$1, Input!N54)</f>
        <v>0.15042520600000001</v>
      </c>
      <c r="O56" s="136">
        <f>IF(ISTEXT('IS Raw'!O11), -'IS Raw'!O34/$B$1, Input!O54)</f>
        <v>0.12983325100000001</v>
      </c>
      <c r="P56" s="1782">
        <f>IF(ISTEXT('IS Raw'!P11), -'IS Raw'!P34/$B$1, Input!P54)</f>
        <v>-0.30660156799999999</v>
      </c>
      <c r="Q56" s="137">
        <f>IF(ISTEXT('IS Raw'!Q11), -'IS Raw'!Q34/$B$1, Input!Q54)</f>
        <v>0.12796808600000001</v>
      </c>
      <c r="R56" s="137">
        <f>IF(ISTEXT('IS Raw'!R11), -'IS Raw'!R34/$B$1, Input!R54)</f>
        <v>0.12796808600000001</v>
      </c>
      <c r="S56" s="137">
        <f>IF(ISTEXT('IS Raw'!S11), -'IS Raw'!S34/$B$1, Input!S54)</f>
        <v>0.12796808600000001</v>
      </c>
      <c r="T56" s="137">
        <f>IF(ISTEXT('IS Raw'!T11), -'IS Raw'!T34/$B$1, Input!T54)</f>
        <v>0.12796808600000001</v>
      </c>
      <c r="U56" s="137">
        <f>IF(ISTEXT('IS Raw'!U11), -'IS Raw'!U34/$B$1, Input!U54)</f>
        <v>0.12796808600000001</v>
      </c>
      <c r="V56" s="137">
        <f>IF(ISTEXT('IS Raw'!V11), -'IS Raw'!V34/$B$1, Input!V54)</f>
        <v>0.12796808600000001</v>
      </c>
      <c r="W56" s="137">
        <f>IF(ISTEXT('IS Raw'!W11), -'IS Raw'!W34/$B$1, Input!W54)</f>
        <v>0.12796808600000001</v>
      </c>
      <c r="X56" s="137">
        <f>IF(ISTEXT('IS Raw'!X11), -'IS Raw'!X34/$B$1, Input!X54)</f>
        <v>0.12796808600000001</v>
      </c>
      <c r="Y56" s="137">
        <f>IF(ISTEXT('IS Raw'!Y11), -'IS Raw'!Y34/$B$1, Input!Y54)</f>
        <v>0.12796808600000001</v>
      </c>
      <c r="Z56" s="137">
        <f>IF(ISTEXT('IS Raw'!Z11), -'IS Raw'!Z34/$B$1, Input!Z54)</f>
        <v>0.12796808600000001</v>
      </c>
      <c r="AA56" s="137"/>
      <c r="AB56" s="137"/>
      <c r="AC56" s="137"/>
      <c r="AD56" s="137"/>
      <c r="AE56" s="137"/>
      <c r="AF56" s="137"/>
      <c r="AG56" s="137"/>
      <c r="AH56" s="137"/>
      <c r="AI56" s="137"/>
      <c r="AJ56" s="137"/>
      <c r="AK56" s="137"/>
      <c r="AL56" s="137"/>
      <c r="AM56" s="137"/>
      <c r="AN56" s="136"/>
      <c r="AO56" s="136"/>
      <c r="AP56" s="136"/>
      <c r="AQ56" s="136"/>
      <c r="AR56" s="136"/>
      <c r="AS56" s="138"/>
      <c r="AT56" s="138"/>
      <c r="AU56" s="138"/>
      <c r="AV56" s="138"/>
      <c r="AW56" s="138"/>
      <c r="AX56" s="138"/>
      <c r="AY56" s="138"/>
      <c r="AZ56" s="138"/>
      <c r="BA56" s="138"/>
      <c r="BB56" s="139"/>
      <c r="BC56" s="140"/>
    </row>
    <row r="57" spans="1:57" x14ac:dyDescent="0.25">
      <c r="D57" s="112"/>
      <c r="E57" s="170"/>
      <c r="F57" s="170"/>
      <c r="G57" s="170"/>
      <c r="H57" s="170"/>
      <c r="I57" s="170"/>
      <c r="J57" s="170"/>
      <c r="K57" s="170"/>
      <c r="L57" s="170"/>
      <c r="M57" s="170"/>
      <c r="N57" s="170"/>
      <c r="O57" s="170"/>
      <c r="P57" s="171"/>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170"/>
      <c r="BA57" s="170"/>
      <c r="BB57" s="113"/>
      <c r="BD57" s="112"/>
      <c r="BE57" s="112"/>
    </row>
    <row r="58" spans="1:57" ht="14.4" customHeight="1" x14ac:dyDescent="0.25">
      <c r="A58" s="100">
        <v>8</v>
      </c>
      <c r="B58" s="29" t="s">
        <v>434</v>
      </c>
      <c r="D58" s="112"/>
      <c r="E58" s="170"/>
      <c r="F58" s="170"/>
      <c r="G58" s="170"/>
      <c r="H58" s="170"/>
      <c r="I58" s="219">
        <f>'IS Raw'!I26/$B$1</f>
        <v>4.2809301020000001</v>
      </c>
      <c r="J58" s="219">
        <f>'IS Raw'!J26/$B$1</f>
        <v>17.714871417000001</v>
      </c>
      <c r="K58" s="219">
        <f>'IS Raw'!K26/$B$1</f>
        <v>16.213594465</v>
      </c>
      <c r="L58" s="219">
        <f>'IS Raw'!L26/$B$1</f>
        <v>18.773405464</v>
      </c>
      <c r="M58" s="219">
        <f>'IS Raw'!M26/$B$1</f>
        <v>16.074493083</v>
      </c>
      <c r="N58" s="219">
        <f>'IS Raw'!N26/$B$1</f>
        <v>13.251147259</v>
      </c>
      <c r="O58" s="219">
        <f>'IS Raw'!O26/$B$1</f>
        <v>7.751782188</v>
      </c>
      <c r="P58" s="1791">
        <f>'IS Raw'!P26/$B$1</f>
        <v>6.3201838529999996</v>
      </c>
      <c r="Q58" s="228">
        <f ca="1">Q59+SUM(Q62:Q65)</f>
        <v>17.147038332660816</v>
      </c>
      <c r="R58" s="228">
        <f t="shared" ref="R58:Z58" ca="1" si="40">R59+SUM(R62:R65)</f>
        <v>22.538510309889645</v>
      </c>
      <c r="S58" s="228">
        <f t="shared" ca="1" si="40"/>
        <v>25.72823050976745</v>
      </c>
      <c r="T58" s="228">
        <f t="shared" ca="1" si="40"/>
        <v>32.164055639101129</v>
      </c>
      <c r="U58" s="228">
        <f t="shared" ca="1" si="40"/>
        <v>40.591249862676456</v>
      </c>
      <c r="V58" s="228">
        <f t="shared" ca="1" si="40"/>
        <v>52.437401326562984</v>
      </c>
      <c r="W58" s="228">
        <f t="shared" ca="1" si="40"/>
        <v>64.008195179952637</v>
      </c>
      <c r="X58" s="228">
        <f t="shared" ca="1" si="40"/>
        <v>72.94463897556561</v>
      </c>
      <c r="Y58" s="228">
        <f t="shared" ca="1" si="40"/>
        <v>85.079387646910135</v>
      </c>
      <c r="Z58" s="228">
        <f t="shared" ca="1" si="40"/>
        <v>97.600234564623094</v>
      </c>
      <c r="AA58" s="228"/>
      <c r="AB58" s="224"/>
      <c r="AC58" s="224"/>
      <c r="AD58" s="224"/>
      <c r="AE58" s="224"/>
      <c r="AF58" s="224"/>
      <c r="AG58" s="224"/>
      <c r="AH58" s="224"/>
      <c r="AI58" s="224"/>
      <c r="AJ58" s="224"/>
      <c r="AK58" s="224"/>
      <c r="AL58" s="224"/>
      <c r="AM58" s="224"/>
      <c r="AN58" s="224"/>
      <c r="AO58" s="224"/>
      <c r="AP58" s="224"/>
      <c r="AQ58" s="224"/>
      <c r="AR58" s="224"/>
      <c r="AS58" s="224"/>
      <c r="AT58" s="224"/>
      <c r="AU58" s="224"/>
      <c r="AV58" s="224"/>
      <c r="AW58" s="224"/>
      <c r="AX58" s="224"/>
      <c r="AY58" s="224"/>
      <c r="AZ58" s="224"/>
      <c r="BA58" s="224"/>
      <c r="BB58" s="113"/>
      <c r="BC58" s="223"/>
      <c r="BD58" s="112"/>
      <c r="BE58" s="112"/>
    </row>
    <row r="59" spans="1:57" x14ac:dyDescent="0.25">
      <c r="A59" s="64"/>
      <c r="B59" s="147" t="s">
        <v>435</v>
      </c>
      <c r="C59" s="147"/>
      <c r="D59" s="112"/>
      <c r="E59" s="157"/>
      <c r="F59" s="157"/>
      <c r="G59" s="157"/>
      <c r="H59" s="157"/>
      <c r="I59" s="229">
        <f>SUM(I60,I61)</f>
        <v>1.3775034230000001</v>
      </c>
      <c r="J59" s="229">
        <f>SUM(J60,J61)</f>
        <v>10.617685454</v>
      </c>
      <c r="K59" s="229">
        <f t="shared" ref="K59:P59" si="41">SUM(K60,K61)</f>
        <v>14.798432089</v>
      </c>
      <c r="L59" s="229">
        <f t="shared" si="41"/>
        <v>16.871726163000002</v>
      </c>
      <c r="M59" s="229">
        <f t="shared" si="41"/>
        <v>15.03360996</v>
      </c>
      <c r="N59" s="229">
        <f t="shared" si="41"/>
        <v>11.915986669</v>
      </c>
      <c r="O59" s="229">
        <f t="shared" si="41"/>
        <v>6.1646358330000002</v>
      </c>
      <c r="P59" s="1792">
        <f t="shared" si="41"/>
        <v>5.1374799729999996</v>
      </c>
      <c r="Q59" s="120">
        <f ca="1">Q60+Q61</f>
        <v>16.029504520803265</v>
      </c>
      <c r="R59" s="120">
        <f t="shared" ref="R59:Z59" ca="1" si="42">R60+R61</f>
        <v>21.372635375232491</v>
      </c>
      <c r="S59" s="120">
        <f t="shared" ca="1" si="42"/>
        <v>24.256306439570444</v>
      </c>
      <c r="T59" s="120">
        <f t="shared" ca="1" si="42"/>
        <v>30.594043785524558</v>
      </c>
      <c r="U59" s="120">
        <f t="shared" ca="1" si="42"/>
        <v>38.922775152639637</v>
      </c>
      <c r="V59" s="120">
        <f t="shared" ca="1" si="42"/>
        <v>50.687694492216799</v>
      </c>
      <c r="W59" s="120">
        <f t="shared" ca="1" si="42"/>
        <v>62.157129992842336</v>
      </c>
      <c r="X59" s="120">
        <f t="shared" ca="1" si="42"/>
        <v>71.022077723593114</v>
      </c>
      <c r="Y59" s="120">
        <f t="shared" ca="1" si="42"/>
        <v>83.079428808537472</v>
      </c>
      <c r="Z59" s="120">
        <f t="shared" ca="1" si="42"/>
        <v>95.516394493933689</v>
      </c>
      <c r="AA59" s="120"/>
      <c r="AB59" s="121"/>
      <c r="AC59" s="121"/>
      <c r="AD59" s="121"/>
      <c r="AE59" s="121"/>
      <c r="AF59" s="121"/>
      <c r="AG59" s="121"/>
      <c r="AH59" s="121"/>
      <c r="AI59" s="121"/>
      <c r="AJ59" s="121"/>
      <c r="AK59" s="121"/>
      <c r="AL59" s="121"/>
      <c r="AM59" s="121"/>
      <c r="AN59" s="121"/>
      <c r="AO59" s="121"/>
      <c r="AP59" s="121"/>
      <c r="AQ59" s="121"/>
      <c r="AR59" s="121"/>
      <c r="AS59" s="121"/>
      <c r="AT59" s="121"/>
      <c r="AU59" s="121"/>
      <c r="AV59" s="121"/>
      <c r="AW59" s="121"/>
      <c r="AX59" s="121"/>
      <c r="AY59" s="121"/>
      <c r="AZ59" s="121"/>
      <c r="BA59" s="121"/>
      <c r="BB59" s="230"/>
      <c r="BD59" s="112"/>
      <c r="BE59" s="112"/>
    </row>
    <row r="60" spans="1:57" s="76" customFormat="1" x14ac:dyDescent="0.25">
      <c r="A60" s="69"/>
      <c r="B60" s="231" t="s">
        <v>436</v>
      </c>
      <c r="C60" s="232"/>
      <c r="D60" s="233"/>
      <c r="E60" s="234"/>
      <c r="F60" s="234"/>
      <c r="G60" s="234"/>
      <c r="H60" s="234"/>
      <c r="I60" s="234"/>
      <c r="J60" s="235"/>
      <c r="K60" s="235"/>
      <c r="L60" s="235"/>
      <c r="M60" s="235"/>
      <c r="N60" s="235"/>
      <c r="O60" s="235"/>
      <c r="P60" s="1793"/>
      <c r="Q60" s="236">
        <f ca="1">Q157</f>
        <v>0.49001040887241598</v>
      </c>
      <c r="R60" s="236">
        <f t="shared" ref="R60:Z60" ca="1" si="43">R157</f>
        <v>0.68284456770133584</v>
      </c>
      <c r="S60" s="236">
        <f t="shared" ca="1" si="43"/>
        <v>0.24740198902860497</v>
      </c>
      <c r="T60" s="236">
        <f t="shared" ca="1" si="43"/>
        <v>0.17648897314760989</v>
      </c>
      <c r="U60" s="236">
        <f t="shared" ca="1" si="43"/>
        <v>0.22905285447382595</v>
      </c>
      <c r="V60" s="236">
        <f t="shared" ca="1" si="43"/>
        <v>0.11276057762400907</v>
      </c>
      <c r="W60" s="236">
        <f t="shared" ca="1" si="43"/>
        <v>0.14724957193282245</v>
      </c>
      <c r="X60" s="236">
        <f t="shared" ca="1" si="43"/>
        <v>0.36627085280907962</v>
      </c>
      <c r="Y60" s="236">
        <f t="shared" ca="1" si="43"/>
        <v>0.37929094513214262</v>
      </c>
      <c r="Z60" s="236">
        <f t="shared" ca="1" si="43"/>
        <v>0.39059683601589607</v>
      </c>
      <c r="AA60" s="236"/>
      <c r="AB60" s="237"/>
      <c r="AC60" s="237"/>
      <c r="AD60" s="237"/>
      <c r="AE60" s="237"/>
      <c r="AF60" s="237"/>
      <c r="AG60" s="237"/>
      <c r="AH60" s="237"/>
      <c r="AI60" s="237"/>
      <c r="AJ60" s="237"/>
      <c r="AK60" s="237"/>
      <c r="AL60" s="237"/>
      <c r="AM60" s="237"/>
      <c r="AN60" s="237"/>
      <c r="AO60" s="237"/>
      <c r="AP60" s="237"/>
      <c r="AQ60" s="237"/>
      <c r="AR60" s="237"/>
      <c r="AS60" s="237"/>
      <c r="AT60" s="237"/>
      <c r="AU60" s="237"/>
      <c r="AV60" s="237"/>
      <c r="AW60" s="237"/>
      <c r="AX60" s="237"/>
      <c r="AY60" s="237"/>
      <c r="AZ60" s="237"/>
      <c r="BA60" s="237"/>
      <c r="BB60" s="238"/>
      <c r="BC60" s="239"/>
      <c r="BD60" s="233"/>
      <c r="BE60" s="233"/>
    </row>
    <row r="61" spans="1:57" s="76" customFormat="1" x14ac:dyDescent="0.25">
      <c r="A61" s="69"/>
      <c r="B61" s="231" t="s">
        <v>437</v>
      </c>
      <c r="C61" s="232"/>
      <c r="D61" s="233"/>
      <c r="E61" s="240"/>
      <c r="F61" s="240"/>
      <c r="G61" s="240"/>
      <c r="H61" s="240"/>
      <c r="I61" s="241">
        <f>Notes!I148/$B$1</f>
        <v>1.3775034230000001</v>
      </c>
      <c r="J61" s="241">
        <f>Notes!J148/$B$1</f>
        <v>10.617685454</v>
      </c>
      <c r="K61" s="241">
        <f>Notes!K148/$B$1</f>
        <v>14.798432089</v>
      </c>
      <c r="L61" s="241">
        <f>Notes!L148/$B$1</f>
        <v>16.871726163000002</v>
      </c>
      <c r="M61" s="241">
        <f>Notes!M148/$B$1</f>
        <v>15.03360996</v>
      </c>
      <c r="N61" s="241">
        <f>Notes!N148/$B$1</f>
        <v>11.915986669</v>
      </c>
      <c r="O61" s="241">
        <f>Notes!O148/$B$1</f>
        <v>6.1646358330000002</v>
      </c>
      <c r="P61" s="1794">
        <f>Notes!P148/$B$1</f>
        <v>5.1374799729999996</v>
      </c>
      <c r="Q61" s="236">
        <f>Q165+Q175</f>
        <v>15.539494111930848</v>
      </c>
      <c r="R61" s="236">
        <f t="shared" ref="R61:Z61" si="44">R165+R175</f>
        <v>20.689790807531157</v>
      </c>
      <c r="S61" s="236">
        <f t="shared" si="44"/>
        <v>24.008904450541838</v>
      </c>
      <c r="T61" s="236">
        <f t="shared" si="44"/>
        <v>30.417554812376949</v>
      </c>
      <c r="U61" s="236">
        <f t="shared" si="44"/>
        <v>38.69372229816581</v>
      </c>
      <c r="V61" s="236">
        <f t="shared" si="44"/>
        <v>50.574933914592791</v>
      </c>
      <c r="W61" s="236">
        <f t="shared" si="44"/>
        <v>62.009880420909511</v>
      </c>
      <c r="X61" s="236">
        <f t="shared" si="44"/>
        <v>70.655806870784033</v>
      </c>
      <c r="Y61" s="236">
        <f t="shared" si="44"/>
        <v>82.700137863405331</v>
      </c>
      <c r="Z61" s="236">
        <f t="shared" si="44"/>
        <v>95.125797657917786</v>
      </c>
      <c r="AA61" s="236"/>
      <c r="AB61" s="237"/>
      <c r="AC61" s="237"/>
      <c r="AD61" s="237"/>
      <c r="AE61" s="237"/>
      <c r="AF61" s="237"/>
      <c r="AG61" s="237"/>
      <c r="AH61" s="237"/>
      <c r="AI61" s="237"/>
      <c r="AJ61" s="237"/>
      <c r="AK61" s="237"/>
      <c r="AL61" s="237"/>
      <c r="AM61" s="237"/>
      <c r="AN61" s="237"/>
      <c r="AO61" s="237"/>
      <c r="AP61" s="237"/>
      <c r="AQ61" s="237"/>
      <c r="AR61" s="237"/>
      <c r="AS61" s="237"/>
      <c r="AT61" s="237"/>
      <c r="AU61" s="237"/>
      <c r="AV61" s="237"/>
      <c r="AW61" s="237"/>
      <c r="AX61" s="237"/>
      <c r="AY61" s="237"/>
      <c r="AZ61" s="237"/>
      <c r="BA61" s="237"/>
      <c r="BB61" s="238"/>
      <c r="BC61" s="239"/>
      <c r="BD61" s="233"/>
      <c r="BE61" s="233"/>
    </row>
    <row r="62" spans="1:57" x14ac:dyDescent="0.25">
      <c r="A62" s="64"/>
      <c r="B62" s="147" t="s">
        <v>438</v>
      </c>
      <c r="C62" s="147"/>
      <c r="D62" s="112"/>
      <c r="E62" s="143"/>
      <c r="F62" s="143"/>
      <c r="G62" s="143"/>
      <c r="H62" s="143"/>
      <c r="I62" s="242">
        <f>Notes!I149/$B$1</f>
        <v>0</v>
      </c>
      <c r="J62" s="242">
        <f>Notes!J149/$B$1</f>
        <v>0</v>
      </c>
      <c r="K62" s="242">
        <f>Notes!K149/$B$1</f>
        <v>0</v>
      </c>
      <c r="L62" s="242">
        <f>Notes!L149/$B$1</f>
        <v>0</v>
      </c>
      <c r="M62" s="242">
        <f>Notes!M149/$B$1</f>
        <v>0</v>
      </c>
      <c r="N62" s="242">
        <f>Notes!N149/$B$1</f>
        <v>0</v>
      </c>
      <c r="O62" s="242">
        <f>Notes!O149/$B$1</f>
        <v>0</v>
      </c>
      <c r="P62" s="1795">
        <f>Notes!P149/$B$1</f>
        <v>0</v>
      </c>
      <c r="Q62" s="243">
        <v>0</v>
      </c>
      <c r="R62" s="243">
        <f>Q62</f>
        <v>0</v>
      </c>
      <c r="S62" s="243">
        <f t="shared" ref="S62:Z62" si="45">R62</f>
        <v>0</v>
      </c>
      <c r="T62" s="243">
        <f t="shared" si="45"/>
        <v>0</v>
      </c>
      <c r="U62" s="243">
        <f t="shared" si="45"/>
        <v>0</v>
      </c>
      <c r="V62" s="243">
        <f t="shared" si="45"/>
        <v>0</v>
      </c>
      <c r="W62" s="243">
        <f t="shared" si="45"/>
        <v>0</v>
      </c>
      <c r="X62" s="243">
        <f t="shared" si="45"/>
        <v>0</v>
      </c>
      <c r="Y62" s="243">
        <f t="shared" si="45"/>
        <v>0</v>
      </c>
      <c r="Z62" s="243">
        <f t="shared" si="45"/>
        <v>0</v>
      </c>
      <c r="AA62" s="243"/>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30"/>
      <c r="BD62" s="112"/>
      <c r="BE62" s="112"/>
    </row>
    <row r="63" spans="1:57" x14ac:dyDescent="0.25">
      <c r="A63" s="64"/>
      <c r="B63" s="147" t="s">
        <v>439</v>
      </c>
      <c r="C63" s="147"/>
      <c r="D63" s="112"/>
      <c r="E63" s="157"/>
      <c r="F63" s="157"/>
      <c r="G63" s="157"/>
      <c r="H63" s="157"/>
      <c r="I63" s="158">
        <f>Notes!I150/$B$1</f>
        <v>0.1159848</v>
      </c>
      <c r="J63" s="158">
        <f>Notes!J150/$B$1</f>
        <v>5.2645679999999997</v>
      </c>
      <c r="K63" s="158">
        <f>Notes!K150/$B$1</f>
        <v>0.185059802</v>
      </c>
      <c r="L63" s="158">
        <f>Notes!L150/$B$1</f>
        <v>0.83371767200000002</v>
      </c>
      <c r="M63" s="158">
        <f>Notes!M150/$B$1</f>
        <v>0.71035389999999998</v>
      </c>
      <c r="N63" s="158">
        <f>Notes!N150/$B$1</f>
        <v>1.0157099999999999</v>
      </c>
      <c r="O63" s="158">
        <f>Notes!O150/$B$1</f>
        <v>0.89100000000000001</v>
      </c>
      <c r="P63" s="1783">
        <f>Notes!P150/$B$1</f>
        <v>0</v>
      </c>
      <c r="Q63" s="243">
        <v>0</v>
      </c>
      <c r="R63" s="243">
        <f t="shared" ref="R63:Z64" si="46">Q63</f>
        <v>0</v>
      </c>
      <c r="S63" s="243">
        <f t="shared" si="46"/>
        <v>0</v>
      </c>
      <c r="T63" s="243">
        <f t="shared" si="46"/>
        <v>0</v>
      </c>
      <c r="U63" s="243">
        <f t="shared" si="46"/>
        <v>0</v>
      </c>
      <c r="V63" s="243">
        <f t="shared" si="46"/>
        <v>0</v>
      </c>
      <c r="W63" s="243">
        <f t="shared" si="46"/>
        <v>0</v>
      </c>
      <c r="X63" s="243">
        <f t="shared" si="46"/>
        <v>0</v>
      </c>
      <c r="Y63" s="243">
        <f t="shared" si="46"/>
        <v>0</v>
      </c>
      <c r="Z63" s="243">
        <f t="shared" si="46"/>
        <v>0</v>
      </c>
      <c r="AA63" s="243"/>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30"/>
      <c r="BD63" s="112"/>
      <c r="BE63" s="112"/>
    </row>
    <row r="64" spans="1:57" x14ac:dyDescent="0.25">
      <c r="A64" s="64"/>
      <c r="B64" s="147" t="s">
        <v>1957</v>
      </c>
      <c r="C64" s="147"/>
      <c r="D64" s="112"/>
      <c r="E64" s="170"/>
      <c r="F64" s="170"/>
      <c r="G64" s="170"/>
      <c r="H64" s="170"/>
      <c r="I64" s="219">
        <f>Notes!I151/$B$1</f>
        <v>0</v>
      </c>
      <c r="J64" s="219">
        <f>Notes!J151/$B$1</f>
        <v>0</v>
      </c>
      <c r="K64" s="219">
        <f>Notes!K151/$B$1</f>
        <v>0</v>
      </c>
      <c r="L64" s="219">
        <f>Notes!L151/$B$1</f>
        <v>0</v>
      </c>
      <c r="M64" s="219">
        <f>Notes!M151/$B$1</f>
        <v>0</v>
      </c>
      <c r="N64" s="219">
        <f>Notes!N151/$B$1</f>
        <v>0</v>
      </c>
      <c r="O64" s="219">
        <f>Notes!O151/$B$1</f>
        <v>0</v>
      </c>
      <c r="P64" s="1791">
        <f>Notes!P151/$B$1</f>
        <v>0</v>
      </c>
      <c r="Q64" s="243">
        <v>0</v>
      </c>
      <c r="R64" s="243">
        <f t="shared" si="46"/>
        <v>0</v>
      </c>
      <c r="S64" s="243">
        <f t="shared" si="46"/>
        <v>0</v>
      </c>
      <c r="T64" s="243">
        <f t="shared" si="46"/>
        <v>0</v>
      </c>
      <c r="U64" s="243">
        <f t="shared" si="46"/>
        <v>0</v>
      </c>
      <c r="V64" s="243">
        <f t="shared" si="46"/>
        <v>0</v>
      </c>
      <c r="W64" s="243">
        <f t="shared" si="46"/>
        <v>0</v>
      </c>
      <c r="X64" s="243">
        <f t="shared" si="46"/>
        <v>0</v>
      </c>
      <c r="Y64" s="243">
        <f t="shared" si="46"/>
        <v>0</v>
      </c>
      <c r="Z64" s="243">
        <f t="shared" si="46"/>
        <v>0</v>
      </c>
      <c r="AA64" s="243"/>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30"/>
      <c r="BD64" s="112"/>
      <c r="BE64" s="112"/>
    </row>
    <row r="65" spans="1:57" x14ac:dyDescent="0.25">
      <c r="A65" s="64"/>
      <c r="B65" s="147" t="s">
        <v>440</v>
      </c>
      <c r="C65" s="147"/>
      <c r="D65" s="112"/>
      <c r="E65" s="170"/>
      <c r="F65" s="170"/>
      <c r="G65" s="170"/>
      <c r="H65" s="170"/>
      <c r="I65" s="219">
        <f>SUM(Notes!I152, Notes!I153, Notes!I154, Notes!I155, Notes!I156)/$B$1</f>
        <v>2.7874418790000002</v>
      </c>
      <c r="J65" s="219">
        <f>SUM(Notes!J152, Notes!J153, Notes!J154, Notes!J155, Notes!J156)/$B$1</f>
        <v>1.8326179569999999</v>
      </c>
      <c r="K65" s="219">
        <f>SUM(Notes!K152, Notes!K153, Notes!K154, Notes!K155, Notes!K156)/$B$1</f>
        <v>1.230102574</v>
      </c>
      <c r="L65" s="219">
        <f>SUM(Notes!L152, Notes!L153, Notes!L154, Notes!L155, Notes!L156)/$B$1</f>
        <v>1.067961629</v>
      </c>
      <c r="M65" s="219">
        <f>SUM(Notes!M152, Notes!M153, Notes!M154, Notes!M155, Notes!M156)/$B$1</f>
        <v>0.33052922299999998</v>
      </c>
      <c r="N65" s="219">
        <f>SUM(Notes!N152, Notes!N153, Notes!N154, Notes!N155, Notes!N156)/$B$1</f>
        <v>0.31945059000000003</v>
      </c>
      <c r="O65" s="219">
        <f>SUM(Notes!O152, Notes!O153, Notes!O154, Notes!O155, Notes!O156)/$B$1</f>
        <v>0.69614635499999999</v>
      </c>
      <c r="P65" s="1791">
        <f>SUM(Notes!P152, Notes!P153, Notes!P154, Notes!P155, Notes!P156)/$B$1</f>
        <v>1.18270388</v>
      </c>
      <c r="Q65" s="243">
        <f>AVERAGE($O$65:$P$65)/AVERAGE($O$7:$P$7)*Q7</f>
        <v>1.1175338118575504</v>
      </c>
      <c r="R65" s="243">
        <f t="shared" ref="R65:Z65" si="47">AVERAGE($O$65:$P$65)/AVERAGE($O$7:$P$7)*R7</f>
        <v>1.1658749346571535</v>
      </c>
      <c r="S65" s="243">
        <f t="shared" si="47"/>
        <v>1.4719240701970042</v>
      </c>
      <c r="T65" s="243">
        <f t="shared" si="47"/>
        <v>1.5700118535765679</v>
      </c>
      <c r="U65" s="243">
        <f t="shared" si="47"/>
        <v>1.6684747100368191</v>
      </c>
      <c r="V65" s="243">
        <f t="shared" si="47"/>
        <v>1.7497068343461855</v>
      </c>
      <c r="W65" s="243">
        <f t="shared" si="47"/>
        <v>1.8510651871103054</v>
      </c>
      <c r="X65" s="243">
        <f t="shared" si="47"/>
        <v>1.922561251972503</v>
      </c>
      <c r="Y65" s="243">
        <f t="shared" si="47"/>
        <v>1.9999588383726612</v>
      </c>
      <c r="Z65" s="243">
        <f t="shared" si="47"/>
        <v>2.0838400706894054</v>
      </c>
      <c r="AA65" s="243"/>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30"/>
      <c r="BD65" s="112"/>
      <c r="BE65" s="112"/>
    </row>
    <row r="66" spans="1:57" s="117" customFormat="1" x14ac:dyDescent="0.25">
      <c r="A66" s="132"/>
      <c r="B66" s="133" t="s">
        <v>441</v>
      </c>
      <c r="C66" s="133"/>
      <c r="D66" s="139"/>
      <c r="E66" s="135"/>
      <c r="F66" s="135"/>
      <c r="G66" s="135"/>
      <c r="H66" s="135"/>
      <c r="I66" s="136">
        <f>IF(ISTEXT('IS Raw'!I11),'IS Raw'!I26/Input!$B$1,Input!I58)</f>
        <v>4.2809301020000001</v>
      </c>
      <c r="J66" s="136">
        <f>IF(ISTEXT('IS Raw'!J11),'IS Raw'!J26/Input!$B$1,Input!J58)</f>
        <v>17.714871417000001</v>
      </c>
      <c r="K66" s="136">
        <f>IF(ISTEXT('IS Raw'!K11),'IS Raw'!K26/Input!$B$1,Input!K58)</f>
        <v>16.213594465</v>
      </c>
      <c r="L66" s="136">
        <f>IF(ISTEXT('IS Raw'!L11),'IS Raw'!L26/Input!$B$1,Input!L58)</f>
        <v>18.773405464</v>
      </c>
      <c r="M66" s="136">
        <f>IF(ISTEXT('IS Raw'!M11),'IS Raw'!M26/Input!$B$1,Input!M58)</f>
        <v>16.074493083</v>
      </c>
      <c r="N66" s="136">
        <f>IF(ISTEXT('IS Raw'!N11),'IS Raw'!N26/Input!$B$1,Input!N58)</f>
        <v>13.251147259</v>
      </c>
      <c r="O66" s="136">
        <f>IF(ISTEXT('IS Raw'!O11),'IS Raw'!O26/Input!$B$1,Input!O58)</f>
        <v>7.751782188</v>
      </c>
      <c r="P66" s="1782">
        <f>IF(ISTEXT('IS Raw'!P11),'IS Raw'!P26/Input!$B$1,Input!P58)</f>
        <v>6.3201838529999996</v>
      </c>
      <c r="Q66" s="137">
        <f ca="1">IF(ISTEXT('IS Raw'!Q11),'IS Raw'!Q26/$B$1,Input!Q58)</f>
        <v>17.147038332660816</v>
      </c>
      <c r="R66" s="137">
        <f ca="1">IF(ISTEXT('IS Raw'!R11),'IS Raw'!R26/$B$1,Input!R58)</f>
        <v>22.538510309889645</v>
      </c>
      <c r="S66" s="137">
        <f ca="1">IF(ISTEXT('IS Raw'!S11),'IS Raw'!S26/$B$1,Input!S58)</f>
        <v>25.72823050976745</v>
      </c>
      <c r="T66" s="137">
        <f ca="1">IF(ISTEXT('IS Raw'!T11),'IS Raw'!T26/$B$1,Input!T58)</f>
        <v>32.164055639101129</v>
      </c>
      <c r="U66" s="137">
        <f ca="1">IF(ISTEXT('IS Raw'!U11),'IS Raw'!U26/$B$1,Input!U58)</f>
        <v>40.591249862676456</v>
      </c>
      <c r="V66" s="137">
        <f ca="1">IF(ISTEXT('IS Raw'!V11),'IS Raw'!V26/$B$1,Input!V58)</f>
        <v>52.437401326562984</v>
      </c>
      <c r="W66" s="137">
        <f ca="1">IF(ISTEXT('IS Raw'!W11),'IS Raw'!W26/$B$1,Input!W58)</f>
        <v>64.008195179952637</v>
      </c>
      <c r="X66" s="137">
        <f ca="1">IF(ISTEXT('IS Raw'!X11),'IS Raw'!X26/$B$1,Input!X58)</f>
        <v>72.94463897556561</v>
      </c>
      <c r="Y66" s="137">
        <f ca="1">IF(ISTEXT('IS Raw'!Y11),'IS Raw'!Y26/$B$1,Input!Y58)</f>
        <v>85.079387646910135</v>
      </c>
      <c r="Z66" s="137">
        <f ca="1">IF(ISTEXT('IS Raw'!Z11),'IS Raw'!Z26/$B$1,Input!Z58)</f>
        <v>97.600234564623094</v>
      </c>
      <c r="AA66" s="137"/>
      <c r="AB66" s="138"/>
      <c r="AC66" s="138"/>
      <c r="AD66" s="138"/>
      <c r="AE66" s="138"/>
      <c r="AF66" s="138"/>
      <c r="AG66" s="138"/>
      <c r="AH66" s="138"/>
      <c r="AI66" s="138"/>
      <c r="AJ66" s="138"/>
      <c r="AK66" s="138"/>
      <c r="AL66" s="138"/>
      <c r="AM66" s="138"/>
      <c r="AN66" s="138"/>
      <c r="AO66" s="138"/>
      <c r="AP66" s="138"/>
      <c r="AQ66" s="138"/>
      <c r="AR66" s="138"/>
      <c r="AS66" s="138"/>
      <c r="AT66" s="138"/>
      <c r="AU66" s="138"/>
      <c r="AV66" s="138"/>
      <c r="AW66" s="138"/>
      <c r="AX66" s="138"/>
      <c r="AY66" s="138"/>
      <c r="AZ66" s="138"/>
      <c r="BA66" s="138"/>
      <c r="BB66" s="139"/>
      <c r="BC66" s="140"/>
    </row>
    <row r="67" spans="1:57" s="42" customFormat="1" x14ac:dyDescent="0.25">
      <c r="A67" s="41"/>
      <c r="D67" s="181"/>
      <c r="E67" s="245"/>
      <c r="F67" s="245"/>
      <c r="G67" s="245"/>
      <c r="H67" s="245"/>
      <c r="I67" s="245"/>
      <c r="J67" s="245"/>
      <c r="K67" s="245"/>
      <c r="L67" s="245"/>
      <c r="M67" s="245"/>
      <c r="N67" s="182"/>
      <c r="O67" s="182"/>
      <c r="P67" s="183"/>
      <c r="Q67" s="182"/>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182"/>
      <c r="AQ67" s="182"/>
      <c r="AR67" s="182"/>
      <c r="AS67" s="182"/>
      <c r="AT67" s="182"/>
      <c r="AU67" s="182"/>
      <c r="AV67" s="182"/>
      <c r="AW67" s="182"/>
      <c r="AX67" s="182"/>
      <c r="AY67" s="182"/>
      <c r="AZ67" s="182"/>
      <c r="BA67" s="182"/>
      <c r="BB67" s="184"/>
      <c r="BC67" s="103"/>
      <c r="BD67" s="181"/>
      <c r="BE67" s="181"/>
    </row>
    <row r="68" spans="1:57" x14ac:dyDescent="0.25">
      <c r="A68" s="100">
        <v>9</v>
      </c>
      <c r="B68" s="29" t="s">
        <v>442</v>
      </c>
      <c r="D68" s="112"/>
      <c r="E68" s="143"/>
      <c r="F68" s="143"/>
      <c r="G68" s="143"/>
      <c r="H68" s="143"/>
      <c r="I68" s="242">
        <f>-'IS Raw'!I27/Input!$B$1</f>
        <v>30.303225344000001</v>
      </c>
      <c r="J68" s="242">
        <f>-'IS Raw'!J27/Input!$B$1</f>
        <v>15.816122703</v>
      </c>
      <c r="K68" s="242">
        <f>-'IS Raw'!K27/Input!$B$1</f>
        <v>9.1025276989999995</v>
      </c>
      <c r="L68" s="242">
        <f>-'IS Raw'!L27/Input!$B$1</f>
        <v>10.81134303</v>
      </c>
      <c r="M68" s="242">
        <f>-'IS Raw'!M27/Input!$B$1</f>
        <v>12.200034045000001</v>
      </c>
      <c r="N68" s="242">
        <f>-'IS Raw'!N27/Input!$B$1</f>
        <v>14.622931346</v>
      </c>
      <c r="O68" s="242">
        <f>-'IS Raw'!O27/Input!$B$1</f>
        <v>14.325530898</v>
      </c>
      <c r="P68" s="1795">
        <f>-'IS Raw'!P27/Input!$B$1</f>
        <v>8.6470170460000002</v>
      </c>
      <c r="Q68" s="120">
        <f ca="1">+Q69+Q75+Q76</f>
        <v>20.120894729406555</v>
      </c>
      <c r="R68" s="120">
        <f t="shared" ref="R68:Z68" ca="1" si="48">+R69+R75+R76</f>
        <v>29.465539293990329</v>
      </c>
      <c r="S68" s="120">
        <f t="shared" ca="1" si="48"/>
        <v>32.724693406458059</v>
      </c>
      <c r="T68" s="120">
        <f t="shared" ca="1" si="48"/>
        <v>29.014919358833119</v>
      </c>
      <c r="U68" s="120">
        <f t="shared" ca="1" si="48"/>
        <v>25.237263873631399</v>
      </c>
      <c r="V68" s="120">
        <f t="shared" ca="1" si="48"/>
        <v>21.790137894049515</v>
      </c>
      <c r="W68" s="120">
        <f t="shared" ca="1" si="48"/>
        <v>19.193749452861223</v>
      </c>
      <c r="X68" s="120">
        <f t="shared" ca="1" si="48"/>
        <v>19.091307431490439</v>
      </c>
      <c r="Y68" s="120">
        <f t="shared" ca="1" si="48"/>
        <v>19.72910553235301</v>
      </c>
      <c r="Z68" s="120">
        <f t="shared" ca="1" si="48"/>
        <v>20.540316885102435</v>
      </c>
      <c r="AA68" s="120"/>
      <c r="AB68" s="121"/>
      <c r="AC68" s="121"/>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230"/>
      <c r="BD68" s="112"/>
      <c r="BE68" s="112"/>
    </row>
    <row r="69" spans="1:57" ht="15" customHeight="1" x14ac:dyDescent="0.25">
      <c r="A69" s="100" t="s">
        <v>443</v>
      </c>
      <c r="B69" s="246" t="s">
        <v>444</v>
      </c>
      <c r="C69" s="246"/>
      <c r="D69" s="112"/>
      <c r="E69" s="66"/>
      <c r="F69" s="66"/>
      <c r="G69" s="66"/>
      <c r="H69" s="66"/>
      <c r="I69" s="220">
        <f>Notes!I158/Input!$B$1</f>
        <v>25.505476234</v>
      </c>
      <c r="J69" s="220">
        <f>Notes!J158/Input!$B$1</f>
        <v>5.45</v>
      </c>
      <c r="K69" s="220">
        <f>Notes!K158/Input!$B$1</f>
        <v>4.4980130369999998</v>
      </c>
      <c r="L69" s="220">
        <f>Notes!L158/Input!$B$1</f>
        <v>6.8281941420000001</v>
      </c>
      <c r="M69" s="220">
        <f>Notes!M158/Input!$B$1</f>
        <v>8.3658396649999993</v>
      </c>
      <c r="N69" s="220">
        <f>Notes!N158/Input!$B$1</f>
        <v>10.314154786</v>
      </c>
      <c r="O69" s="220">
        <f>Notes!O158/Input!$B$1</f>
        <v>6.5888547370000001</v>
      </c>
      <c r="P69" s="1789">
        <f>Notes!P158/Input!$B$1</f>
        <v>1.3245273529999999</v>
      </c>
      <c r="Q69" s="228">
        <f ca="1">SUM(Q70:Q74)</f>
        <v>12.916923249096442</v>
      </c>
      <c r="R69" s="228">
        <f t="shared" ref="R69:Z69" ca="1" si="49">SUM(R70:R74)</f>
        <v>22.838884529150331</v>
      </c>
      <c r="S69" s="228">
        <f t="shared" ca="1" si="49"/>
        <v>24.366173368748793</v>
      </c>
      <c r="T69" s="228">
        <f t="shared" ca="1" si="49"/>
        <v>19.843671313066856</v>
      </c>
      <c r="U69" s="228">
        <f t="shared" ca="1" si="49"/>
        <v>15.160595635021753</v>
      </c>
      <c r="V69" s="228">
        <f t="shared" ca="1" si="49"/>
        <v>11.043318682656746</v>
      </c>
      <c r="W69" s="228">
        <f t="shared" ca="1" si="49"/>
        <v>8.2279871133458933</v>
      </c>
      <c r="X69" s="228">
        <f t="shared" ca="1" si="49"/>
        <v>7.8933156905878956</v>
      </c>
      <c r="Y69" s="228">
        <f t="shared" ca="1" si="49"/>
        <v>8.1675499886462966</v>
      </c>
      <c r="Z69" s="228">
        <f t="shared" ca="1" si="49"/>
        <v>8.4450135190520097</v>
      </c>
      <c r="AA69" s="120"/>
      <c r="AB69" s="121"/>
      <c r="AC69" s="121"/>
      <c r="AD69" s="121"/>
      <c r="AE69" s="121"/>
      <c r="AF69" s="121"/>
      <c r="AG69" s="121"/>
      <c r="AH69" s="121"/>
      <c r="AI69" s="121"/>
      <c r="AJ69" s="121"/>
      <c r="AK69" s="121"/>
      <c r="AL69" s="121"/>
      <c r="AM69" s="121"/>
      <c r="AN69" s="121"/>
      <c r="AO69" s="121"/>
      <c r="AP69" s="121"/>
      <c r="AQ69" s="121"/>
      <c r="AR69" s="121"/>
      <c r="AS69" s="121"/>
      <c r="AT69" s="121"/>
      <c r="AU69" s="121"/>
      <c r="AV69" s="121"/>
      <c r="AW69" s="121"/>
      <c r="AX69" s="121"/>
      <c r="AY69" s="121"/>
      <c r="AZ69" s="121"/>
      <c r="BA69" s="121"/>
      <c r="BB69" s="230"/>
      <c r="BC69" s="247"/>
      <c r="BD69" s="112"/>
      <c r="BE69" s="112"/>
    </row>
    <row r="70" spans="1:57" s="76" customFormat="1" x14ac:dyDescent="0.25">
      <c r="A70" s="69"/>
      <c r="B70" s="248" t="s">
        <v>445</v>
      </c>
      <c r="C70" s="248"/>
      <c r="D70" s="233"/>
      <c r="E70" s="249"/>
      <c r="F70" s="249"/>
      <c r="G70" s="249"/>
      <c r="H70" s="249"/>
      <c r="I70" s="249"/>
      <c r="J70" s="249"/>
      <c r="K70" s="249"/>
      <c r="L70" s="240"/>
      <c r="M70" s="240"/>
      <c r="N70" s="240"/>
      <c r="O70" s="240"/>
      <c r="P70" s="250"/>
      <c r="Q70" s="120">
        <f t="shared" ref="Q70:Z70" ca="1" si="50">Q272</f>
        <v>0</v>
      </c>
      <c r="R70" s="120">
        <f t="shared" ca="1" si="50"/>
        <v>0</v>
      </c>
      <c r="S70" s="120">
        <f t="shared" ca="1" si="50"/>
        <v>0</v>
      </c>
      <c r="T70" s="120">
        <f t="shared" ca="1" si="50"/>
        <v>0</v>
      </c>
      <c r="U70" s="120">
        <f t="shared" ca="1" si="50"/>
        <v>0</v>
      </c>
      <c r="V70" s="120">
        <f t="shared" ca="1" si="50"/>
        <v>0</v>
      </c>
      <c r="W70" s="120">
        <f t="shared" ca="1" si="50"/>
        <v>0</v>
      </c>
      <c r="X70" s="120">
        <f t="shared" ca="1" si="50"/>
        <v>0</v>
      </c>
      <c r="Y70" s="120">
        <f t="shared" ca="1" si="50"/>
        <v>0</v>
      </c>
      <c r="Z70" s="120">
        <f t="shared" ca="1" si="50"/>
        <v>0</v>
      </c>
      <c r="AA70" s="236"/>
      <c r="AB70" s="237"/>
      <c r="AC70" s="237"/>
      <c r="AD70" s="237"/>
      <c r="AE70" s="237"/>
      <c r="AF70" s="237"/>
      <c r="AG70" s="237"/>
      <c r="AH70" s="237"/>
      <c r="AI70" s="237"/>
      <c r="AJ70" s="237"/>
      <c r="AK70" s="237"/>
      <c r="AL70" s="237"/>
      <c r="AM70" s="237"/>
      <c r="AN70" s="237"/>
      <c r="AO70" s="237"/>
      <c r="AP70" s="237"/>
      <c r="AQ70" s="237"/>
      <c r="AR70" s="237"/>
      <c r="AS70" s="237"/>
      <c r="AT70" s="237"/>
      <c r="AU70" s="237"/>
      <c r="AV70" s="237"/>
      <c r="AW70" s="237"/>
      <c r="AX70" s="237"/>
      <c r="AY70" s="237"/>
      <c r="AZ70" s="237"/>
      <c r="BA70" s="237"/>
      <c r="BB70" s="238"/>
      <c r="BC70" s="247"/>
      <c r="BD70" s="233"/>
      <c r="BE70" s="233"/>
    </row>
    <row r="71" spans="1:57" s="76" customFormat="1" x14ac:dyDescent="0.25">
      <c r="A71" s="69"/>
      <c r="B71" s="248" t="s">
        <v>446</v>
      </c>
      <c r="C71" s="248"/>
      <c r="D71" s="233"/>
      <c r="E71" s="249"/>
      <c r="F71" s="249"/>
      <c r="G71" s="249"/>
      <c r="H71" s="249"/>
      <c r="I71" s="251"/>
      <c r="J71" s="251"/>
      <c r="K71" s="251"/>
      <c r="L71" s="251"/>
      <c r="M71" s="251"/>
      <c r="N71" s="251"/>
      <c r="O71" s="251"/>
      <c r="P71" s="1796"/>
      <c r="Q71" s="236">
        <f>Q277</f>
        <v>1.95044892430223</v>
      </c>
      <c r="R71" s="236">
        <f t="shared" ref="R71:Z71" si="51">R277</f>
        <v>3.068961674493992</v>
      </c>
      <c r="S71" s="236">
        <f t="shared" si="51"/>
        <v>3.5511509446076137</v>
      </c>
      <c r="T71" s="236">
        <f t="shared" si="51"/>
        <v>4.212513448933791</v>
      </c>
      <c r="U71" s="236">
        <f t="shared" si="51"/>
        <v>4.6690446215239083</v>
      </c>
      <c r="V71" s="236">
        <f t="shared" si="51"/>
        <v>5.2379232240499247</v>
      </c>
      <c r="W71" s="236">
        <f t="shared" si="51"/>
        <v>5.9892904912981058</v>
      </c>
      <c r="X71" s="236">
        <f t="shared" si="51"/>
        <v>6.9132564840981452</v>
      </c>
      <c r="Y71" s="236">
        <f t="shared" si="51"/>
        <v>7.7211619894396923</v>
      </c>
      <c r="Z71" s="236">
        <f t="shared" si="51"/>
        <v>8.333416519250358</v>
      </c>
      <c r="AA71" s="236"/>
      <c r="AB71" s="237"/>
      <c r="AC71" s="237"/>
      <c r="AD71" s="237"/>
      <c r="AE71" s="237"/>
      <c r="AF71" s="237"/>
      <c r="AG71" s="237"/>
      <c r="AH71" s="237"/>
      <c r="AI71" s="237"/>
      <c r="AJ71" s="237"/>
      <c r="AK71" s="237"/>
      <c r="AL71" s="237"/>
      <c r="AM71" s="237"/>
      <c r="AN71" s="237"/>
      <c r="AO71" s="237"/>
      <c r="AP71" s="237"/>
      <c r="AQ71" s="237"/>
      <c r="AR71" s="237"/>
      <c r="AS71" s="237"/>
      <c r="AT71" s="237"/>
      <c r="AU71" s="237"/>
      <c r="AV71" s="237"/>
      <c r="AW71" s="237"/>
      <c r="AX71" s="237"/>
      <c r="AY71" s="237"/>
      <c r="AZ71" s="237"/>
      <c r="BA71" s="237"/>
      <c r="BB71" s="238"/>
      <c r="BC71" s="247"/>
      <c r="BD71" s="233"/>
      <c r="BE71" s="233"/>
    </row>
    <row r="72" spans="1:57" s="76" customFormat="1" x14ac:dyDescent="0.25">
      <c r="A72" s="69"/>
      <c r="B72" s="248" t="s">
        <v>447</v>
      </c>
      <c r="C72" s="248"/>
      <c r="D72" s="233"/>
      <c r="E72" s="249"/>
      <c r="F72" s="249"/>
      <c r="G72" s="249"/>
      <c r="H72" s="249"/>
      <c r="I72" s="249"/>
      <c r="J72" s="249"/>
      <c r="K72" s="249"/>
      <c r="L72" s="240"/>
      <c r="M72" s="240"/>
      <c r="N72" s="252"/>
      <c r="O72" s="252"/>
      <c r="P72" s="253"/>
      <c r="Q72" s="236">
        <f>Q307</f>
        <v>10.966474324794213</v>
      </c>
      <c r="R72" s="236">
        <f t="shared" ref="R72:Z72" si="52">R307</f>
        <v>19.76992285465634</v>
      </c>
      <c r="S72" s="236">
        <f t="shared" si="52"/>
        <v>20.81502242414118</v>
      </c>
      <c r="T72" s="236">
        <f t="shared" si="52"/>
        <v>15.631157864133066</v>
      </c>
      <c r="U72" s="236">
        <f t="shared" si="52"/>
        <v>10.491551013497844</v>
      </c>
      <c r="V72" s="236">
        <f t="shared" si="52"/>
        <v>5.8053954586068208</v>
      </c>
      <c r="W72" s="236">
        <f t="shared" si="52"/>
        <v>2.2386966220477884</v>
      </c>
      <c r="X72" s="236">
        <f t="shared" si="52"/>
        <v>0.98005920648975053</v>
      </c>
      <c r="Y72" s="236">
        <f t="shared" si="52"/>
        <v>0.4463879992066041</v>
      </c>
      <c r="Z72" s="236">
        <f t="shared" si="52"/>
        <v>0.11159699980165103</v>
      </c>
      <c r="AA72" s="236"/>
      <c r="AB72" s="254"/>
      <c r="AC72" s="254"/>
      <c r="AD72" s="254"/>
      <c r="AE72" s="254"/>
      <c r="AF72" s="254"/>
      <c r="AG72" s="254"/>
      <c r="AH72" s="254"/>
      <c r="AI72" s="254"/>
      <c r="AJ72" s="254"/>
      <c r="AK72" s="254"/>
      <c r="AL72" s="254"/>
      <c r="AM72" s="254"/>
      <c r="AN72" s="254"/>
      <c r="AO72" s="254"/>
      <c r="AP72" s="254"/>
      <c r="AQ72" s="254"/>
      <c r="AR72" s="254"/>
      <c r="AS72" s="254"/>
      <c r="AT72" s="254"/>
      <c r="AU72" s="254"/>
      <c r="AV72" s="254"/>
      <c r="AW72" s="254"/>
      <c r="AX72" s="254"/>
      <c r="AY72" s="254"/>
      <c r="AZ72" s="254"/>
      <c r="BA72" s="254"/>
      <c r="BB72" s="238"/>
      <c r="BC72" s="247"/>
      <c r="BD72" s="233"/>
      <c r="BE72" s="233"/>
    </row>
    <row r="73" spans="1:57" s="76" customFormat="1" x14ac:dyDescent="0.25">
      <c r="A73" s="69"/>
      <c r="B73" s="248" t="s">
        <v>448</v>
      </c>
      <c r="C73" s="248"/>
      <c r="D73" s="233"/>
      <c r="E73" s="249"/>
      <c r="F73" s="249"/>
      <c r="G73" s="249"/>
      <c r="H73" s="249"/>
      <c r="I73" s="249"/>
      <c r="J73" s="249"/>
      <c r="K73" s="249"/>
      <c r="L73" s="240"/>
      <c r="M73" s="240"/>
      <c r="N73" s="240"/>
      <c r="O73" s="240"/>
      <c r="P73" s="250"/>
      <c r="Q73" s="236">
        <f>Q317</f>
        <v>0</v>
      </c>
      <c r="R73" s="236">
        <f t="shared" ref="R73:Z73" si="53">R317</f>
        <v>0</v>
      </c>
      <c r="S73" s="236">
        <f t="shared" si="53"/>
        <v>0</v>
      </c>
      <c r="T73" s="236">
        <f t="shared" si="53"/>
        <v>0</v>
      </c>
      <c r="U73" s="236">
        <f t="shared" si="53"/>
        <v>0</v>
      </c>
      <c r="V73" s="236">
        <f t="shared" si="53"/>
        <v>0</v>
      </c>
      <c r="W73" s="236">
        <f t="shared" si="53"/>
        <v>0</v>
      </c>
      <c r="X73" s="236">
        <f t="shared" si="53"/>
        <v>0</v>
      </c>
      <c r="Y73" s="236">
        <f t="shared" si="53"/>
        <v>0</v>
      </c>
      <c r="Z73" s="236">
        <f t="shared" si="53"/>
        <v>0</v>
      </c>
      <c r="AA73" s="236"/>
      <c r="AB73" s="237"/>
      <c r="AC73" s="237"/>
      <c r="AD73" s="237"/>
      <c r="AE73" s="237"/>
      <c r="AF73" s="237"/>
      <c r="AG73" s="237"/>
      <c r="AH73" s="237"/>
      <c r="AI73" s="237"/>
      <c r="AJ73" s="237"/>
      <c r="AK73" s="237"/>
      <c r="AL73" s="237"/>
      <c r="AM73" s="237"/>
      <c r="AN73" s="237"/>
      <c r="AO73" s="237"/>
      <c r="AP73" s="237"/>
      <c r="AQ73" s="237"/>
      <c r="AR73" s="237"/>
      <c r="AS73" s="237"/>
      <c r="AT73" s="237"/>
      <c r="AU73" s="237"/>
      <c r="AV73" s="237"/>
      <c r="AW73" s="237"/>
      <c r="AX73" s="237"/>
      <c r="AY73" s="237"/>
      <c r="AZ73" s="237"/>
      <c r="BA73" s="237"/>
      <c r="BB73" s="238"/>
      <c r="BC73" s="247"/>
      <c r="BD73" s="233"/>
      <c r="BE73" s="233"/>
    </row>
    <row r="74" spans="1:57" s="76" customFormat="1" ht="15" customHeight="1" x14ac:dyDescent="0.25">
      <c r="A74" s="69"/>
      <c r="B74" s="248" t="s">
        <v>449</v>
      </c>
      <c r="C74" s="248"/>
      <c r="D74" s="233"/>
      <c r="E74" s="249"/>
      <c r="F74" s="249"/>
      <c r="G74" s="249"/>
      <c r="H74" s="249"/>
      <c r="I74" s="249"/>
      <c r="J74" s="249"/>
      <c r="K74" s="249"/>
      <c r="L74" s="240"/>
      <c r="M74" s="240"/>
      <c r="N74" s="240"/>
      <c r="O74" s="240"/>
      <c r="P74" s="250"/>
      <c r="Q74" s="236">
        <f>Q327</f>
        <v>0</v>
      </c>
      <c r="R74" s="236">
        <f t="shared" ref="R74:Z74" si="54">R327</f>
        <v>0</v>
      </c>
      <c r="S74" s="236">
        <f t="shared" si="54"/>
        <v>0</v>
      </c>
      <c r="T74" s="236">
        <f t="shared" si="54"/>
        <v>0</v>
      </c>
      <c r="U74" s="236">
        <f t="shared" si="54"/>
        <v>0</v>
      </c>
      <c r="V74" s="236">
        <f t="shared" si="54"/>
        <v>0</v>
      </c>
      <c r="W74" s="236">
        <f t="shared" si="54"/>
        <v>0</v>
      </c>
      <c r="X74" s="236">
        <f t="shared" si="54"/>
        <v>0</v>
      </c>
      <c r="Y74" s="236">
        <f t="shared" si="54"/>
        <v>0</v>
      </c>
      <c r="Z74" s="236">
        <f t="shared" si="54"/>
        <v>0</v>
      </c>
      <c r="AA74" s="236"/>
      <c r="AB74" s="237"/>
      <c r="AC74" s="237"/>
      <c r="AD74" s="237"/>
      <c r="AE74" s="237"/>
      <c r="AF74" s="237"/>
      <c r="AG74" s="237"/>
      <c r="AH74" s="237"/>
      <c r="AI74" s="237"/>
      <c r="AJ74" s="237"/>
      <c r="AK74" s="237"/>
      <c r="AL74" s="237"/>
      <c r="AM74" s="237"/>
      <c r="AN74" s="237"/>
      <c r="AO74" s="237"/>
      <c r="AP74" s="237"/>
      <c r="AQ74" s="237"/>
      <c r="AR74" s="237"/>
      <c r="AS74" s="237"/>
      <c r="AT74" s="237"/>
      <c r="AU74" s="237"/>
      <c r="AV74" s="237"/>
      <c r="AW74" s="237"/>
      <c r="AX74" s="237"/>
      <c r="AY74" s="237"/>
      <c r="AZ74" s="237"/>
      <c r="BA74" s="237"/>
      <c r="BB74" s="238"/>
      <c r="BC74" s="247"/>
      <c r="BD74" s="233"/>
      <c r="BE74" s="233"/>
    </row>
    <row r="75" spans="1:57" x14ac:dyDescent="0.25">
      <c r="A75" s="64" t="s">
        <v>450</v>
      </c>
      <c r="B75" s="246" t="s">
        <v>451</v>
      </c>
      <c r="C75" s="246"/>
      <c r="D75" s="112"/>
      <c r="E75" s="157"/>
      <c r="F75" s="157"/>
      <c r="G75" s="157"/>
      <c r="H75" s="157"/>
      <c r="I75" s="158">
        <f>(Notes!I162 + Notes!I163)/Input!$B$1</f>
        <v>5.5358399900000004</v>
      </c>
      <c r="J75" s="158">
        <f>(Notes!J162 + Notes!J163)/Input!$B$1</f>
        <v>1.2274842379999999</v>
      </c>
      <c r="K75" s="158">
        <f>(Notes!K162 + Notes!K163)/Input!$B$1</f>
        <v>2.0771135350000001</v>
      </c>
      <c r="L75" s="158">
        <f>(Notes!L162 + Notes!L163)/Input!$B$1</f>
        <v>0.50263214000000001</v>
      </c>
      <c r="M75" s="158">
        <f>(Notes!M162 + Notes!M163)/Input!$B$1</f>
        <v>0.50710093000000001</v>
      </c>
      <c r="N75" s="158">
        <f>(Notes!N162 + Notes!N163)/Input!$B$1</f>
        <v>0.58302417200000001</v>
      </c>
      <c r="O75" s="158">
        <f>(Notes!O162 + Notes!O163)/Input!$B$1</f>
        <v>1.9722273610000001</v>
      </c>
      <c r="P75" s="1783">
        <f>(Notes!P162 + Notes!P163)/Input!$B$1</f>
        <v>0.44959233599999998</v>
      </c>
      <c r="Q75" s="243">
        <f>AVERAGE(J75:P75)</f>
        <v>1.0455963874285714</v>
      </c>
      <c r="R75" s="243">
        <f t="shared" ref="R75:Z75" si="55">AVERAGE(K75:Q75)</f>
        <v>1.0196124087755103</v>
      </c>
      <c r="S75" s="243">
        <f t="shared" si="55"/>
        <v>0.86854081931486882</v>
      </c>
      <c r="T75" s="243">
        <f t="shared" si="55"/>
        <v>0.92081348778842131</v>
      </c>
      <c r="U75" s="243">
        <f t="shared" si="55"/>
        <v>0.97991528175819576</v>
      </c>
      <c r="V75" s="243">
        <f t="shared" si="55"/>
        <v>1.0366140117236526</v>
      </c>
      <c r="W75" s="243">
        <f t="shared" si="55"/>
        <v>0.90295496182703139</v>
      </c>
      <c r="X75" s="243">
        <f t="shared" si="55"/>
        <v>0.96772105123089303</v>
      </c>
      <c r="Y75" s="243">
        <f t="shared" si="55"/>
        <v>0.95659600320265337</v>
      </c>
      <c r="Z75" s="243">
        <f t="shared" si="55"/>
        <v>0.94759365954938812</v>
      </c>
      <c r="AA75" s="243"/>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30"/>
      <c r="BD75" s="112"/>
      <c r="BE75" s="112"/>
    </row>
    <row r="76" spans="1:57" x14ac:dyDescent="0.25">
      <c r="A76" s="64" t="s">
        <v>452</v>
      </c>
      <c r="B76" s="246" t="s">
        <v>453</v>
      </c>
      <c r="C76" s="246"/>
      <c r="D76" s="112"/>
      <c r="E76" s="157"/>
      <c r="F76" s="157"/>
      <c r="G76" s="157"/>
      <c r="H76" s="157"/>
      <c r="I76" s="158">
        <f>SUM(Notes!I159, Notes!I160, Notes!I161, Notes!I164, Notes!I165)</f>
        <v>-0.73809088000000023</v>
      </c>
      <c r="J76" s="158">
        <f>SUM(Notes!J159, Notes!J160, Notes!J161, Notes!J164, Notes!J165)</f>
        <v>9.1510646009999981</v>
      </c>
      <c r="K76" s="158">
        <f>SUM(Notes!K159, Notes!K160, Notes!K161, Notes!K164, Notes!K165)</f>
        <v>2.5274011270000001</v>
      </c>
      <c r="L76" s="158">
        <f>SUM(Notes!L159, Notes!L160, Notes!L161, Notes!L164, Notes!L165)</f>
        <v>3.4805167479999999</v>
      </c>
      <c r="M76" s="158">
        <f>SUM(Notes!M159, Notes!M160, Notes!M161, Notes!M164, Notes!M165)</f>
        <v>3.32709345</v>
      </c>
      <c r="N76" s="158">
        <f>SUM(Notes!N159, Notes!N160, Notes!N161, Notes!N164, Notes!N165)</f>
        <v>3.7257523880000001</v>
      </c>
      <c r="O76" s="158">
        <f>SUM(Notes!O159, Notes!O160, Notes!O161, Notes!O164, Notes!O165)</f>
        <v>5.7644488000000003</v>
      </c>
      <c r="P76" s="1783">
        <f>SUM(Notes!P159, Notes!P160, Notes!P161, Notes!P164, Notes!P165)</f>
        <v>6.8728973550000001</v>
      </c>
      <c r="Q76" s="243">
        <f>AVERAGE(J76:P76)/AVERAGE(J7:P7)*Q7</f>
        <v>6.1583750928815411</v>
      </c>
      <c r="R76" s="243">
        <f t="shared" ref="R76:Z76" si="56">AVERAGE(K76:Q76)/AVERAGE(K7:Q7)*R7</f>
        <v>5.6070423560644871</v>
      </c>
      <c r="S76" s="243">
        <f t="shared" si="56"/>
        <v>7.489979218394395</v>
      </c>
      <c r="T76" s="243">
        <f t="shared" si="56"/>
        <v>8.2504345579778402</v>
      </c>
      <c r="U76" s="243">
        <f t="shared" si="56"/>
        <v>9.09675295685145</v>
      </c>
      <c r="V76" s="243">
        <f t="shared" si="56"/>
        <v>9.710205199669117</v>
      </c>
      <c r="W76" s="243">
        <f t="shared" si="56"/>
        <v>10.062807377688298</v>
      </c>
      <c r="X76" s="243">
        <f t="shared" si="56"/>
        <v>10.23027068967165</v>
      </c>
      <c r="Y76" s="243">
        <f t="shared" si="56"/>
        <v>10.604959540504058</v>
      </c>
      <c r="Z76" s="243">
        <f t="shared" si="56"/>
        <v>11.147709706501036</v>
      </c>
      <c r="AA76" s="243"/>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30"/>
      <c r="BC76" s="255"/>
      <c r="BD76" s="112"/>
      <c r="BE76" s="112"/>
    </row>
    <row r="77" spans="1:57" s="124" customFormat="1" x14ac:dyDescent="0.25">
      <c r="A77" s="115"/>
      <c r="B77" s="133" t="s">
        <v>454</v>
      </c>
      <c r="C77" s="133"/>
      <c r="D77" s="139"/>
      <c r="E77" s="135"/>
      <c r="F77" s="135"/>
      <c r="G77" s="135"/>
      <c r="H77" s="135"/>
      <c r="I77" s="136">
        <f>IF(ISTEXT('IS Raw'!I11), -'IS Raw'!I27/Input!$B$1,Input!I68)</f>
        <v>30.303225344000001</v>
      </c>
      <c r="J77" s="136">
        <f>IF(ISTEXT('IS Raw'!J11), -'IS Raw'!J27/Input!$B$1,Input!J68)</f>
        <v>15.816122703</v>
      </c>
      <c r="K77" s="136">
        <f>IF(ISTEXT('IS Raw'!K11), -'IS Raw'!K27/Input!$B$1,Input!K68)</f>
        <v>9.1025276989999995</v>
      </c>
      <c r="L77" s="136">
        <f>IF(ISTEXT('IS Raw'!L11), -'IS Raw'!L27/Input!$B$1,Input!L68)</f>
        <v>10.81134303</v>
      </c>
      <c r="M77" s="136">
        <f>IF(ISTEXT('IS Raw'!M11), -'IS Raw'!M27/Input!$B$1,Input!M68)</f>
        <v>12.200034045000001</v>
      </c>
      <c r="N77" s="136">
        <f>IF(ISTEXT('IS Raw'!N11), -'IS Raw'!N27/Input!$B$1,Input!N68)</f>
        <v>14.622931346</v>
      </c>
      <c r="O77" s="136">
        <f>IF(ISTEXT('IS Raw'!O11), -'IS Raw'!O27/Input!$B$1,Input!O68)</f>
        <v>14.325530898</v>
      </c>
      <c r="P77" s="1782">
        <f>IF(ISTEXT('IS Raw'!P11), -'IS Raw'!P27/Input!$B$1,Input!P68)</f>
        <v>8.6470170460000002</v>
      </c>
      <c r="Q77" s="137">
        <f ca="1">IF(ISTEXT('IS Raw'!Q11), -'IS Raw'!Q27/Input!$B$1,Input!Q68)</f>
        <v>20.120894729406555</v>
      </c>
      <c r="R77" s="137">
        <f ca="1">IF(ISTEXT('IS Raw'!R11), -'IS Raw'!R27/Input!$B$1,Input!R68)</f>
        <v>29.465539293990329</v>
      </c>
      <c r="S77" s="137">
        <f ca="1">IF(ISTEXT('IS Raw'!S11), -'IS Raw'!S27/Input!$B$1,Input!S68)</f>
        <v>32.724693406458059</v>
      </c>
      <c r="T77" s="137">
        <f ca="1">IF(ISTEXT('IS Raw'!T11), -'IS Raw'!T27/Input!$B$1,Input!T68)</f>
        <v>29.014919358833119</v>
      </c>
      <c r="U77" s="137">
        <f ca="1">IF(ISTEXT('IS Raw'!U11), -'IS Raw'!U27/Input!$B$1,Input!U68)</f>
        <v>25.237263873631399</v>
      </c>
      <c r="V77" s="137">
        <f ca="1">IF(ISTEXT('IS Raw'!V11), -'IS Raw'!V27/Input!$B$1,Input!V68)</f>
        <v>21.790137894049515</v>
      </c>
      <c r="W77" s="137">
        <f ca="1">IF(ISTEXT('IS Raw'!W11), -'IS Raw'!W27/Input!$B$1,Input!W68)</f>
        <v>19.193749452861223</v>
      </c>
      <c r="X77" s="137">
        <f ca="1">IF(ISTEXT('IS Raw'!X11), -'IS Raw'!X27/Input!$B$1,Input!X68)</f>
        <v>19.091307431490439</v>
      </c>
      <c r="Y77" s="137">
        <f ca="1">IF(ISTEXT('IS Raw'!Y11), -'IS Raw'!Y27/Input!$B$1,Input!Y68)</f>
        <v>19.72910553235301</v>
      </c>
      <c r="Z77" s="137">
        <f ca="1">IF(ISTEXT('IS Raw'!Z11), -'IS Raw'!Z27/Input!$B$1,Input!Z68)</f>
        <v>20.540316885102435</v>
      </c>
      <c r="AA77" s="137"/>
      <c r="AB77" s="138"/>
      <c r="AC77" s="138"/>
      <c r="AD77" s="138"/>
      <c r="AE77" s="138"/>
      <c r="AF77" s="138"/>
      <c r="AG77" s="138"/>
      <c r="AH77" s="138"/>
      <c r="AI77" s="138"/>
      <c r="AJ77" s="138"/>
      <c r="AK77" s="138"/>
      <c r="AL77" s="138"/>
      <c r="AM77" s="138"/>
      <c r="AN77" s="138"/>
      <c r="AO77" s="138"/>
      <c r="AP77" s="138"/>
      <c r="AQ77" s="138"/>
      <c r="AR77" s="138"/>
      <c r="AS77" s="138"/>
      <c r="AT77" s="138"/>
      <c r="AU77" s="138"/>
      <c r="AV77" s="138"/>
      <c r="AW77" s="138"/>
      <c r="AX77" s="138"/>
      <c r="AY77" s="138"/>
      <c r="AZ77" s="138"/>
      <c r="BA77" s="138"/>
      <c r="BB77" s="139"/>
      <c r="BC77" s="247"/>
    </row>
    <row r="78" spans="1:57" x14ac:dyDescent="0.25">
      <c r="A78" s="64"/>
      <c r="B78" s="42"/>
      <c r="C78" s="42"/>
      <c r="D78" s="181"/>
      <c r="E78" s="153"/>
      <c r="F78" s="153"/>
      <c r="G78" s="153"/>
      <c r="H78" s="153"/>
      <c r="I78" s="153"/>
      <c r="J78" s="256"/>
      <c r="K78" s="256"/>
      <c r="L78" s="256"/>
      <c r="M78" s="256"/>
      <c r="N78" s="256"/>
      <c r="O78" s="256"/>
      <c r="P78" s="1797"/>
      <c r="Q78" s="153"/>
      <c r="R78" s="153"/>
      <c r="S78" s="153"/>
      <c r="T78" s="153"/>
      <c r="U78" s="153"/>
      <c r="V78" s="153"/>
      <c r="W78" s="153"/>
      <c r="X78" s="153"/>
      <c r="Y78" s="153"/>
      <c r="Z78" s="153"/>
      <c r="AA78" s="153"/>
      <c r="AB78" s="153"/>
      <c r="AC78" s="153"/>
      <c r="AD78" s="153"/>
      <c r="AE78" s="153"/>
      <c r="AF78" s="153"/>
      <c r="AG78" s="153"/>
      <c r="AH78" s="153"/>
      <c r="AI78" s="153"/>
      <c r="AJ78" s="153"/>
      <c r="AK78" s="153"/>
      <c r="AL78" s="153"/>
      <c r="AM78" s="153"/>
      <c r="AN78" s="153"/>
      <c r="AO78" s="153"/>
      <c r="AP78" s="153"/>
      <c r="AQ78" s="153"/>
      <c r="AR78" s="153"/>
      <c r="AS78" s="153"/>
      <c r="AT78" s="153"/>
      <c r="AU78" s="153"/>
      <c r="AV78" s="153"/>
      <c r="AW78" s="153"/>
      <c r="AX78" s="153"/>
      <c r="AY78" s="153"/>
      <c r="AZ78" s="153"/>
      <c r="BA78" s="153"/>
      <c r="BB78" s="257"/>
      <c r="BC78" s="123"/>
      <c r="BD78" s="112"/>
      <c r="BE78" s="112"/>
    </row>
    <row r="79" spans="1:57" s="258" customFormat="1" x14ac:dyDescent="0.25">
      <c r="A79" s="115">
        <v>10</v>
      </c>
      <c r="B79" s="116" t="s">
        <v>455</v>
      </c>
      <c r="C79" s="116"/>
      <c r="D79" s="217"/>
      <c r="E79" s="118"/>
      <c r="F79" s="118"/>
      <c r="G79" s="118"/>
      <c r="H79" s="118"/>
      <c r="I79" s="119">
        <f>'IS Raw'!I29/Input!$B$1</f>
        <v>0</v>
      </c>
      <c r="J79" s="119">
        <f>'IS Raw'!J29/Input!$B$1</f>
        <v>0</v>
      </c>
      <c r="K79" s="119">
        <f>'IS Raw'!K29/Input!$B$1</f>
        <v>10.724382085</v>
      </c>
      <c r="L79" s="119">
        <f>'IS Raw'!L29/Input!$B$1</f>
        <v>8.0301361270000005</v>
      </c>
      <c r="M79" s="119">
        <f>'IS Raw'!M29/Input!$B$1</f>
        <v>10.57976874</v>
      </c>
      <c r="N79" s="119">
        <f>'IS Raw'!N29/Input!$B$1</f>
        <v>14.439489521</v>
      </c>
      <c r="O79" s="119">
        <f>'IS Raw'!O29/Input!$B$1</f>
        <v>15.238404243</v>
      </c>
      <c r="P79" s="671">
        <f>'IS Raw'!P29/Input!$B$1</f>
        <v>16.083128633000001</v>
      </c>
      <c r="Q79" s="243">
        <f>Q80*Q7</f>
        <v>18.916049658050063</v>
      </c>
      <c r="R79" s="243">
        <f t="shared" ref="R79:Z79" si="57">R80*R7</f>
        <v>19.734300586747469</v>
      </c>
      <c r="S79" s="243">
        <f t="shared" si="57"/>
        <v>24.914672387804931</v>
      </c>
      <c r="T79" s="243">
        <f t="shared" si="57"/>
        <v>26.574965223304741</v>
      </c>
      <c r="U79" s="243">
        <f t="shared" si="57"/>
        <v>28.241606771429087</v>
      </c>
      <c r="V79" s="243">
        <f t="shared" si="57"/>
        <v>29.616590580384958</v>
      </c>
      <c r="W79" s="243">
        <f t="shared" si="57"/>
        <v>31.332243041009249</v>
      </c>
      <c r="X79" s="243">
        <f t="shared" si="57"/>
        <v>32.542428450111565</v>
      </c>
      <c r="Y79" s="243">
        <f t="shared" si="57"/>
        <v>33.852506563385894</v>
      </c>
      <c r="Z79" s="243">
        <f t="shared" si="57"/>
        <v>35.272330768297039</v>
      </c>
      <c r="AA79" s="243"/>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30"/>
      <c r="BC79" s="123"/>
      <c r="BD79" s="217"/>
      <c r="BE79" s="217"/>
    </row>
    <row r="80" spans="1:57" s="258" customFormat="1" x14ac:dyDescent="0.25">
      <c r="A80" s="115"/>
      <c r="B80" s="175" t="s">
        <v>404</v>
      </c>
      <c r="C80" s="116"/>
      <c r="D80" s="217"/>
      <c r="E80" s="118"/>
      <c r="F80" s="118"/>
      <c r="G80" s="118"/>
      <c r="H80" s="118"/>
      <c r="I80" s="259">
        <f>I79/I7</f>
        <v>0</v>
      </c>
      <c r="J80" s="259">
        <f>J79/J7</f>
        <v>0</v>
      </c>
      <c r="K80" s="259">
        <f t="shared" ref="K80:P80" si="58">K79/K7</f>
        <v>7.743785023273963E-3</v>
      </c>
      <c r="L80" s="259">
        <f t="shared" si="58"/>
        <v>5.7844529910694989E-3</v>
      </c>
      <c r="M80" s="259">
        <f t="shared" si="58"/>
        <v>7.5514526174038123E-3</v>
      </c>
      <c r="N80" s="259">
        <f t="shared" si="58"/>
        <v>1.1444208126414336E-2</v>
      </c>
      <c r="O80" s="259">
        <f t="shared" si="58"/>
        <v>1.2123294874167551E-2</v>
      </c>
      <c r="P80" s="1244">
        <f t="shared" si="58"/>
        <v>1.0319591860948362E-2</v>
      </c>
      <c r="Q80" s="260">
        <f>AVERAGE(N80:P80)</f>
        <v>1.1295698287176749E-2</v>
      </c>
      <c r="R80" s="260">
        <f>Q80</f>
        <v>1.1295698287176749E-2</v>
      </c>
      <c r="S80" s="260">
        <f t="shared" ref="S80:Z80" si="59">R80</f>
        <v>1.1295698287176749E-2</v>
      </c>
      <c r="T80" s="260">
        <f t="shared" si="59"/>
        <v>1.1295698287176749E-2</v>
      </c>
      <c r="U80" s="260">
        <f t="shared" si="59"/>
        <v>1.1295698287176749E-2</v>
      </c>
      <c r="V80" s="260">
        <f t="shared" si="59"/>
        <v>1.1295698287176749E-2</v>
      </c>
      <c r="W80" s="260">
        <f t="shared" si="59"/>
        <v>1.1295698287176749E-2</v>
      </c>
      <c r="X80" s="260">
        <f t="shared" si="59"/>
        <v>1.1295698287176749E-2</v>
      </c>
      <c r="Y80" s="260">
        <f t="shared" si="59"/>
        <v>1.1295698287176749E-2</v>
      </c>
      <c r="Z80" s="260">
        <f t="shared" si="59"/>
        <v>1.1295698287176749E-2</v>
      </c>
      <c r="AA80" s="260"/>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30"/>
      <c r="BC80" s="123"/>
      <c r="BD80" s="217"/>
      <c r="BE80" s="217"/>
    </row>
    <row r="81" spans="1:57" s="180" customFormat="1" x14ac:dyDescent="0.25">
      <c r="A81" s="174"/>
      <c r="B81" s="175" t="s">
        <v>456</v>
      </c>
      <c r="C81" s="175"/>
      <c r="L81" s="205">
        <f>IFERROR(L79/K82-1, " ")</f>
        <v>-0.25122621859663063</v>
      </c>
      <c r="M81" s="205">
        <f t="shared" ref="M81:P81" si="60">IFERROR(M79/L82-1, " ")</f>
        <v>0.31750801887744884</v>
      </c>
      <c r="N81" s="205">
        <f t="shared" si="60"/>
        <v>0.36482090259753641</v>
      </c>
      <c r="O81" s="205">
        <f t="shared" si="60"/>
        <v>5.5328460250488876E-2</v>
      </c>
      <c r="P81" s="1787">
        <f t="shared" si="60"/>
        <v>5.543391398007036E-2</v>
      </c>
      <c r="Q81" s="162">
        <f t="shared" ref="Q81" si="61">IFERROR(Q79/P82-1, " ")</f>
        <v>0.17614240920994462</v>
      </c>
      <c r="R81" s="162">
        <f t="shared" ref="R81" si="62">IFERROR(R79/Q82-1, " ")</f>
        <v>4.3256966623006488E-2</v>
      </c>
      <c r="S81" s="162">
        <f t="shared" ref="S81" si="63">IFERROR(S79/R82-1, " ")</f>
        <v>0.26250597421913846</v>
      </c>
      <c r="T81" s="162">
        <f t="shared" ref="T81" si="64">IFERROR(T79/S82-1, " ")</f>
        <v>6.6639159835490291E-2</v>
      </c>
      <c r="U81" s="162">
        <f t="shared" ref="U81" si="65">IFERROR(U79/T82-1, " ")</f>
        <v>6.2714721698404974E-2</v>
      </c>
      <c r="V81" s="162">
        <f t="shared" ref="V81" si="66">IFERROR(V79/U82-1, " ")</f>
        <v>4.8686458248788034E-2</v>
      </c>
      <c r="W81" s="162">
        <f t="shared" ref="W81" si="67">IFERROR(W79/V82-1, " ")</f>
        <v>5.7928763135908223E-2</v>
      </c>
      <c r="X81" s="162">
        <f t="shared" ref="X81" si="68">IFERROR(X79/W82-1, " ")</f>
        <v>3.8624282580674629E-2</v>
      </c>
      <c r="Y81" s="162">
        <f t="shared" ref="Y81" si="69">IFERROR(Y79/X82-1, " ")</f>
        <v>4.0257539946126464E-2</v>
      </c>
      <c r="Z81" s="162">
        <f t="shared" ref="Z81" si="70">IFERROR(Z79/Y82-1, " ")</f>
        <v>4.1941479348143629E-2</v>
      </c>
      <c r="AA81" s="149"/>
      <c r="AB81" s="261"/>
      <c r="AC81" s="261"/>
      <c r="AD81" s="261"/>
      <c r="AE81" s="261"/>
      <c r="AF81" s="261"/>
      <c r="AG81" s="261"/>
      <c r="AH81" s="261"/>
      <c r="AI81" s="261"/>
      <c r="AJ81" s="261"/>
      <c r="AK81" s="261"/>
      <c r="AL81" s="261"/>
      <c r="AM81" s="261"/>
      <c r="AN81" s="261"/>
      <c r="AO81" s="261"/>
      <c r="AP81" s="261"/>
      <c r="AQ81" s="261"/>
      <c r="AR81" s="261"/>
      <c r="AS81" s="261"/>
      <c r="AT81" s="261"/>
      <c r="AU81" s="261"/>
      <c r="AV81" s="261"/>
      <c r="AW81" s="261"/>
      <c r="AX81" s="261"/>
      <c r="AY81" s="261"/>
      <c r="AZ81" s="261"/>
      <c r="BA81" s="261"/>
      <c r="BB81" s="198"/>
      <c r="BC81" s="146"/>
    </row>
    <row r="82" spans="1:57" s="124" customFormat="1" x14ac:dyDescent="0.25">
      <c r="A82" s="262"/>
      <c r="B82" s="133" t="s">
        <v>457</v>
      </c>
      <c r="C82" s="133"/>
      <c r="D82" s="134"/>
      <c r="E82" s="166"/>
      <c r="F82" s="166"/>
      <c r="G82" s="166"/>
      <c r="H82" s="166"/>
      <c r="I82" s="167">
        <f>IF(ISTEXT('IS Raw'!I11), 'IS Raw'!I29/Input!$B$1, Input!I79)</f>
        <v>0</v>
      </c>
      <c r="J82" s="167">
        <f>IF(ISTEXT('IS Raw'!J11), 'IS Raw'!J29/Input!$B$1, Input!J79)</f>
        <v>0</v>
      </c>
      <c r="K82" s="167">
        <f>IF(ISTEXT('IS Raw'!K11), 'IS Raw'!K29/Input!$B$1, Input!K79)</f>
        <v>10.724382085</v>
      </c>
      <c r="L82" s="167">
        <f>IF(ISTEXT('IS Raw'!L11), 'IS Raw'!L29/Input!$B$1, Input!L79)</f>
        <v>8.0301361270000005</v>
      </c>
      <c r="M82" s="167">
        <f>IF(ISTEXT('IS Raw'!M11), 'IS Raw'!M29/Input!$B$1, Input!M79)</f>
        <v>10.57976874</v>
      </c>
      <c r="N82" s="167">
        <f>IF(ISTEXT('IS Raw'!N11), 'IS Raw'!N29/Input!$B$1, Input!N79)</f>
        <v>14.439489521</v>
      </c>
      <c r="O82" s="167">
        <f>IF(ISTEXT('IS Raw'!O11), 'IS Raw'!O29/Input!$B$1, Input!O79)</f>
        <v>15.238404243</v>
      </c>
      <c r="P82" s="743">
        <f>IF(ISTEXT('IS Raw'!P11), 'IS Raw'!P29/Input!$B$1, Input!P79)</f>
        <v>16.083128633000001</v>
      </c>
      <c r="Q82" s="168">
        <f>IF(ISTEXT('IS Raw'!Q11), 'IS Raw'!Q29/Input!$B$1, Input!Q79)</f>
        <v>18.916049658050063</v>
      </c>
      <c r="R82" s="168">
        <f>IF(ISTEXT('IS Raw'!R11), 'IS Raw'!R29/Input!$B$1, Input!R79)</f>
        <v>19.734300586747469</v>
      </c>
      <c r="S82" s="168">
        <f>IF(ISTEXT('IS Raw'!S11), 'IS Raw'!S29/Input!$B$1, Input!S79)</f>
        <v>24.914672387804931</v>
      </c>
      <c r="T82" s="168">
        <f>IF(ISTEXT('IS Raw'!T11), 'IS Raw'!T29/Input!$B$1, Input!T79)</f>
        <v>26.574965223304741</v>
      </c>
      <c r="U82" s="168">
        <f>IF(ISTEXT('IS Raw'!U11), 'IS Raw'!U29/Input!$B$1, Input!U79)</f>
        <v>28.241606771429087</v>
      </c>
      <c r="V82" s="168">
        <f>IF(ISTEXT('IS Raw'!V11), 'IS Raw'!V29/Input!$B$1, Input!V79)</f>
        <v>29.616590580384958</v>
      </c>
      <c r="W82" s="168">
        <f>IF(ISTEXT('IS Raw'!W11), 'IS Raw'!W29/Input!$B$1, Input!W79)</f>
        <v>31.332243041009249</v>
      </c>
      <c r="X82" s="168">
        <f>IF(ISTEXT('IS Raw'!X11), 'IS Raw'!X29/Input!$B$1, Input!X79)</f>
        <v>32.542428450111565</v>
      </c>
      <c r="Y82" s="168">
        <f>IF(ISTEXT('IS Raw'!Y11), 'IS Raw'!Y29/Input!$B$1, Input!Y79)</f>
        <v>33.852506563385894</v>
      </c>
      <c r="Z82" s="168">
        <f>IF(ISTEXT('IS Raw'!Z11), 'IS Raw'!Z29/Input!$B$1, Input!Z79)</f>
        <v>35.272330768297039</v>
      </c>
      <c r="AA82" s="168"/>
      <c r="AB82" s="169"/>
      <c r="AC82" s="169"/>
      <c r="AD82" s="169"/>
      <c r="AE82" s="169"/>
      <c r="AF82" s="169"/>
      <c r="AG82" s="169"/>
      <c r="AH82" s="169"/>
      <c r="AI82" s="169"/>
      <c r="AJ82" s="169"/>
      <c r="AK82" s="169"/>
      <c r="AL82" s="169"/>
      <c r="AM82" s="169"/>
      <c r="AN82" s="169"/>
      <c r="AO82" s="169"/>
      <c r="AP82" s="169"/>
      <c r="AQ82" s="169"/>
      <c r="AR82" s="169"/>
      <c r="AS82" s="169"/>
      <c r="AT82" s="169"/>
      <c r="AU82" s="169"/>
      <c r="AV82" s="169"/>
      <c r="AW82" s="169"/>
      <c r="AX82" s="169"/>
      <c r="AY82" s="169"/>
      <c r="AZ82" s="169"/>
      <c r="BA82" s="169"/>
      <c r="BB82" s="139"/>
      <c r="BC82" s="140"/>
    </row>
    <row r="83" spans="1:57" x14ac:dyDescent="0.25">
      <c r="A83" s="64"/>
      <c r="B83" s="42"/>
      <c r="C83" s="42"/>
      <c r="D83" s="181"/>
      <c r="E83" s="153"/>
      <c r="F83" s="153"/>
      <c r="G83" s="153"/>
      <c r="H83" s="153"/>
      <c r="I83" s="153"/>
      <c r="J83" s="153"/>
      <c r="K83" s="245"/>
      <c r="L83" s="245"/>
      <c r="M83" s="245"/>
      <c r="N83" s="153"/>
      <c r="O83" s="153"/>
      <c r="P83" s="154"/>
      <c r="Q83" s="153"/>
      <c r="R83" s="153"/>
      <c r="S83" s="153"/>
      <c r="T83" s="153"/>
      <c r="U83" s="153"/>
      <c r="V83" s="153"/>
      <c r="W83" s="153"/>
      <c r="X83" s="153"/>
      <c r="Y83" s="153"/>
      <c r="Z83" s="153"/>
      <c r="AA83" s="153"/>
      <c r="AB83" s="153"/>
      <c r="AC83" s="153"/>
      <c r="AD83" s="153"/>
      <c r="AE83" s="153"/>
      <c r="AF83" s="153"/>
      <c r="AG83" s="153"/>
      <c r="AH83" s="153"/>
      <c r="AI83" s="153"/>
      <c r="AJ83" s="153"/>
      <c r="AK83" s="153"/>
      <c r="AL83" s="153"/>
      <c r="AM83" s="153"/>
      <c r="AN83" s="153"/>
      <c r="AO83" s="153"/>
      <c r="AP83" s="153"/>
      <c r="AQ83" s="153"/>
      <c r="AR83" s="153"/>
      <c r="AS83" s="153"/>
      <c r="AT83" s="153"/>
      <c r="AU83" s="153"/>
      <c r="AV83" s="153"/>
      <c r="AW83" s="153"/>
      <c r="AX83" s="153"/>
      <c r="AY83" s="153"/>
      <c r="AZ83" s="153"/>
      <c r="BA83" s="153"/>
      <c r="BB83" s="257"/>
      <c r="BC83" s="123"/>
      <c r="BD83" s="112"/>
      <c r="BE83" s="112"/>
    </row>
    <row r="84" spans="1:57" x14ac:dyDescent="0.25">
      <c r="B84" s="29" t="s">
        <v>458</v>
      </c>
      <c r="D84" s="112"/>
      <c r="E84" s="66"/>
      <c r="F84" s="66"/>
      <c r="G84" s="66"/>
      <c r="H84" s="66"/>
      <c r="I84" s="220">
        <f>+I45+I49-I54+I58-I68+I79</f>
        <v>150.14317103799968</v>
      </c>
      <c r="J84" s="220">
        <f>+J45+J49-J54+J58-J68+J79</f>
        <v>273.85551143199996</v>
      </c>
      <c r="K84" s="220">
        <f t="shared" ref="K84:Z84" si="71">+K45+K49-K54+K58-K68+K79</f>
        <v>175.88104429099994</v>
      </c>
      <c r="L84" s="220">
        <f t="shared" si="71"/>
        <v>203.59644863799997</v>
      </c>
      <c r="M84" s="220">
        <f t="shared" si="71"/>
        <v>201.02634409800007</v>
      </c>
      <c r="N84" s="220">
        <f t="shared" si="71"/>
        <v>174.01328670199999</v>
      </c>
      <c r="O84" s="220">
        <f t="shared" si="71"/>
        <v>193.19131539699998</v>
      </c>
      <c r="P84" s="1789">
        <f t="shared" si="71"/>
        <v>233.06110302600004</v>
      </c>
      <c r="Q84" s="207">
        <f t="shared" ca="1" si="71"/>
        <v>290.2039048745666</v>
      </c>
      <c r="R84" s="207">
        <f t="shared" ca="1" si="71"/>
        <v>286.64829392527963</v>
      </c>
      <c r="S84" s="207">
        <f t="shared" ca="1" si="71"/>
        <v>416.46017995986801</v>
      </c>
      <c r="T84" s="207">
        <f t="shared" ca="1" si="71"/>
        <v>480.34732707435762</v>
      </c>
      <c r="U84" s="207">
        <f t="shared" ca="1" si="71"/>
        <v>554.2487649268104</v>
      </c>
      <c r="V84" s="207">
        <f t="shared" ca="1" si="71"/>
        <v>609.26296803454466</v>
      </c>
      <c r="W84" s="207">
        <f t="shared" ca="1" si="71"/>
        <v>675.17242007443087</v>
      </c>
      <c r="X84" s="207">
        <f t="shared" ca="1" si="71"/>
        <v>709.61792149307576</v>
      </c>
      <c r="Y84" s="207">
        <f t="shared" ca="1" si="71"/>
        <v>748.79345865856419</v>
      </c>
      <c r="Z84" s="207">
        <f t="shared" ca="1" si="71"/>
        <v>790.69347871313585</v>
      </c>
      <c r="AA84" s="207"/>
      <c r="AB84" s="208"/>
      <c r="AC84" s="208"/>
      <c r="AD84" s="208"/>
      <c r="AE84" s="208"/>
      <c r="AF84" s="208"/>
      <c r="AG84" s="208"/>
      <c r="AH84" s="208"/>
      <c r="AI84" s="208"/>
      <c r="AJ84" s="208"/>
      <c r="AK84" s="208"/>
      <c r="AL84" s="208"/>
      <c r="AM84" s="208"/>
      <c r="AN84" s="208"/>
      <c r="AO84" s="208"/>
      <c r="AP84" s="208"/>
      <c r="AQ84" s="208"/>
      <c r="AR84" s="208"/>
      <c r="AS84" s="208"/>
      <c r="AT84" s="208"/>
      <c r="AU84" s="208"/>
      <c r="AV84" s="208"/>
      <c r="AW84" s="208"/>
      <c r="AX84" s="208"/>
      <c r="AY84" s="208"/>
      <c r="AZ84" s="208"/>
      <c r="BA84" s="208"/>
      <c r="BB84" s="112"/>
      <c r="BD84" s="112"/>
      <c r="BE84" s="263"/>
    </row>
    <row r="85" spans="1:57" s="180" customFormat="1" x14ac:dyDescent="0.25">
      <c r="A85" s="174"/>
      <c r="B85" s="175" t="s">
        <v>459</v>
      </c>
      <c r="C85" s="175"/>
      <c r="E85" s="196"/>
      <c r="F85" s="196"/>
      <c r="G85" s="196"/>
      <c r="H85" s="196"/>
      <c r="I85" s="264">
        <f>IFERROR(I86/I7, " ")</f>
        <v>6.1235955100287752E-2</v>
      </c>
      <c r="J85" s="264">
        <f>IFERROR(J86/J7, " ")</f>
        <v>0.22354310387332171</v>
      </c>
      <c r="K85" s="264">
        <f t="shared" ref="K85:Z85" si="72">IFERROR(K86/K7, " ")</f>
        <v>0.12699892505353885</v>
      </c>
      <c r="L85" s="264">
        <f t="shared" si="72"/>
        <v>0.14665929290232149</v>
      </c>
      <c r="M85" s="264">
        <f t="shared" si="72"/>
        <v>0.14348526415010862</v>
      </c>
      <c r="N85" s="264">
        <f t="shared" si="72"/>
        <v>0.13791652861985521</v>
      </c>
      <c r="O85" s="264">
        <f t="shared" si="72"/>
        <v>0.15369819873114496</v>
      </c>
      <c r="P85" s="1798">
        <f t="shared" si="72"/>
        <v>0.14954151749777636</v>
      </c>
      <c r="Q85" s="265">
        <f t="shared" ca="1" si="72"/>
        <v>0.17329494320864244</v>
      </c>
      <c r="R85" s="265">
        <f t="shared" ca="1" si="72"/>
        <v>0.16407435513008853</v>
      </c>
      <c r="S85" s="265">
        <f t="shared" ca="1" si="72"/>
        <v>0.18881277940273408</v>
      </c>
      <c r="T85" s="265">
        <f t="shared" ca="1" si="72"/>
        <v>0.20417179981577477</v>
      </c>
      <c r="U85" s="265">
        <f t="shared" ca="1" si="72"/>
        <v>0.22168097145900456</v>
      </c>
      <c r="V85" s="265">
        <f t="shared" ca="1" si="72"/>
        <v>0.23237146915303628</v>
      </c>
      <c r="W85" s="265">
        <f t="shared" ca="1" si="72"/>
        <v>0.24340880858742597</v>
      </c>
      <c r="X85" s="265">
        <f t="shared" ca="1" si="72"/>
        <v>0.24631320777573318</v>
      </c>
      <c r="Y85" s="265">
        <f t="shared" ca="1" si="72"/>
        <v>0.24985284243521383</v>
      </c>
      <c r="Z85" s="265">
        <f t="shared" ca="1" si="72"/>
        <v>0.25321363172318107</v>
      </c>
      <c r="AA85" s="206"/>
      <c r="AB85" s="206"/>
      <c r="AC85" s="206"/>
      <c r="AD85" s="206"/>
      <c r="AE85" s="206"/>
      <c r="AF85" s="206"/>
      <c r="AG85" s="206"/>
      <c r="AH85" s="206"/>
      <c r="AI85" s="206"/>
      <c r="AJ85" s="206"/>
      <c r="AK85" s="206"/>
      <c r="AL85" s="206"/>
      <c r="AM85" s="206"/>
      <c r="AN85" s="206"/>
      <c r="AO85" s="206"/>
      <c r="AP85" s="206"/>
      <c r="AQ85" s="206"/>
      <c r="AR85" s="206"/>
      <c r="AS85" s="206"/>
      <c r="AT85" s="206"/>
      <c r="AU85" s="206"/>
      <c r="AV85" s="206"/>
      <c r="AW85" s="206"/>
      <c r="AX85" s="206"/>
      <c r="AY85" s="206"/>
      <c r="AZ85" s="206"/>
      <c r="BA85" s="206"/>
      <c r="BC85" s="146"/>
    </row>
    <row r="86" spans="1:57" s="124" customFormat="1" x14ac:dyDescent="0.25">
      <c r="A86" s="115"/>
      <c r="B86" s="133" t="s">
        <v>460</v>
      </c>
      <c r="C86" s="133"/>
      <c r="D86" s="266"/>
      <c r="E86" s="267"/>
      <c r="F86" s="267"/>
      <c r="G86" s="267"/>
      <c r="H86" s="267"/>
      <c r="I86" s="167">
        <f>+I47+I52-I56+I66-I77+I82</f>
        <v>150.14317103799968</v>
      </c>
      <c r="J86" s="167">
        <f>+J47+J52-J56+J66-J77+J82</f>
        <v>273.85551143199996</v>
      </c>
      <c r="K86" s="167">
        <f t="shared" ref="K86:Z86" si="73">+K47+K52-K56+K66-K77+K82</f>
        <v>175.88104429099994</v>
      </c>
      <c r="L86" s="167">
        <f t="shared" si="73"/>
        <v>203.59644863799997</v>
      </c>
      <c r="M86" s="167">
        <f t="shared" si="73"/>
        <v>201.02634409800007</v>
      </c>
      <c r="N86" s="167">
        <f t="shared" si="73"/>
        <v>174.01328670199999</v>
      </c>
      <c r="O86" s="167">
        <f t="shared" si="73"/>
        <v>193.19131539699998</v>
      </c>
      <c r="P86" s="743">
        <f t="shared" si="73"/>
        <v>233.06110302600004</v>
      </c>
      <c r="Q86" s="168">
        <f t="shared" ca="1" si="73"/>
        <v>290.2039048745666</v>
      </c>
      <c r="R86" s="168">
        <f t="shared" ca="1" si="73"/>
        <v>286.64829392527963</v>
      </c>
      <c r="S86" s="168">
        <f t="shared" ca="1" si="73"/>
        <v>416.46017995986801</v>
      </c>
      <c r="T86" s="168">
        <f t="shared" ca="1" si="73"/>
        <v>480.34732707435768</v>
      </c>
      <c r="U86" s="168">
        <f t="shared" ca="1" si="73"/>
        <v>554.2487649268104</v>
      </c>
      <c r="V86" s="168">
        <f t="shared" ca="1" si="73"/>
        <v>609.26296803454466</v>
      </c>
      <c r="W86" s="168">
        <f t="shared" ca="1" si="73"/>
        <v>675.17242007443087</v>
      </c>
      <c r="X86" s="168">
        <f t="shared" ca="1" si="73"/>
        <v>709.61792149307576</v>
      </c>
      <c r="Y86" s="168">
        <f t="shared" ca="1" si="73"/>
        <v>748.79345865856419</v>
      </c>
      <c r="Z86" s="168">
        <f t="shared" ca="1" si="73"/>
        <v>790.69347871313585</v>
      </c>
      <c r="AA86" s="168"/>
      <c r="AB86" s="268"/>
      <c r="AC86" s="268"/>
      <c r="AD86" s="268"/>
      <c r="AE86" s="268"/>
      <c r="AF86" s="268"/>
      <c r="AG86" s="268"/>
      <c r="AH86" s="268"/>
      <c r="AI86" s="268"/>
      <c r="AJ86" s="268"/>
      <c r="AK86" s="268"/>
      <c r="AL86" s="268"/>
      <c r="AM86" s="268"/>
      <c r="AN86" s="268"/>
      <c r="AO86" s="268"/>
      <c r="AP86" s="268"/>
      <c r="AQ86" s="268"/>
      <c r="AR86" s="268"/>
      <c r="AS86" s="268"/>
      <c r="AT86" s="268"/>
      <c r="AU86" s="268"/>
      <c r="AV86" s="268"/>
      <c r="AW86" s="268"/>
      <c r="AX86" s="268"/>
      <c r="AY86" s="268"/>
      <c r="AZ86" s="268"/>
      <c r="BA86" s="268"/>
      <c r="BC86" s="123"/>
    </row>
    <row r="87" spans="1:57" x14ac:dyDescent="0.25">
      <c r="B87" s="269"/>
      <c r="D87" s="112"/>
      <c r="E87" s="170"/>
      <c r="F87" s="170"/>
      <c r="G87" s="170"/>
      <c r="H87" s="170"/>
      <c r="I87" s="170"/>
      <c r="J87" s="170"/>
      <c r="K87" s="170"/>
      <c r="L87" s="170"/>
      <c r="M87" s="170"/>
      <c r="N87" s="170"/>
      <c r="O87" s="170"/>
      <c r="P87" s="171"/>
      <c r="Q87" s="270"/>
      <c r="R87" s="270"/>
      <c r="S87" s="270"/>
      <c r="T87" s="270"/>
      <c r="U87" s="270"/>
      <c r="V87" s="270"/>
      <c r="W87" s="270"/>
      <c r="X87" s="270"/>
      <c r="Y87" s="270"/>
      <c r="Z87" s="270"/>
      <c r="AA87" s="2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13"/>
      <c r="BD87" s="112"/>
      <c r="BE87" s="271"/>
    </row>
    <row r="88" spans="1:57" x14ac:dyDescent="0.25">
      <c r="A88" s="100">
        <v>11</v>
      </c>
      <c r="B88" s="29" t="s">
        <v>461</v>
      </c>
      <c r="D88" s="112"/>
      <c r="E88" s="66"/>
      <c r="F88" s="66"/>
      <c r="G88" s="66"/>
      <c r="H88" s="66"/>
      <c r="I88" s="220">
        <f>-'IS Raw'!I40/Input!$B$1</f>
        <v>29.024226928000001</v>
      </c>
      <c r="J88" s="220">
        <f>-'IS Raw'!J40/Input!$B$1</f>
        <v>59.090007555</v>
      </c>
      <c r="K88" s="220">
        <f>-'IS Raw'!K40/Input!$B$1</f>
        <v>34.389506357000002</v>
      </c>
      <c r="L88" s="220">
        <f>-'IS Raw'!L40/Input!$B$1</f>
        <v>39.205654510999999</v>
      </c>
      <c r="M88" s="220">
        <f>-'IS Raw'!M40/Input!$B$1</f>
        <v>38.021545803999999</v>
      </c>
      <c r="N88" s="220">
        <f>-'IS Raw'!N40/Input!$B$1</f>
        <v>31.785869465000001</v>
      </c>
      <c r="O88" s="220">
        <f>-'IS Raw'!O40/Input!$B$1</f>
        <v>35.331750581000001</v>
      </c>
      <c r="P88" s="1789">
        <f>-'IS Raw'!P40/Input!$B$1</f>
        <v>48.661827508000002</v>
      </c>
      <c r="Q88" s="207">
        <f ca="1">Q84*Q89</f>
        <v>60.592918242469587</v>
      </c>
      <c r="R88" s="207">
        <f t="shared" ref="R88:Z88" ca="1" si="74">R84*R89</f>
        <v>59.850526979177332</v>
      </c>
      <c r="S88" s="207">
        <f t="shared" ca="1" si="74"/>
        <v>86.954507543444166</v>
      </c>
      <c r="T88" s="207">
        <f t="shared" ca="1" si="74"/>
        <v>100.29377905850556</v>
      </c>
      <c r="U88" s="207">
        <f t="shared" ca="1" si="74"/>
        <v>115.72397729698234</v>
      </c>
      <c r="V88" s="207">
        <f t="shared" ca="1" si="74"/>
        <v>127.21062876889265</v>
      </c>
      <c r="W88" s="207">
        <f t="shared" ca="1" si="74"/>
        <v>140.97214600479941</v>
      </c>
      <c r="X88" s="207">
        <f t="shared" ca="1" si="74"/>
        <v>148.16417001351473</v>
      </c>
      <c r="Y88" s="207">
        <f t="shared" ca="1" si="74"/>
        <v>156.3437984771609</v>
      </c>
      <c r="Z88" s="207">
        <f t="shared" ca="1" si="74"/>
        <v>165.09228341095891</v>
      </c>
      <c r="AA88" s="207"/>
      <c r="AB88" s="208"/>
      <c r="AC88" s="208"/>
      <c r="AD88" s="208"/>
      <c r="AE88" s="208"/>
      <c r="AF88" s="208"/>
      <c r="AG88" s="208"/>
      <c r="AH88" s="208"/>
      <c r="AI88" s="208"/>
      <c r="AJ88" s="208"/>
      <c r="AK88" s="208"/>
      <c r="AL88" s="208"/>
      <c r="AM88" s="208"/>
      <c r="AN88" s="208"/>
      <c r="AO88" s="208"/>
      <c r="AP88" s="208"/>
      <c r="AQ88" s="208"/>
      <c r="AR88" s="208"/>
      <c r="AS88" s="208"/>
      <c r="AT88" s="208"/>
      <c r="AU88" s="208"/>
      <c r="AV88" s="208"/>
      <c r="AW88" s="208"/>
      <c r="AX88" s="208"/>
      <c r="AY88" s="208"/>
      <c r="AZ88" s="208"/>
      <c r="BA88" s="208"/>
      <c r="BB88" s="113"/>
      <c r="BC88" s="272"/>
      <c r="BD88" s="112"/>
      <c r="BE88" s="112"/>
    </row>
    <row r="89" spans="1:57" s="180" customFormat="1" x14ac:dyDescent="0.25">
      <c r="A89" s="189"/>
      <c r="B89" s="175" t="s">
        <v>462</v>
      </c>
      <c r="C89" s="175"/>
      <c r="E89" s="196"/>
      <c r="F89" s="196"/>
      <c r="G89" s="196"/>
      <c r="H89" s="196"/>
      <c r="I89" s="264">
        <f>IF(I84,I88/I84,0)</f>
        <v>0.19331033657637528</v>
      </c>
      <c r="J89" s="264">
        <f>IF(J84,J88/J84,0)</f>
        <v>0.21577074438274513</v>
      </c>
      <c r="K89" s="264">
        <f t="shared" ref="K89:P89" si="75">IF(K84,K88/K84,0)</f>
        <v>0.19552707624422352</v>
      </c>
      <c r="L89" s="264">
        <f t="shared" si="75"/>
        <v>0.19256551267605224</v>
      </c>
      <c r="M89" s="264">
        <f t="shared" si="75"/>
        <v>0.18913713013387215</v>
      </c>
      <c r="N89" s="264">
        <f t="shared" si="75"/>
        <v>0.18266346247130955</v>
      </c>
      <c r="O89" s="264">
        <f t="shared" si="75"/>
        <v>0.18288477672194917</v>
      </c>
      <c r="P89" s="1798">
        <f t="shared" si="75"/>
        <v>0.20879428989303009</v>
      </c>
      <c r="Q89" s="273">
        <f>P89</f>
        <v>0.20879428989303009</v>
      </c>
      <c r="R89" s="273">
        <f t="shared" ref="R89:Z89" si="76">Q89</f>
        <v>0.20879428989303009</v>
      </c>
      <c r="S89" s="273">
        <f t="shared" si="76"/>
        <v>0.20879428989303009</v>
      </c>
      <c r="T89" s="273">
        <f t="shared" si="76"/>
        <v>0.20879428989303009</v>
      </c>
      <c r="U89" s="273">
        <f t="shared" si="76"/>
        <v>0.20879428989303009</v>
      </c>
      <c r="V89" s="273">
        <f t="shared" si="76"/>
        <v>0.20879428989303009</v>
      </c>
      <c r="W89" s="273">
        <f t="shared" si="76"/>
        <v>0.20879428989303009</v>
      </c>
      <c r="X89" s="273">
        <f t="shared" si="76"/>
        <v>0.20879428989303009</v>
      </c>
      <c r="Y89" s="273">
        <f t="shared" si="76"/>
        <v>0.20879428989303009</v>
      </c>
      <c r="Z89" s="273">
        <f t="shared" si="76"/>
        <v>0.20879428989303009</v>
      </c>
      <c r="AA89" s="273"/>
      <c r="AB89" s="274"/>
      <c r="AC89" s="274"/>
      <c r="AD89" s="274"/>
      <c r="AE89" s="274"/>
      <c r="AF89" s="274"/>
      <c r="AG89" s="274"/>
      <c r="AH89" s="274"/>
      <c r="AI89" s="274"/>
      <c r="AJ89" s="274"/>
      <c r="AK89" s="274"/>
      <c r="AL89" s="274"/>
      <c r="AM89" s="274"/>
      <c r="AN89" s="274"/>
      <c r="AO89" s="274"/>
      <c r="AP89" s="274"/>
      <c r="AQ89" s="274"/>
      <c r="AR89" s="274"/>
      <c r="AS89" s="274"/>
      <c r="AT89" s="274"/>
      <c r="AU89" s="274"/>
      <c r="AV89" s="274"/>
      <c r="AW89" s="274"/>
      <c r="AX89" s="274"/>
      <c r="AY89" s="274"/>
      <c r="AZ89" s="274"/>
      <c r="BA89" s="274"/>
      <c r="BC89" s="275"/>
    </row>
    <row r="90" spans="1:57" s="124" customFormat="1" x14ac:dyDescent="0.25">
      <c r="A90" s="115"/>
      <c r="B90" s="133" t="s">
        <v>463</v>
      </c>
      <c r="C90" s="133"/>
      <c r="D90" s="134"/>
      <c r="E90" s="166"/>
      <c r="F90" s="166"/>
      <c r="G90" s="166"/>
      <c r="H90" s="166"/>
      <c r="I90" s="167">
        <f>IF(ISTEXT('IS Raw'!I11), -'IS Raw'!I40/Input!$B$1, Input!I88)</f>
        <v>29.024226928000001</v>
      </c>
      <c r="J90" s="167">
        <f>IF(ISTEXT('IS Raw'!J11), -'IS Raw'!J40/Input!$B$1, Input!J88)</f>
        <v>59.090007555</v>
      </c>
      <c r="K90" s="167">
        <f>IF(ISTEXT('IS Raw'!K11), -'IS Raw'!K40/Input!$B$1, Input!K88)</f>
        <v>34.389506357000002</v>
      </c>
      <c r="L90" s="167">
        <f>IF(ISTEXT('IS Raw'!L11), -'IS Raw'!L40/Input!$B$1, Input!L88)</f>
        <v>39.205654510999999</v>
      </c>
      <c r="M90" s="167">
        <f>IF(ISTEXT('IS Raw'!M11), -'IS Raw'!M40/Input!$B$1, Input!M88)</f>
        <v>38.021545803999999</v>
      </c>
      <c r="N90" s="167">
        <f>IF(ISTEXT('IS Raw'!N11), -'IS Raw'!N40/Input!$B$1, Input!N88)</f>
        <v>31.785869465000001</v>
      </c>
      <c r="O90" s="167">
        <f>IF(ISTEXT('IS Raw'!O11), -'IS Raw'!O40/Input!$B$1, Input!O88)</f>
        <v>35.331750581000001</v>
      </c>
      <c r="P90" s="743">
        <f>IF(ISTEXT('IS Raw'!P11), -'IS Raw'!P40/Input!$B$1, Input!P88)</f>
        <v>48.661827508000002</v>
      </c>
      <c r="Q90" s="168">
        <f ca="1">IF(ISTEXT('IS Raw'!Q11), -'IS Raw'!Q40/Input!$B$1, Input!Q88)</f>
        <v>60.592918242469587</v>
      </c>
      <c r="R90" s="168">
        <f ca="1">IF(ISTEXT('IS Raw'!R11), -'IS Raw'!R40/Input!$B$1, Input!R88)</f>
        <v>59.850526979177332</v>
      </c>
      <c r="S90" s="168">
        <f ca="1">IF(ISTEXT('IS Raw'!S11), -'IS Raw'!S40/Input!$B$1, Input!S88)</f>
        <v>86.954507543444166</v>
      </c>
      <c r="T90" s="168">
        <f ca="1">IF(ISTEXT('IS Raw'!T11), -'IS Raw'!T40/Input!$B$1, Input!T88)</f>
        <v>100.29377905850556</v>
      </c>
      <c r="U90" s="168">
        <f ca="1">IF(ISTEXT('IS Raw'!U11), -'IS Raw'!U40/Input!$B$1, Input!U88)</f>
        <v>115.72397729698234</v>
      </c>
      <c r="V90" s="168">
        <f ca="1">IF(ISTEXT('IS Raw'!V11), -'IS Raw'!V40/Input!$B$1, Input!V88)</f>
        <v>127.21062876889265</v>
      </c>
      <c r="W90" s="168">
        <f ca="1">IF(ISTEXT('IS Raw'!W11), -'IS Raw'!W40/Input!$B$1, Input!W88)</f>
        <v>140.97214600479941</v>
      </c>
      <c r="X90" s="168">
        <f ca="1">IF(ISTEXT('IS Raw'!X11), -'IS Raw'!X40/Input!$B$1, Input!X88)</f>
        <v>148.16417001351473</v>
      </c>
      <c r="Y90" s="168">
        <f ca="1">IF(ISTEXT('IS Raw'!Y11), -'IS Raw'!Y40/Input!$B$1, Input!Y88)</f>
        <v>156.3437984771609</v>
      </c>
      <c r="Z90" s="168">
        <f ca="1">IF(ISTEXT('IS Raw'!Z11), -'IS Raw'!Z40/Input!$B$1, Input!Z88)</f>
        <v>165.09228341095891</v>
      </c>
      <c r="AA90" s="168"/>
      <c r="AB90" s="169"/>
      <c r="AC90" s="169"/>
      <c r="AD90" s="169"/>
      <c r="AE90" s="169"/>
      <c r="AF90" s="169"/>
      <c r="AG90" s="169"/>
      <c r="AH90" s="169"/>
      <c r="AI90" s="169"/>
      <c r="AJ90" s="169"/>
      <c r="AK90" s="169"/>
      <c r="AL90" s="169"/>
      <c r="AM90" s="169"/>
      <c r="AN90" s="169"/>
      <c r="AO90" s="169"/>
      <c r="AP90" s="169"/>
      <c r="AQ90" s="169"/>
      <c r="AR90" s="169"/>
      <c r="AS90" s="169"/>
      <c r="AT90" s="169"/>
      <c r="AU90" s="169"/>
      <c r="AV90" s="169"/>
      <c r="AW90" s="169"/>
      <c r="AX90" s="169"/>
      <c r="AY90" s="169"/>
      <c r="AZ90" s="169"/>
      <c r="BA90" s="169"/>
      <c r="BB90" s="134"/>
      <c r="BC90" s="140"/>
    </row>
    <row r="91" spans="1:57" x14ac:dyDescent="0.25">
      <c r="D91" s="112"/>
      <c r="E91" s="170"/>
      <c r="F91" s="170"/>
      <c r="G91" s="170"/>
      <c r="H91" s="170"/>
      <c r="I91" s="170"/>
      <c r="J91" s="170"/>
      <c r="K91" s="170"/>
      <c r="L91" s="170"/>
      <c r="M91" s="170"/>
      <c r="N91" s="170"/>
      <c r="O91" s="170"/>
      <c r="P91" s="171"/>
      <c r="Q91" s="170"/>
      <c r="R91" s="170"/>
      <c r="S91" s="170"/>
      <c r="T91" s="170"/>
      <c r="U91" s="170"/>
      <c r="V91" s="170"/>
      <c r="W91" s="170"/>
      <c r="X91" s="170"/>
      <c r="Y91" s="170"/>
      <c r="Z91" s="170"/>
      <c r="AA91" s="170"/>
      <c r="AB91" s="170"/>
      <c r="AC91" s="170"/>
      <c r="AD91" s="170"/>
      <c r="AE91" s="170"/>
      <c r="AF91" s="170"/>
      <c r="AG91" s="170"/>
      <c r="AH91" s="170"/>
      <c r="AI91" s="170"/>
      <c r="AJ91" s="170"/>
      <c r="AK91" s="170"/>
      <c r="AL91" s="170"/>
      <c r="AM91" s="170"/>
      <c r="AN91" s="170"/>
      <c r="AO91" s="170"/>
      <c r="AP91" s="170"/>
      <c r="AQ91" s="170"/>
      <c r="AR91" s="170"/>
      <c r="AS91" s="170"/>
      <c r="AT91" s="170"/>
      <c r="AU91" s="170"/>
      <c r="AV91" s="170"/>
      <c r="AW91" s="170"/>
      <c r="AX91" s="170"/>
      <c r="AY91" s="170"/>
      <c r="AZ91" s="170"/>
      <c r="BA91" s="170"/>
      <c r="BB91" s="113"/>
      <c r="BD91" s="112"/>
      <c r="BE91" s="112"/>
    </row>
    <row r="92" spans="1:57" s="258" customFormat="1" x14ac:dyDescent="0.25">
      <c r="A92" s="115"/>
      <c r="B92" s="116" t="s">
        <v>464</v>
      </c>
      <c r="C92" s="116"/>
      <c r="D92" s="217"/>
      <c r="E92" s="118"/>
      <c r="F92" s="118"/>
      <c r="G92" s="118"/>
      <c r="H92" s="118"/>
      <c r="I92" s="119">
        <f>I84-I88</f>
        <v>121.11894410999967</v>
      </c>
      <c r="J92" s="119">
        <f>J84-J88</f>
        <v>214.76550387699996</v>
      </c>
      <c r="K92" s="119">
        <f t="shared" ref="K92:Z92" si="77">K84-K88</f>
        <v>141.49153793399995</v>
      </c>
      <c r="L92" s="119">
        <f t="shared" si="77"/>
        <v>164.39079412699996</v>
      </c>
      <c r="M92" s="119">
        <f t="shared" si="77"/>
        <v>163.00479829400007</v>
      </c>
      <c r="N92" s="119">
        <f t="shared" si="77"/>
        <v>142.227417237</v>
      </c>
      <c r="O92" s="119">
        <f t="shared" si="77"/>
        <v>157.85956481599999</v>
      </c>
      <c r="P92" s="671">
        <f t="shared" si="77"/>
        <v>184.39927551800002</v>
      </c>
      <c r="Q92" s="172">
        <f t="shared" ca="1" si="77"/>
        <v>229.61098663209702</v>
      </c>
      <c r="R92" s="172">
        <f t="shared" ca="1" si="77"/>
        <v>226.79776694610229</v>
      </c>
      <c r="S92" s="172">
        <f t="shared" ca="1" si="77"/>
        <v>329.50567241642386</v>
      </c>
      <c r="T92" s="172">
        <f t="shared" ca="1" si="77"/>
        <v>380.05354801585207</v>
      </c>
      <c r="U92" s="172">
        <f t="shared" ca="1" si="77"/>
        <v>438.52478762982804</v>
      </c>
      <c r="V92" s="172">
        <f t="shared" ca="1" si="77"/>
        <v>482.05233926565199</v>
      </c>
      <c r="W92" s="172">
        <f t="shared" ca="1" si="77"/>
        <v>534.2002740696314</v>
      </c>
      <c r="X92" s="172">
        <f t="shared" ca="1" si="77"/>
        <v>561.45375147956099</v>
      </c>
      <c r="Y92" s="172">
        <f t="shared" ca="1" si="77"/>
        <v>592.44966018140326</v>
      </c>
      <c r="Z92" s="172">
        <f t="shared" ca="1" si="77"/>
        <v>625.60119530217696</v>
      </c>
      <c r="AA92" s="172"/>
      <c r="AB92" s="173"/>
      <c r="AC92" s="173"/>
      <c r="AD92" s="173"/>
      <c r="AE92" s="173"/>
      <c r="AF92" s="173"/>
      <c r="AG92" s="173"/>
      <c r="AH92" s="173"/>
      <c r="AI92" s="173"/>
      <c r="AJ92" s="173"/>
      <c r="AK92" s="173"/>
      <c r="AL92" s="173"/>
      <c r="AM92" s="173"/>
      <c r="AN92" s="173"/>
      <c r="AO92" s="173"/>
      <c r="AP92" s="173"/>
      <c r="AQ92" s="173"/>
      <c r="AR92" s="173"/>
      <c r="AS92" s="173"/>
      <c r="AT92" s="173"/>
      <c r="AU92" s="173"/>
      <c r="AV92" s="173"/>
      <c r="AW92" s="173"/>
      <c r="AX92" s="173"/>
      <c r="AY92" s="173"/>
      <c r="AZ92" s="173"/>
      <c r="BA92" s="173"/>
      <c r="BB92" s="217"/>
      <c r="BC92" s="123"/>
      <c r="BD92" s="217"/>
      <c r="BE92" s="217"/>
    </row>
    <row r="93" spans="1:57" s="131" customFormat="1" x14ac:dyDescent="0.25">
      <c r="A93" s="125"/>
      <c r="B93" s="126" t="s">
        <v>465</v>
      </c>
      <c r="C93" s="126"/>
      <c r="E93" s="276"/>
      <c r="F93" s="276"/>
      <c r="G93" s="276"/>
      <c r="H93" s="276"/>
      <c r="I93" s="264">
        <f>I94/I7</f>
        <v>4.9398412009275319E-2</v>
      </c>
      <c r="J93" s="264">
        <f>J94/J7</f>
        <v>0.17530904194894578</v>
      </c>
      <c r="K93" s="264">
        <f t="shared" ref="K93:Z93" si="78">K94/K7</f>
        <v>0.10216719655166115</v>
      </c>
      <c r="L93" s="264">
        <f t="shared" si="78"/>
        <v>0.11841777097587865</v>
      </c>
      <c r="M93" s="264">
        <f t="shared" si="78"/>
        <v>0.11634687307225651</v>
      </c>
      <c r="N93" s="264">
        <f t="shared" si="78"/>
        <v>0.11272421797012901</v>
      </c>
      <c r="O93" s="264">
        <f t="shared" si="78"/>
        <v>0.12558913797363375</v>
      </c>
      <c r="P93" s="1798">
        <f t="shared" si="78"/>
        <v>0.118318102542302</v>
      </c>
      <c r="Q93" s="265">
        <f t="shared" ca="1" si="78"/>
        <v>0.13711194859934098</v>
      </c>
      <c r="R93" s="265">
        <f t="shared" ca="1" si="78"/>
        <v>0.12981656666104485</v>
      </c>
      <c r="S93" s="265">
        <f t="shared" ca="1" si="78"/>
        <v>0.14938974920461087</v>
      </c>
      <c r="T93" s="265">
        <f t="shared" ca="1" si="78"/>
        <v>0.16154189385705819</v>
      </c>
      <c r="U93" s="265">
        <f t="shared" ca="1" si="78"/>
        <v>0.17539525044042462</v>
      </c>
      <c r="V93" s="265">
        <f t="shared" ca="1" si="78"/>
        <v>0.18385363325982793</v>
      </c>
      <c r="W93" s="265">
        <f t="shared" ca="1" si="78"/>
        <v>0.19258643924470586</v>
      </c>
      <c r="X93" s="265">
        <f t="shared" ca="1" si="78"/>
        <v>0.19488441646692459</v>
      </c>
      <c r="Y93" s="265">
        <f t="shared" ca="1" si="78"/>
        <v>0.19768499562119821</v>
      </c>
      <c r="Z93" s="265">
        <f t="shared" ca="1" si="78"/>
        <v>0.20034407129630422</v>
      </c>
      <c r="AA93" s="265"/>
      <c r="AB93" s="277"/>
      <c r="AC93" s="277"/>
      <c r="AD93" s="277"/>
      <c r="AE93" s="277"/>
      <c r="AF93" s="277"/>
      <c r="AG93" s="277"/>
      <c r="AH93" s="277"/>
      <c r="AI93" s="277"/>
      <c r="AJ93" s="277"/>
      <c r="AK93" s="277"/>
      <c r="AL93" s="277"/>
      <c r="AM93" s="277"/>
      <c r="AN93" s="277"/>
      <c r="AO93" s="277"/>
      <c r="AP93" s="277"/>
      <c r="AQ93" s="277"/>
      <c r="AR93" s="277"/>
      <c r="AS93" s="277"/>
      <c r="AT93" s="277"/>
      <c r="AU93" s="277"/>
      <c r="AV93" s="277"/>
      <c r="AW93" s="277"/>
      <c r="AX93" s="277"/>
      <c r="AY93" s="277"/>
      <c r="AZ93" s="277"/>
      <c r="BA93" s="277"/>
      <c r="BB93" s="278"/>
      <c r="BC93" s="130"/>
    </row>
    <row r="94" spans="1:57" s="281" customFormat="1" x14ac:dyDescent="0.25">
      <c r="A94" s="132"/>
      <c r="B94" s="133" t="s">
        <v>466</v>
      </c>
      <c r="C94" s="133"/>
      <c r="D94" s="279"/>
      <c r="E94" s="166"/>
      <c r="F94" s="166"/>
      <c r="G94" s="166"/>
      <c r="H94" s="166"/>
      <c r="I94" s="167">
        <f>I86-I90</f>
        <v>121.11894410999967</v>
      </c>
      <c r="J94" s="167">
        <f>J86-J90</f>
        <v>214.76550387699996</v>
      </c>
      <c r="K94" s="167">
        <f t="shared" ref="K94:Z94" si="79">K86-K90</f>
        <v>141.49153793399995</v>
      </c>
      <c r="L94" s="167">
        <f t="shared" si="79"/>
        <v>164.39079412699996</v>
      </c>
      <c r="M94" s="167">
        <f t="shared" si="79"/>
        <v>163.00479829400007</v>
      </c>
      <c r="N94" s="167">
        <f t="shared" si="79"/>
        <v>142.227417237</v>
      </c>
      <c r="O94" s="167">
        <f t="shared" si="79"/>
        <v>157.85956481599999</v>
      </c>
      <c r="P94" s="743">
        <f t="shared" si="79"/>
        <v>184.39927551800002</v>
      </c>
      <c r="Q94" s="168">
        <f t="shared" ca="1" si="79"/>
        <v>229.61098663209702</v>
      </c>
      <c r="R94" s="168">
        <f t="shared" ca="1" si="79"/>
        <v>226.79776694610229</v>
      </c>
      <c r="S94" s="168">
        <f t="shared" ca="1" si="79"/>
        <v>329.50567241642386</v>
      </c>
      <c r="T94" s="168">
        <f t="shared" ca="1" si="79"/>
        <v>380.05354801585213</v>
      </c>
      <c r="U94" s="168">
        <f t="shared" ca="1" si="79"/>
        <v>438.52478762982804</v>
      </c>
      <c r="V94" s="168">
        <f t="shared" ca="1" si="79"/>
        <v>482.05233926565199</v>
      </c>
      <c r="W94" s="168">
        <f t="shared" ca="1" si="79"/>
        <v>534.2002740696314</v>
      </c>
      <c r="X94" s="168">
        <f t="shared" ca="1" si="79"/>
        <v>561.45375147956099</v>
      </c>
      <c r="Y94" s="168">
        <f t="shared" ca="1" si="79"/>
        <v>592.44966018140326</v>
      </c>
      <c r="Z94" s="168">
        <f t="shared" ca="1" si="79"/>
        <v>625.60119530217696</v>
      </c>
      <c r="AA94" s="168"/>
      <c r="AB94" s="169"/>
      <c r="AC94" s="169"/>
      <c r="AD94" s="169"/>
      <c r="AE94" s="169"/>
      <c r="AF94" s="169"/>
      <c r="AG94" s="169"/>
      <c r="AH94" s="169"/>
      <c r="AI94" s="169"/>
      <c r="AJ94" s="169"/>
      <c r="AK94" s="169"/>
      <c r="AL94" s="169"/>
      <c r="AM94" s="169"/>
      <c r="AN94" s="169"/>
      <c r="AO94" s="169"/>
      <c r="AP94" s="169"/>
      <c r="AQ94" s="169"/>
      <c r="AR94" s="169"/>
      <c r="AS94" s="169"/>
      <c r="AT94" s="169"/>
      <c r="AU94" s="169"/>
      <c r="AV94" s="169"/>
      <c r="AW94" s="169"/>
      <c r="AX94" s="169"/>
      <c r="AY94" s="169"/>
      <c r="AZ94" s="169"/>
      <c r="BA94" s="169"/>
      <c r="BB94" s="279"/>
      <c r="BC94" s="140"/>
      <c r="BD94" s="280"/>
      <c r="BE94" s="280"/>
    </row>
    <row r="95" spans="1:57" s="289" customFormat="1" x14ac:dyDescent="0.25">
      <c r="A95" s="282"/>
      <c r="B95" s="269" t="s">
        <v>467</v>
      </c>
      <c r="C95" s="283"/>
      <c r="D95" s="284"/>
      <c r="E95" s="285"/>
      <c r="F95" s="285"/>
      <c r="G95" s="285"/>
      <c r="H95" s="285"/>
      <c r="I95" s="285"/>
      <c r="J95" s="285"/>
      <c r="K95" s="285"/>
      <c r="L95" s="285"/>
      <c r="M95" s="285"/>
      <c r="N95" s="270"/>
      <c r="O95" s="270"/>
      <c r="P95" s="286"/>
      <c r="Q95" s="287"/>
      <c r="R95" s="287"/>
      <c r="S95" s="287"/>
      <c r="T95" s="287"/>
      <c r="U95" s="287"/>
      <c r="V95" s="287"/>
      <c r="W95" s="287"/>
      <c r="X95" s="287"/>
      <c r="Y95" s="287"/>
      <c r="Z95" s="287"/>
      <c r="AA95" s="287"/>
      <c r="AB95" s="287"/>
      <c r="AC95" s="287"/>
      <c r="AD95" s="287"/>
      <c r="AE95" s="287"/>
      <c r="AF95" s="287"/>
      <c r="AG95" s="287"/>
      <c r="AH95" s="287"/>
      <c r="AI95" s="287"/>
      <c r="AJ95" s="287"/>
      <c r="AK95" s="287"/>
      <c r="AL95" s="287"/>
      <c r="AM95" s="287"/>
      <c r="AN95" s="287"/>
      <c r="AO95" s="287"/>
      <c r="AP95" s="287"/>
      <c r="AQ95" s="287"/>
      <c r="AR95" s="287"/>
      <c r="AS95" s="287"/>
      <c r="AT95" s="287"/>
      <c r="AU95" s="287"/>
      <c r="AV95" s="287"/>
      <c r="AW95" s="287"/>
      <c r="AX95" s="287"/>
      <c r="AY95" s="287"/>
      <c r="AZ95" s="287"/>
      <c r="BA95" s="287"/>
      <c r="BB95" s="284"/>
      <c r="BC95" s="288"/>
      <c r="BD95" s="284"/>
      <c r="BE95" s="284"/>
    </row>
    <row r="96" spans="1:57" s="297" customFormat="1" x14ac:dyDescent="0.25">
      <c r="A96" s="290"/>
      <c r="B96" s="291" t="s">
        <v>468</v>
      </c>
      <c r="C96" s="291"/>
      <c r="D96" s="292"/>
      <c r="E96" s="293"/>
      <c r="F96" s="293"/>
      <c r="G96" s="293"/>
      <c r="H96" s="293"/>
      <c r="I96" s="293">
        <f>IF(ISTEXT('IS Raw'!I11), Input!I94 - 'IS Raw'!I41, "Chưa có BCTC")</f>
        <v>-3.2684965844964609E-13</v>
      </c>
      <c r="J96" s="293">
        <f>IF(ISTEXT('IS Raw'!J11), Input!J94 - 'IS Raw'!J41, "Chưa có BCTC")</f>
        <v>-2.8421709430404007E-14</v>
      </c>
      <c r="K96" s="293">
        <f>IF(ISTEXT('IS Raw'!K11), Input!K94 - 'IS Raw'!K41, "Chưa có BCTC")</f>
        <v>-5.6843418860808015E-14</v>
      </c>
      <c r="L96" s="293">
        <f>IF(ISTEXT('IS Raw'!L11), Input!L94 - 'IS Raw'!L41, "Chưa có BCTC")</f>
        <v>-2.8421709430404007E-14</v>
      </c>
      <c r="M96" s="293">
        <f>IF(ISTEXT('IS Raw'!M11), Input!M94 - 'IS Raw'!M41, "Chưa có BCTC")</f>
        <v>5.6843418860808015E-14</v>
      </c>
      <c r="N96" s="293">
        <f>IF(ISTEXT('IS Raw'!N11), Input!N94 - 'IS Raw'!N41, "Chưa có BCTC")</f>
        <v>0</v>
      </c>
      <c r="O96" s="293">
        <f>IF(ISTEXT('IS Raw'!O11), Input!O94 - 'IS Raw'!O41, "Chưa có BCTC")</f>
        <v>0</v>
      </c>
      <c r="P96" s="1799">
        <f>IF(ISTEXT('IS Raw'!P11), Input!P94 - 'IS Raw'!P41, "Chưa có BCTC")</f>
        <v>-7.2448199998120799E-4</v>
      </c>
      <c r="Q96" s="293" t="str">
        <f>IF(ISTEXT('IS Raw'!Q11), Input!Q94 - 'IS Raw'!Q41, "Chưa có BCTC")</f>
        <v>Chưa có BCTC</v>
      </c>
      <c r="R96" s="293" t="str">
        <f>IF(ISTEXT('IS Raw'!R11), Input!R94 - 'IS Raw'!R41, "Chưa có BCTC")</f>
        <v>Chưa có BCTC</v>
      </c>
      <c r="S96" s="293" t="str">
        <f>IF(ISTEXT('IS Raw'!S11), Input!S94 - 'IS Raw'!S41, "Chưa có BCTC")</f>
        <v>Chưa có BCTC</v>
      </c>
      <c r="T96" s="293" t="str">
        <f>IF(ISTEXT('IS Raw'!T11), Input!T94 - 'IS Raw'!T41, "Chưa có BCTC")</f>
        <v>Chưa có BCTC</v>
      </c>
      <c r="U96" s="293" t="str">
        <f>IF(ISTEXT('IS Raw'!U11), Input!U94 - 'IS Raw'!U41, "Chưa có BCTC")</f>
        <v>Chưa có BCTC</v>
      </c>
      <c r="V96" s="293" t="str">
        <f>IF(ISTEXT('IS Raw'!V11), Input!V94 - 'IS Raw'!V41, "Chưa có BCTC")</f>
        <v>Chưa có BCTC</v>
      </c>
      <c r="W96" s="293" t="str">
        <f>IF(ISTEXT('IS Raw'!W11), Input!W94 - 'IS Raw'!W41, "Chưa có BCTC")</f>
        <v>Chưa có BCTC</v>
      </c>
      <c r="X96" s="293" t="str">
        <f>IF(ISTEXT('IS Raw'!X11), Input!X94 - 'IS Raw'!X41, "Chưa có BCTC")</f>
        <v>Chưa có BCTC</v>
      </c>
      <c r="Y96" s="293" t="str">
        <f>IF(ISTEXT('IS Raw'!Y11), Input!Y94 - 'IS Raw'!Y41, "Chưa có BCTC")</f>
        <v>Chưa có BCTC</v>
      </c>
      <c r="Z96" s="293" t="str">
        <f>IF(ISTEXT('IS Raw'!Z11), Input!Z94 - 'IS Raw'!Z41, "Chưa có BCTC")</f>
        <v>Chưa có BCTC</v>
      </c>
      <c r="AA96" s="294"/>
      <c r="AB96" s="295"/>
      <c r="AC96" s="295"/>
      <c r="AD96" s="295"/>
      <c r="AE96" s="295"/>
      <c r="AF96" s="295"/>
      <c r="AG96" s="295"/>
      <c r="AH96" s="295"/>
      <c r="AI96" s="295"/>
      <c r="AJ96" s="293"/>
      <c r="AK96" s="293"/>
      <c r="AL96" s="293"/>
      <c r="AM96" s="293"/>
      <c r="AN96" s="293"/>
      <c r="AO96" s="293"/>
      <c r="AP96" s="293"/>
      <c r="AQ96" s="293"/>
      <c r="AR96" s="293"/>
      <c r="AS96" s="293"/>
      <c r="AT96" s="293"/>
      <c r="AU96" s="293"/>
      <c r="AV96" s="293"/>
      <c r="AW96" s="293"/>
      <c r="AX96" s="293"/>
      <c r="AY96" s="293"/>
      <c r="AZ96" s="293"/>
      <c r="BA96" s="293"/>
      <c r="BB96" s="292"/>
      <c r="BC96" s="296"/>
      <c r="BD96" s="292"/>
      <c r="BE96" s="292"/>
    </row>
    <row r="97" spans="1:57" s="281" customFormat="1" x14ac:dyDescent="0.25">
      <c r="A97" s="132"/>
      <c r="B97" s="185"/>
      <c r="C97" s="185"/>
      <c r="D97" s="280"/>
      <c r="E97" s="280"/>
      <c r="F97" s="280"/>
      <c r="G97" s="280"/>
      <c r="H97" s="280"/>
      <c r="I97" s="280"/>
      <c r="J97" s="280"/>
      <c r="K97" s="280"/>
      <c r="L97" s="280"/>
      <c r="M97" s="280"/>
      <c r="N97" s="280"/>
      <c r="O97" s="280"/>
      <c r="P97" s="298"/>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c r="BA97" s="280"/>
      <c r="BB97" s="280"/>
      <c r="BC97" s="123"/>
      <c r="BD97" s="280"/>
      <c r="BE97" s="280"/>
    </row>
    <row r="98" spans="1:57" s="258" customFormat="1" x14ac:dyDescent="0.25">
      <c r="A98" s="115">
        <v>12</v>
      </c>
      <c r="B98" s="116" t="s">
        <v>469</v>
      </c>
      <c r="C98" s="116"/>
      <c r="D98" s="217"/>
      <c r="E98" s="157"/>
      <c r="F98" s="157"/>
      <c r="G98" s="157"/>
      <c r="H98" s="157"/>
      <c r="I98" s="158">
        <f>'IS Raw'!I42/Input!$B$1</f>
        <v>9.6224834220000002</v>
      </c>
      <c r="J98" s="158">
        <f>'IS Raw'!J42/Input!$B$1</f>
        <v>0</v>
      </c>
      <c r="K98" s="158">
        <f>'IS Raw'!K42/Input!$B$1</f>
        <v>0</v>
      </c>
      <c r="L98" s="158">
        <f>'IS Raw'!L42/Input!$B$1</f>
        <v>0</v>
      </c>
      <c r="M98" s="158">
        <f>'IS Raw'!M42/Input!$B$1</f>
        <v>0</v>
      </c>
      <c r="N98" s="158">
        <f>'IS Raw'!N42/Input!$B$1</f>
        <v>0</v>
      </c>
      <c r="O98" s="158">
        <f>'IS Raw'!O42/Input!$B$1</f>
        <v>0</v>
      </c>
      <c r="P98" s="1783">
        <f>'IS Raw'!P42/Input!$B$1</f>
        <v>0</v>
      </c>
      <c r="Q98" s="120">
        <f ca="1">Q99*Q92</f>
        <v>0</v>
      </c>
      <c r="R98" s="120">
        <f t="shared" ref="R98:Z98" ca="1" si="80">R99*R92</f>
        <v>0</v>
      </c>
      <c r="S98" s="120">
        <f t="shared" ca="1" si="80"/>
        <v>0</v>
      </c>
      <c r="T98" s="120">
        <f t="shared" ca="1" si="80"/>
        <v>0</v>
      </c>
      <c r="U98" s="120">
        <f t="shared" ca="1" si="80"/>
        <v>0</v>
      </c>
      <c r="V98" s="120">
        <f t="shared" ca="1" si="80"/>
        <v>0</v>
      </c>
      <c r="W98" s="120">
        <f t="shared" ca="1" si="80"/>
        <v>0</v>
      </c>
      <c r="X98" s="120">
        <f t="shared" ca="1" si="80"/>
        <v>0</v>
      </c>
      <c r="Y98" s="120">
        <f t="shared" ca="1" si="80"/>
        <v>0</v>
      </c>
      <c r="Z98" s="120">
        <f t="shared" ca="1" si="80"/>
        <v>0</v>
      </c>
      <c r="AA98" s="120"/>
      <c r="AB98" s="121"/>
      <c r="AC98" s="121"/>
      <c r="AD98" s="121"/>
      <c r="AE98" s="121"/>
      <c r="AF98" s="121"/>
      <c r="AG98" s="121"/>
      <c r="AH98" s="121"/>
      <c r="AI98" s="121"/>
      <c r="AJ98" s="121"/>
      <c r="AK98" s="121"/>
      <c r="AL98" s="121"/>
      <c r="AM98" s="121"/>
      <c r="AN98" s="121"/>
      <c r="AO98" s="121"/>
      <c r="AP98" s="121"/>
      <c r="AQ98" s="121"/>
      <c r="AR98" s="121"/>
      <c r="AS98" s="121"/>
      <c r="AT98" s="121"/>
      <c r="AU98" s="121"/>
      <c r="AV98" s="121"/>
      <c r="AW98" s="121"/>
      <c r="AX98" s="121"/>
      <c r="AY98" s="121"/>
      <c r="AZ98" s="121"/>
      <c r="BA98" s="121"/>
      <c r="BB98" s="230"/>
      <c r="BC98" s="2371"/>
      <c r="BD98" s="217"/>
      <c r="BE98" s="217"/>
    </row>
    <row r="99" spans="1:57" s="180" customFormat="1" x14ac:dyDescent="0.25">
      <c r="A99" s="174"/>
      <c r="B99" s="175" t="s">
        <v>470</v>
      </c>
      <c r="C99" s="175"/>
      <c r="E99" s="198"/>
      <c r="F99" s="157"/>
      <c r="G99" s="198"/>
      <c r="H99" s="198"/>
      <c r="I99" s="264">
        <f>I98/I92</f>
        <v>7.9446559683189644E-2</v>
      </c>
      <c r="J99" s="264">
        <f>J98/J92</f>
        <v>0</v>
      </c>
      <c r="K99" s="264">
        <f t="shared" ref="K99:P99" si="81">K98/K92</f>
        <v>0</v>
      </c>
      <c r="L99" s="264">
        <f t="shared" si="81"/>
        <v>0</v>
      </c>
      <c r="M99" s="264">
        <f t="shared" si="81"/>
        <v>0</v>
      </c>
      <c r="N99" s="264">
        <f t="shared" si="81"/>
        <v>0</v>
      </c>
      <c r="O99" s="264">
        <f t="shared" si="81"/>
        <v>0</v>
      </c>
      <c r="P99" s="1798">
        <f t="shared" si="81"/>
        <v>0</v>
      </c>
      <c r="Q99" s="260">
        <f>P99</f>
        <v>0</v>
      </c>
      <c r="R99" s="260">
        <f t="shared" ref="R99:Z99" si="82">Q99</f>
        <v>0</v>
      </c>
      <c r="S99" s="260">
        <f t="shared" si="82"/>
        <v>0</v>
      </c>
      <c r="T99" s="260">
        <f t="shared" si="82"/>
        <v>0</v>
      </c>
      <c r="U99" s="260">
        <f t="shared" si="82"/>
        <v>0</v>
      </c>
      <c r="V99" s="260">
        <f t="shared" si="82"/>
        <v>0</v>
      </c>
      <c r="W99" s="260">
        <f t="shared" si="82"/>
        <v>0</v>
      </c>
      <c r="X99" s="260">
        <f t="shared" si="82"/>
        <v>0</v>
      </c>
      <c r="Y99" s="260">
        <f t="shared" si="82"/>
        <v>0</v>
      </c>
      <c r="Z99" s="260">
        <f t="shared" si="82"/>
        <v>0</v>
      </c>
      <c r="AA99" s="260"/>
      <c r="AB99" s="261"/>
      <c r="AC99" s="261"/>
      <c r="AD99" s="261"/>
      <c r="AE99" s="261"/>
      <c r="AF99" s="261"/>
      <c r="AG99" s="261"/>
      <c r="AH99" s="261"/>
      <c r="AI99" s="261"/>
      <c r="AJ99" s="261"/>
      <c r="AK99" s="261"/>
      <c r="AL99" s="261"/>
      <c r="AM99" s="261"/>
      <c r="AN99" s="261"/>
      <c r="AO99" s="261"/>
      <c r="AP99" s="261"/>
      <c r="AQ99" s="261"/>
      <c r="AR99" s="261"/>
      <c r="AS99" s="261"/>
      <c r="AT99" s="261"/>
      <c r="AU99" s="261"/>
      <c r="AV99" s="261"/>
      <c r="AW99" s="261"/>
      <c r="AX99" s="261"/>
      <c r="AY99" s="261"/>
      <c r="AZ99" s="261"/>
      <c r="BA99" s="261"/>
      <c r="BB99" s="198"/>
      <c r="BC99" s="2372"/>
    </row>
    <row r="100" spans="1:57" s="124" customFormat="1" x14ac:dyDescent="0.25">
      <c r="A100" s="262"/>
      <c r="B100" s="133" t="s">
        <v>471</v>
      </c>
      <c r="C100" s="133"/>
      <c r="D100" s="134"/>
      <c r="E100" s="135"/>
      <c r="F100" s="135"/>
      <c r="G100" s="135"/>
      <c r="H100" s="135"/>
      <c r="I100" s="136">
        <f>IF(ISTEXT('IS Raw'!I11),'IS Raw'!I42, Input!I98)</f>
        <v>9.6224834220000002</v>
      </c>
      <c r="J100" s="136">
        <f>IF(ISTEXT('IS Raw'!J11),'IS Raw'!J42, Input!J98)</f>
        <v>0</v>
      </c>
      <c r="K100" s="136">
        <f>IF(ISTEXT('IS Raw'!K11),'IS Raw'!K42, Input!K98)</f>
        <v>0</v>
      </c>
      <c r="L100" s="136">
        <f>IF(ISTEXT('IS Raw'!L11),'IS Raw'!L42, Input!L98)</f>
        <v>0</v>
      </c>
      <c r="M100" s="136">
        <f>IF(ISTEXT('IS Raw'!M11),'IS Raw'!M42, Input!M98)</f>
        <v>0</v>
      </c>
      <c r="N100" s="136">
        <f>IF(ISTEXT('IS Raw'!N11),'IS Raw'!N42, Input!N98)</f>
        <v>0</v>
      </c>
      <c r="O100" s="136">
        <f>IF(ISTEXT('IS Raw'!O11),'IS Raw'!O42, Input!O98)</f>
        <v>0</v>
      </c>
      <c r="P100" s="1782">
        <f>IF(ISTEXT('IS Raw'!P11),'IS Raw'!P42, Input!P98)</f>
        <v>0</v>
      </c>
      <c r="Q100" s="137">
        <f ca="1">IF(ISTEXT('IS Raw'!Q11),'IS Raw'!Q42, Input!Q98)</f>
        <v>0</v>
      </c>
      <c r="R100" s="137">
        <f ca="1">IF(ISTEXT('IS Raw'!R11),'IS Raw'!R42, Input!R98)</f>
        <v>0</v>
      </c>
      <c r="S100" s="137">
        <f ca="1">IF(ISTEXT('IS Raw'!S11),'IS Raw'!S42, Input!S98)</f>
        <v>0</v>
      </c>
      <c r="T100" s="137">
        <f ca="1">IF(ISTEXT('IS Raw'!T11),'IS Raw'!T42, Input!T98)</f>
        <v>0</v>
      </c>
      <c r="U100" s="137">
        <f ca="1">IF(ISTEXT('IS Raw'!U11),'IS Raw'!U42, Input!U98)</f>
        <v>0</v>
      </c>
      <c r="V100" s="137">
        <f ca="1">IF(ISTEXT('IS Raw'!V11),'IS Raw'!V42, Input!V98)</f>
        <v>0</v>
      </c>
      <c r="W100" s="137">
        <f ca="1">IF(ISTEXT('IS Raw'!W11),'IS Raw'!W42, Input!W98)</f>
        <v>0</v>
      </c>
      <c r="X100" s="137">
        <f ca="1">IF(ISTEXT('IS Raw'!X11),'IS Raw'!X42, Input!X98)</f>
        <v>0</v>
      </c>
      <c r="Y100" s="137">
        <f ca="1">IF(ISTEXT('IS Raw'!Y11),'IS Raw'!Y42, Input!Y98)</f>
        <v>0</v>
      </c>
      <c r="Z100" s="137">
        <f ca="1">IF(ISTEXT('IS Raw'!Z11),'IS Raw'!Z42, Input!Z98)</f>
        <v>0</v>
      </c>
      <c r="AA100" s="137"/>
      <c r="AB100" s="138"/>
      <c r="AC100" s="138"/>
      <c r="AD100" s="138"/>
      <c r="AE100" s="138"/>
      <c r="AF100" s="138"/>
      <c r="AG100" s="138"/>
      <c r="AH100" s="138"/>
      <c r="AI100" s="138"/>
      <c r="AJ100" s="138"/>
      <c r="AK100" s="138"/>
      <c r="AL100" s="138"/>
      <c r="AM100" s="138"/>
      <c r="AN100" s="138"/>
      <c r="AO100" s="138"/>
      <c r="AP100" s="138"/>
      <c r="AQ100" s="138"/>
      <c r="AR100" s="138"/>
      <c r="AS100" s="138"/>
      <c r="AT100" s="138"/>
      <c r="AU100" s="138"/>
      <c r="AV100" s="138"/>
      <c r="AW100" s="138"/>
      <c r="AX100" s="138"/>
      <c r="AY100" s="138"/>
      <c r="AZ100" s="138"/>
      <c r="BA100" s="138"/>
      <c r="BB100" s="139"/>
      <c r="BC100" s="140"/>
    </row>
    <row r="101" spans="1:57" x14ac:dyDescent="0.25">
      <c r="D101" s="112"/>
      <c r="E101" s="230"/>
      <c r="F101" s="230"/>
      <c r="G101" s="230"/>
      <c r="H101" s="230"/>
      <c r="I101" s="230"/>
      <c r="J101" s="230"/>
      <c r="K101" s="230"/>
      <c r="L101" s="230"/>
      <c r="M101" s="230"/>
      <c r="N101" s="113"/>
      <c r="O101" s="113"/>
      <c r="P101" s="299"/>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c r="AO101" s="113"/>
      <c r="AP101" s="113"/>
      <c r="AQ101" s="113"/>
      <c r="AR101" s="113"/>
      <c r="AS101" s="113"/>
      <c r="AT101" s="113"/>
      <c r="AU101" s="113"/>
      <c r="AV101" s="113"/>
      <c r="AW101" s="113"/>
      <c r="AX101" s="113"/>
      <c r="AY101" s="113"/>
      <c r="AZ101" s="113"/>
      <c r="BA101" s="113"/>
      <c r="BB101" s="113"/>
      <c r="BD101" s="112"/>
      <c r="BE101" s="112"/>
    </row>
    <row r="102" spans="1:57" s="124" customFormat="1" x14ac:dyDescent="0.25">
      <c r="A102" s="115">
        <v>13</v>
      </c>
      <c r="B102" s="116" t="s">
        <v>472</v>
      </c>
      <c r="C102" s="116"/>
      <c r="D102" s="122"/>
      <c r="E102" s="157"/>
      <c r="F102" s="157"/>
      <c r="G102" s="157"/>
      <c r="H102" s="157"/>
      <c r="I102" s="158">
        <f>'IS Raw'!I43/Input!$B$1</f>
        <v>111.496460688</v>
      </c>
      <c r="J102" s="158">
        <f>'IS Raw'!J43/Input!$B$1</f>
        <v>214.76550387699999</v>
      </c>
      <c r="K102" s="158">
        <f>'IS Raw'!K43/Input!$B$1</f>
        <v>141.49153793400001</v>
      </c>
      <c r="L102" s="158">
        <f>'IS Raw'!L43/Input!$B$1</f>
        <v>164.39079412699999</v>
      </c>
      <c r="M102" s="158">
        <f>'IS Raw'!M43/Input!$B$1</f>
        <v>163.00479829400001</v>
      </c>
      <c r="N102" s="158">
        <f>'IS Raw'!N43/Input!$B$1</f>
        <v>142.227417237</v>
      </c>
      <c r="O102" s="158">
        <f>'IS Raw'!O43/Input!$B$1</f>
        <v>157.85956481599999</v>
      </c>
      <c r="P102" s="1783">
        <f>'IS Raw'!P43/Input!$B$1</f>
        <v>184.4</v>
      </c>
      <c r="Q102" s="120">
        <f ca="1">Q92-Q98</f>
        <v>229.61098663209702</v>
      </c>
      <c r="R102" s="120">
        <f t="shared" ref="R102:Z102" ca="1" si="83">R92-R98</f>
        <v>226.79776694610229</v>
      </c>
      <c r="S102" s="120">
        <f t="shared" ca="1" si="83"/>
        <v>329.50567241642386</v>
      </c>
      <c r="T102" s="120">
        <f t="shared" ca="1" si="83"/>
        <v>380.05354801585207</v>
      </c>
      <c r="U102" s="120">
        <f t="shared" ca="1" si="83"/>
        <v>438.52478762982804</v>
      </c>
      <c r="V102" s="120">
        <f t="shared" ca="1" si="83"/>
        <v>482.05233926565199</v>
      </c>
      <c r="W102" s="120">
        <f t="shared" ca="1" si="83"/>
        <v>534.2002740696314</v>
      </c>
      <c r="X102" s="120">
        <f t="shared" ca="1" si="83"/>
        <v>561.45375147956099</v>
      </c>
      <c r="Y102" s="120">
        <f t="shared" ca="1" si="83"/>
        <v>592.44966018140326</v>
      </c>
      <c r="Z102" s="120">
        <f t="shared" ca="1" si="83"/>
        <v>625.60119530217696</v>
      </c>
      <c r="AA102" s="120"/>
      <c r="AB102" s="121"/>
      <c r="AC102" s="121"/>
      <c r="AD102" s="121"/>
      <c r="AE102" s="121"/>
      <c r="AF102" s="121"/>
      <c r="AG102" s="121"/>
      <c r="AH102" s="121"/>
      <c r="AI102" s="121"/>
      <c r="AJ102" s="121"/>
      <c r="AK102" s="121"/>
      <c r="AL102" s="121"/>
      <c r="AM102" s="121"/>
      <c r="AN102" s="121"/>
      <c r="AO102" s="121"/>
      <c r="AP102" s="121"/>
      <c r="AQ102" s="121"/>
      <c r="AR102" s="121"/>
      <c r="AS102" s="121"/>
      <c r="AT102" s="121"/>
      <c r="AU102" s="121"/>
      <c r="AV102" s="121"/>
      <c r="AW102" s="121"/>
      <c r="AX102" s="121"/>
      <c r="AY102" s="121"/>
      <c r="AZ102" s="121"/>
      <c r="BA102" s="121"/>
      <c r="BB102" s="122"/>
      <c r="BC102" s="123"/>
    </row>
    <row r="103" spans="1:57" x14ac:dyDescent="0.25">
      <c r="B103" s="147" t="s">
        <v>473</v>
      </c>
      <c r="C103" s="147"/>
      <c r="D103" s="112"/>
      <c r="E103" s="157"/>
      <c r="F103" s="157"/>
      <c r="G103" s="157"/>
      <c r="H103" s="157"/>
      <c r="I103" s="157"/>
      <c r="J103" s="157"/>
      <c r="K103" s="157"/>
      <c r="L103" s="157"/>
      <c r="M103" s="157"/>
      <c r="N103" s="157"/>
      <c r="O103" s="157"/>
      <c r="P103" s="300"/>
      <c r="Q103" s="121"/>
      <c r="R103" s="121"/>
      <c r="S103" s="121"/>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21"/>
      <c r="AP103" s="121"/>
      <c r="AQ103" s="121"/>
      <c r="AR103" s="121"/>
      <c r="AS103" s="121"/>
      <c r="AT103" s="121"/>
      <c r="AU103" s="121"/>
      <c r="AV103" s="121"/>
      <c r="AW103" s="121"/>
      <c r="AX103" s="121"/>
      <c r="AY103" s="121"/>
      <c r="AZ103" s="121"/>
      <c r="BA103" s="121"/>
      <c r="BB103" s="230"/>
      <c r="BD103" s="112"/>
      <c r="BE103" s="112"/>
    </row>
    <row r="104" spans="1:57" x14ac:dyDescent="0.25">
      <c r="B104" s="147" t="s">
        <v>474</v>
      </c>
      <c r="C104" s="147"/>
      <c r="D104" s="112"/>
      <c r="E104" s="157"/>
      <c r="F104" s="157"/>
      <c r="G104" s="157"/>
      <c r="H104" s="157"/>
      <c r="I104" s="157"/>
      <c r="J104" s="157"/>
      <c r="K104" s="157"/>
      <c r="L104" s="157"/>
      <c r="M104" s="157"/>
      <c r="N104" s="157"/>
      <c r="O104" s="157"/>
      <c r="P104" s="300"/>
      <c r="Q104" s="121"/>
      <c r="R104" s="121"/>
      <c r="S104" s="121"/>
      <c r="T104" s="121"/>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21"/>
      <c r="AP104" s="121"/>
      <c r="AQ104" s="121"/>
      <c r="AR104" s="121"/>
      <c r="AS104" s="121"/>
      <c r="AT104" s="121"/>
      <c r="AU104" s="121"/>
      <c r="AV104" s="121"/>
      <c r="AW104" s="121"/>
      <c r="AX104" s="121"/>
      <c r="AY104" s="121"/>
      <c r="AZ104" s="121"/>
      <c r="BA104" s="121"/>
      <c r="BB104" s="230"/>
      <c r="BD104" s="112"/>
      <c r="BE104" s="112"/>
    </row>
    <row r="105" spans="1:57" x14ac:dyDescent="0.25">
      <c r="B105" s="147" t="s">
        <v>475</v>
      </c>
      <c r="C105" s="147"/>
      <c r="D105" s="112"/>
      <c r="E105" s="157"/>
      <c r="F105" s="157"/>
      <c r="G105" s="157"/>
      <c r="H105" s="157"/>
      <c r="I105" s="157"/>
      <c r="J105" s="157"/>
      <c r="K105" s="157"/>
      <c r="L105" s="157"/>
      <c r="M105" s="157"/>
      <c r="N105" s="157"/>
      <c r="O105" s="157"/>
      <c r="P105" s="300"/>
      <c r="Q105" s="121"/>
      <c r="R105" s="121"/>
      <c r="S105" s="121"/>
      <c r="T105" s="121"/>
      <c r="U105" s="121"/>
      <c r="V105" s="121"/>
      <c r="W105" s="121"/>
      <c r="X105" s="121"/>
      <c r="Y105" s="121"/>
      <c r="Z105" s="121"/>
      <c r="AA105" s="121"/>
      <c r="AB105" s="121"/>
      <c r="AC105" s="121"/>
      <c r="AD105" s="121"/>
      <c r="AE105" s="121"/>
      <c r="AF105" s="121"/>
      <c r="AG105" s="121"/>
      <c r="AH105" s="121"/>
      <c r="AI105" s="121"/>
      <c r="AJ105" s="121"/>
      <c r="AK105" s="121"/>
      <c r="AL105" s="121"/>
      <c r="AM105" s="121"/>
      <c r="AN105" s="121"/>
      <c r="AO105" s="121"/>
      <c r="AP105" s="121"/>
      <c r="AQ105" s="121"/>
      <c r="AR105" s="121"/>
      <c r="AS105" s="121"/>
      <c r="AT105" s="121"/>
      <c r="AU105" s="121"/>
      <c r="AV105" s="121"/>
      <c r="AW105" s="121"/>
      <c r="AX105" s="121"/>
      <c r="AY105" s="121"/>
      <c r="AZ105" s="121"/>
      <c r="BA105" s="121"/>
      <c r="BB105" s="230"/>
      <c r="BD105" s="112"/>
      <c r="BE105" s="112"/>
    </row>
    <row r="106" spans="1:57" s="42" customFormat="1" x14ac:dyDescent="0.25">
      <c r="A106" s="301"/>
      <c r="B106" s="133" t="s">
        <v>476</v>
      </c>
      <c r="C106" s="133"/>
      <c r="D106" s="213"/>
      <c r="E106" s="135"/>
      <c r="F106" s="135"/>
      <c r="G106" s="135"/>
      <c r="H106" s="135"/>
      <c r="I106" s="136">
        <f>IF(ISTEXT('IS Raw'!I11), 'IS Raw'!I43/Input!$B$1, Input!I102)</f>
        <v>111.496460688</v>
      </c>
      <c r="J106" s="136">
        <f>IF(ISTEXT('IS Raw'!J11), 'IS Raw'!J43/Input!$B$1, Input!J102)</f>
        <v>214.76550387699999</v>
      </c>
      <c r="K106" s="136">
        <f>IF(ISTEXT('IS Raw'!K11), 'IS Raw'!K43/Input!$B$1, Input!K102)</f>
        <v>141.49153793400001</v>
      </c>
      <c r="L106" s="136">
        <f>IF(ISTEXT('IS Raw'!L11), 'IS Raw'!L43/Input!$B$1, Input!L102)</f>
        <v>164.39079412699999</v>
      </c>
      <c r="M106" s="136">
        <f>IF(ISTEXT('IS Raw'!M11), 'IS Raw'!M43/Input!$B$1, Input!M102)</f>
        <v>163.00479829400001</v>
      </c>
      <c r="N106" s="136">
        <f>IF(ISTEXT('IS Raw'!N11), 'IS Raw'!N43/Input!$B$1, Input!N102)</f>
        <v>142.227417237</v>
      </c>
      <c r="O106" s="136">
        <f>IF(ISTEXT('IS Raw'!O11), 'IS Raw'!O43/Input!$B$1, Input!O102)</f>
        <v>157.85956481599999</v>
      </c>
      <c r="P106" s="1782">
        <f>IF(ISTEXT('IS Raw'!P11), 'IS Raw'!P43/Input!$B$1, Input!P102)</f>
        <v>184.4</v>
      </c>
      <c r="Q106" s="137">
        <f ca="1">IF(ISTEXT('IS Raw'!Q11),'IS Raw'!Q43/Input!$B$1,Input!Q102)</f>
        <v>229.61098663209702</v>
      </c>
      <c r="R106" s="137">
        <f ca="1">IF(ISTEXT('IS Raw'!R11),'IS Raw'!R43/Input!$B$1,Input!R102)</f>
        <v>226.79776694610229</v>
      </c>
      <c r="S106" s="137">
        <f ca="1">IF(ISTEXT('IS Raw'!S11),'IS Raw'!S43/Input!$B$1,Input!S102)</f>
        <v>329.50567241642386</v>
      </c>
      <c r="T106" s="137">
        <f ca="1">IF(ISTEXT('IS Raw'!T11),'IS Raw'!T43/Input!$B$1,Input!T102)</f>
        <v>380.05354801585207</v>
      </c>
      <c r="U106" s="137">
        <f ca="1">IF(ISTEXT('IS Raw'!U11),'IS Raw'!U43/Input!$B$1,Input!U102)</f>
        <v>438.52478762982804</v>
      </c>
      <c r="V106" s="137">
        <f ca="1">IF(ISTEXT('IS Raw'!V11),'IS Raw'!V43/Input!$B$1,Input!V102)</f>
        <v>482.05233926565199</v>
      </c>
      <c r="W106" s="137">
        <f ca="1">IF(ISTEXT('IS Raw'!W11),'IS Raw'!W43/Input!$B$1,Input!W102)</f>
        <v>534.2002740696314</v>
      </c>
      <c r="X106" s="137">
        <f ca="1">IF(ISTEXT('IS Raw'!X11),'IS Raw'!X43/Input!$B$1,Input!X102)</f>
        <v>561.45375147956099</v>
      </c>
      <c r="Y106" s="137">
        <f ca="1">IF(ISTEXT('IS Raw'!Y11),'IS Raw'!Y43/Input!$B$1,Input!Y102)</f>
        <v>592.44966018140326</v>
      </c>
      <c r="Z106" s="137">
        <f ca="1">IF(ISTEXT('IS Raw'!Z11),'IS Raw'!Z43/Input!$B$1,Input!Z102)</f>
        <v>625.60119530217696</v>
      </c>
      <c r="AA106" s="137"/>
      <c r="AB106" s="138"/>
      <c r="AC106" s="138"/>
      <c r="AD106" s="138"/>
      <c r="AE106" s="138"/>
      <c r="AF106" s="138"/>
      <c r="AG106" s="138"/>
      <c r="AH106" s="138"/>
      <c r="AI106" s="138"/>
      <c r="AJ106" s="138"/>
      <c r="AK106" s="138"/>
      <c r="AL106" s="138"/>
      <c r="AM106" s="138"/>
      <c r="AN106" s="138"/>
      <c r="AO106" s="138"/>
      <c r="AP106" s="138"/>
      <c r="AQ106" s="138"/>
      <c r="AR106" s="138"/>
      <c r="AS106" s="138"/>
      <c r="AT106" s="138"/>
      <c r="AU106" s="138"/>
      <c r="AV106" s="138"/>
      <c r="AW106" s="138"/>
      <c r="AX106" s="138"/>
      <c r="AY106" s="138"/>
      <c r="AZ106" s="138"/>
      <c r="BA106" s="138"/>
      <c r="BB106" s="257"/>
      <c r="BC106" s="302"/>
      <c r="BD106" s="181"/>
      <c r="BE106" s="181"/>
    </row>
    <row r="107" spans="1:57" x14ac:dyDescent="0.25">
      <c r="D107" s="112"/>
      <c r="E107" s="112"/>
      <c r="F107" s="112"/>
      <c r="G107" s="112"/>
      <c r="H107" s="112"/>
      <c r="I107" s="112"/>
      <c r="J107" s="1778">
        <f>J106/I106-1</f>
        <v>0.92620915992999309</v>
      </c>
      <c r="K107" s="1778">
        <f>K106/J106-1</f>
        <v>-0.34118126337908194</v>
      </c>
      <c r="L107" s="1778">
        <f t="shared" ref="L107:Z107" si="84">L106/K106-1</f>
        <v>0.16184187780672477</v>
      </c>
      <c r="M107" s="1778">
        <f t="shared" si="84"/>
        <v>-8.4311037023717672E-3</v>
      </c>
      <c r="N107" s="1778">
        <f t="shared" si="84"/>
        <v>-0.12746484320986273</v>
      </c>
      <c r="O107" s="1778">
        <f t="shared" si="84"/>
        <v>0.10990952295049716</v>
      </c>
      <c r="P107" s="1800">
        <f t="shared" si="84"/>
        <v>0.16812687412977079</v>
      </c>
      <c r="Q107" s="1778">
        <f t="shared" ca="1" si="84"/>
        <v>0.24517888629119855</v>
      </c>
      <c r="R107" s="1778">
        <f t="shared" ca="1" si="84"/>
        <v>-1.2252112702700657E-2</v>
      </c>
      <c r="S107" s="1778">
        <f t="shared" ca="1" si="84"/>
        <v>0.45286118489310234</v>
      </c>
      <c r="T107" s="1778">
        <f t="shared" ca="1" si="84"/>
        <v>0.15340517578570423</v>
      </c>
      <c r="U107" s="1778">
        <f t="shared" ca="1" si="84"/>
        <v>0.15385000329358101</v>
      </c>
      <c r="V107" s="1778">
        <f t="shared" ca="1" si="84"/>
        <v>9.9259045015642089E-2</v>
      </c>
      <c r="W107" s="1778">
        <f t="shared" ca="1" si="84"/>
        <v>0.10817898920150548</v>
      </c>
      <c r="X107" s="1778">
        <f t="shared" ca="1" si="84"/>
        <v>5.1017340748082729E-2</v>
      </c>
      <c r="Y107" s="1778">
        <f t="shared" ca="1" si="84"/>
        <v>5.5206521677272358E-2</v>
      </c>
      <c r="Z107" s="1778">
        <f t="shared" ca="1" si="84"/>
        <v>5.5956712188210078E-2</v>
      </c>
      <c r="AA107" s="113"/>
      <c r="AB107" s="113"/>
      <c r="AC107" s="113"/>
      <c r="AD107" s="113"/>
      <c r="AE107" s="113"/>
      <c r="AF107" s="113"/>
      <c r="AG107" s="113"/>
      <c r="AH107" s="113"/>
      <c r="AI107" s="113"/>
      <c r="AJ107" s="113"/>
      <c r="AK107" s="113"/>
      <c r="AL107" s="113"/>
      <c r="AM107" s="113"/>
      <c r="AN107" s="113"/>
      <c r="AO107" s="113"/>
      <c r="AP107" s="113"/>
      <c r="AQ107" s="113"/>
      <c r="AR107" s="113"/>
      <c r="AS107" s="113"/>
      <c r="AT107" s="113"/>
      <c r="AU107" s="113"/>
      <c r="AV107" s="113"/>
      <c r="AW107" s="113"/>
      <c r="AX107" s="113"/>
      <c r="AY107" s="113"/>
      <c r="AZ107" s="113"/>
      <c r="BA107" s="113"/>
      <c r="BB107" s="113"/>
      <c r="BD107" s="112"/>
      <c r="BE107" s="112"/>
    </row>
    <row r="108" spans="1:57" x14ac:dyDescent="0.25">
      <c r="A108" s="64">
        <v>14</v>
      </c>
      <c r="B108" s="29" t="s">
        <v>477</v>
      </c>
      <c r="D108" s="112"/>
      <c r="E108" s="157"/>
      <c r="F108" s="157"/>
      <c r="G108" s="157"/>
      <c r="H108" s="157"/>
      <c r="I108" s="157"/>
      <c r="J108" s="157"/>
      <c r="K108" s="157"/>
      <c r="L108" s="157"/>
      <c r="M108" s="157"/>
      <c r="N108" s="66"/>
      <c r="O108" s="66"/>
      <c r="P108" s="303"/>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230"/>
      <c r="BC108" s="123"/>
      <c r="BD108" s="112"/>
      <c r="BE108" s="112"/>
    </row>
    <row r="109" spans="1:57" x14ac:dyDescent="0.25">
      <c r="B109" s="147" t="s">
        <v>478</v>
      </c>
      <c r="C109" s="147"/>
      <c r="E109" s="170"/>
      <c r="F109" s="170"/>
      <c r="G109" s="170"/>
      <c r="H109" s="170"/>
      <c r="I109" s="170">
        <f>IFERROR(I102/I138*1000, " ")</f>
        <v>2659.8575179549662</v>
      </c>
      <c r="J109" s="170">
        <f>IFERROR(J102/J138*1000, " ")</f>
        <v>5123.4419151935117</v>
      </c>
      <c r="K109" s="170">
        <f t="shared" ref="K109:Z109" si="85">IFERROR(K102/K138*1000, " ")</f>
        <v>2701.3064343870033</v>
      </c>
      <c r="L109" s="170">
        <f t="shared" si="85"/>
        <v>3138.4917791252456</v>
      </c>
      <c r="M109" s="170">
        <f t="shared" si="85"/>
        <v>3112.0308294663992</v>
      </c>
      <c r="N109" s="170">
        <f t="shared" si="85"/>
        <v>2715.3563077242056</v>
      </c>
      <c r="O109" s="170">
        <f t="shared" si="85"/>
        <v>3016.1031197532466</v>
      </c>
      <c r="P109" s="171">
        <f t="shared" si="85"/>
        <v>3202.9259040783795</v>
      </c>
      <c r="Q109" s="224">
        <f t="shared" ca="1" si="85"/>
        <v>3988.2157101135463</v>
      </c>
      <c r="R109" s="224">
        <f t="shared" ca="1" si="85"/>
        <v>3939.3516417505543</v>
      </c>
      <c r="S109" s="224">
        <f t="shared" ca="1" si="85"/>
        <v>5723.3310939442981</v>
      </c>
      <c r="T109" s="224">
        <f t="shared" ca="1" si="85"/>
        <v>6601.3197064906108</v>
      </c>
      <c r="U109" s="224">
        <f t="shared" ca="1" si="85"/>
        <v>7616.9327650761725</v>
      </c>
      <c r="V109" s="224">
        <f t="shared" ca="1" si="85"/>
        <v>8372.9822372859871</v>
      </c>
      <c r="W109" s="224">
        <f t="shared" ca="1" si="85"/>
        <v>9278.7629923177446</v>
      </c>
      <c r="X109" s="224">
        <f t="shared" ca="1" si="85"/>
        <v>9752.1408056175187</v>
      </c>
      <c r="Y109" s="224">
        <f t="shared" ca="1" si="85"/>
        <v>10290.522578402655</v>
      </c>
      <c r="Z109" s="224">
        <f t="shared" ca="1" si="85"/>
        <v>10866.34638858861</v>
      </c>
      <c r="AA109" s="224"/>
      <c r="AB109" s="224"/>
      <c r="AC109" s="224"/>
      <c r="AD109" s="224"/>
      <c r="AE109" s="224"/>
      <c r="AF109" s="224"/>
      <c r="AG109" s="224"/>
      <c r="AH109" s="224"/>
      <c r="AI109" s="224"/>
      <c r="AJ109" s="224"/>
      <c r="AK109" s="224"/>
      <c r="AL109" s="224"/>
      <c r="AM109" s="224"/>
      <c r="AN109" s="224"/>
      <c r="AO109" s="224"/>
      <c r="AP109" s="224"/>
      <c r="AQ109" s="224"/>
      <c r="AR109" s="224"/>
      <c r="AS109" s="224"/>
      <c r="AT109" s="224"/>
      <c r="AU109" s="224"/>
      <c r="AV109" s="224"/>
      <c r="AW109" s="224"/>
      <c r="AX109" s="224"/>
      <c r="AY109" s="224"/>
      <c r="AZ109" s="224"/>
      <c r="BA109" s="224"/>
    </row>
    <row r="110" spans="1:57" x14ac:dyDescent="0.25">
      <c r="B110" s="147" t="s">
        <v>479</v>
      </c>
      <c r="C110" s="147"/>
      <c r="E110" s="170"/>
      <c r="F110" s="170"/>
      <c r="G110" s="170"/>
      <c r="H110" s="170"/>
      <c r="I110" s="170">
        <f>IFERROR(I102/I139*1000, " ")</f>
        <v>2659.8575179549662</v>
      </c>
      <c r="J110" s="170">
        <f>IFERROR(J102/J139*1000, " ")</f>
        <v>5123.4419151935117</v>
      </c>
      <c r="K110" s="170">
        <f t="shared" ref="K110:Z110" si="86">IFERROR(K102/K139*1000, " ")</f>
        <v>2701.3064343870033</v>
      </c>
      <c r="L110" s="170">
        <f t="shared" si="86"/>
        <v>3138.4917791252456</v>
      </c>
      <c r="M110" s="170">
        <f t="shared" si="86"/>
        <v>3112.0308294663992</v>
      </c>
      <c r="N110" s="170">
        <f t="shared" si="86"/>
        <v>2715.3563077242056</v>
      </c>
      <c r="O110" s="170">
        <f t="shared" si="86"/>
        <v>3016.1031197532466</v>
      </c>
      <c r="P110" s="171">
        <f t="shared" si="86"/>
        <v>3202.9259040783795</v>
      </c>
      <c r="Q110" s="224">
        <f t="shared" ca="1" si="86"/>
        <v>3988.2157101135463</v>
      </c>
      <c r="R110" s="224">
        <f t="shared" ca="1" si="86"/>
        <v>3939.3516417505543</v>
      </c>
      <c r="S110" s="224">
        <f t="shared" ca="1" si="86"/>
        <v>5723.3310939442981</v>
      </c>
      <c r="T110" s="224">
        <f t="shared" ca="1" si="86"/>
        <v>6601.3197064906108</v>
      </c>
      <c r="U110" s="224">
        <f t="shared" ca="1" si="86"/>
        <v>7616.9327650761725</v>
      </c>
      <c r="V110" s="224">
        <f t="shared" ca="1" si="86"/>
        <v>8372.9822372859871</v>
      </c>
      <c r="W110" s="224">
        <f t="shared" ca="1" si="86"/>
        <v>9278.7629923177446</v>
      </c>
      <c r="X110" s="224">
        <f t="shared" ca="1" si="86"/>
        <v>9752.1408056175187</v>
      </c>
      <c r="Y110" s="224">
        <f t="shared" ca="1" si="86"/>
        <v>10290.522578402655</v>
      </c>
      <c r="Z110" s="224">
        <f t="shared" ca="1" si="86"/>
        <v>10866.34638858861</v>
      </c>
      <c r="AA110" s="224"/>
      <c r="AB110" s="224"/>
      <c r="AC110" s="224"/>
      <c r="AD110" s="224"/>
      <c r="AE110" s="224"/>
      <c r="AF110" s="224"/>
      <c r="AG110" s="224"/>
      <c r="AH110" s="224"/>
      <c r="AI110" s="224"/>
      <c r="AJ110" s="224"/>
      <c r="AK110" s="224"/>
      <c r="AL110" s="224"/>
      <c r="AM110" s="224"/>
      <c r="AN110" s="224"/>
      <c r="AO110" s="224"/>
      <c r="AP110" s="224"/>
      <c r="AQ110" s="224"/>
      <c r="AR110" s="224"/>
      <c r="AS110" s="224"/>
      <c r="AT110" s="224"/>
      <c r="AU110" s="224"/>
      <c r="AV110" s="224"/>
      <c r="AW110" s="224"/>
      <c r="AX110" s="224"/>
      <c r="AY110" s="224"/>
      <c r="AZ110" s="224"/>
      <c r="BA110" s="224"/>
    </row>
    <row r="111" spans="1:57" s="42" customFormat="1" ht="13.5" customHeight="1" x14ac:dyDescent="0.25">
      <c r="A111" s="41"/>
      <c r="B111" s="212" t="s">
        <v>480</v>
      </c>
      <c r="C111" s="212"/>
      <c r="D111" s="213"/>
      <c r="E111" s="304"/>
      <c r="F111" s="304"/>
      <c r="G111" s="304"/>
      <c r="H111" s="304"/>
      <c r="I111" s="304"/>
      <c r="J111" s="304"/>
      <c r="K111" s="304"/>
      <c r="L111" s="304"/>
      <c r="M111" s="304"/>
      <c r="N111" s="304"/>
      <c r="O111" s="304"/>
      <c r="P111" s="305"/>
      <c r="Q111" s="306"/>
      <c r="R111" s="306"/>
      <c r="S111" s="306"/>
      <c r="T111" s="306"/>
      <c r="U111" s="306"/>
      <c r="V111" s="306"/>
      <c r="W111" s="306"/>
      <c r="X111" s="306"/>
      <c r="Y111" s="306"/>
      <c r="Z111" s="306"/>
      <c r="AA111" s="306"/>
      <c r="AB111" s="306"/>
      <c r="AC111" s="306"/>
      <c r="AD111" s="306"/>
      <c r="AE111" s="306"/>
      <c r="AF111" s="306"/>
      <c r="AG111" s="306"/>
      <c r="AH111" s="306"/>
      <c r="AI111" s="306"/>
      <c r="AJ111" s="306"/>
      <c r="AK111" s="306"/>
      <c r="AL111" s="306"/>
      <c r="AM111" s="306"/>
      <c r="AN111" s="306"/>
      <c r="AO111" s="306"/>
      <c r="AP111" s="306"/>
      <c r="AQ111" s="306"/>
      <c r="AR111" s="306"/>
      <c r="AS111" s="306"/>
      <c r="AT111" s="306"/>
      <c r="AU111" s="306"/>
      <c r="AV111" s="306"/>
      <c r="AW111" s="306"/>
      <c r="AX111" s="306"/>
      <c r="AY111" s="306"/>
      <c r="AZ111" s="306"/>
      <c r="BA111" s="306"/>
      <c r="BB111" s="307"/>
      <c r="BC111" s="308"/>
      <c r="BD111" s="181"/>
      <c r="BE111" s="181"/>
    </row>
    <row r="112" spans="1:57" s="42" customFormat="1" x14ac:dyDescent="0.25">
      <c r="A112" s="301"/>
      <c r="B112" s="309" t="s">
        <v>478</v>
      </c>
      <c r="C112" s="309"/>
      <c r="D112" s="181"/>
      <c r="E112" s="310"/>
      <c r="F112" s="310"/>
      <c r="G112" s="310"/>
      <c r="H112" s="310"/>
      <c r="I112" s="312">
        <f>IFERROR(I106/I138, " ")</f>
        <v>2.6598575179549662</v>
      </c>
      <c r="J112" s="311">
        <f>IFERROR(J106/J138*1000, " ")</f>
        <v>5123.4419151935117</v>
      </c>
      <c r="K112" s="311">
        <f t="shared" ref="K112:Z112" si="87">IFERROR(K106/K138*1000, " ")</f>
        <v>2701.3064343870033</v>
      </c>
      <c r="L112" s="311">
        <f t="shared" si="87"/>
        <v>3138.4917791252456</v>
      </c>
      <c r="M112" s="311">
        <f t="shared" si="87"/>
        <v>3112.0308294663992</v>
      </c>
      <c r="N112" s="311">
        <f t="shared" si="87"/>
        <v>2715.3563077242056</v>
      </c>
      <c r="O112" s="311">
        <f t="shared" si="87"/>
        <v>3016.1031197532466</v>
      </c>
      <c r="P112" s="311">
        <f t="shared" si="87"/>
        <v>3202.9259040783795</v>
      </c>
      <c r="Q112" s="313">
        <f t="shared" ca="1" si="87"/>
        <v>3988.2157101135463</v>
      </c>
      <c r="R112" s="313">
        <f t="shared" ca="1" si="87"/>
        <v>3939.3516417505543</v>
      </c>
      <c r="S112" s="313">
        <f t="shared" ca="1" si="87"/>
        <v>5723.3310939442981</v>
      </c>
      <c r="T112" s="313">
        <f t="shared" ca="1" si="87"/>
        <v>6601.3197064906108</v>
      </c>
      <c r="U112" s="313">
        <f t="shared" ca="1" si="87"/>
        <v>7616.9327650761725</v>
      </c>
      <c r="V112" s="313">
        <f t="shared" ca="1" si="87"/>
        <v>8372.9822372859871</v>
      </c>
      <c r="W112" s="313">
        <f t="shared" ca="1" si="87"/>
        <v>9278.7629923177446</v>
      </c>
      <c r="X112" s="313">
        <f t="shared" ca="1" si="87"/>
        <v>9752.1408056175187</v>
      </c>
      <c r="Y112" s="313">
        <f t="shared" ca="1" si="87"/>
        <v>10290.522578402655</v>
      </c>
      <c r="Z112" s="313">
        <f t="shared" ca="1" si="87"/>
        <v>10866.34638858861</v>
      </c>
      <c r="AA112" s="313"/>
      <c r="AB112" s="313"/>
      <c r="AC112" s="313"/>
      <c r="AD112" s="313"/>
      <c r="AE112" s="313"/>
      <c r="AF112" s="313"/>
      <c r="AG112" s="313"/>
      <c r="AH112" s="313"/>
      <c r="AI112" s="313"/>
      <c r="AJ112" s="313"/>
      <c r="AK112" s="313"/>
      <c r="AL112" s="313"/>
      <c r="AM112" s="313"/>
      <c r="AN112" s="313"/>
      <c r="AO112" s="313"/>
      <c r="AP112" s="313"/>
      <c r="AQ112" s="313"/>
      <c r="AR112" s="313"/>
      <c r="AS112" s="313"/>
      <c r="AT112" s="313"/>
      <c r="AU112" s="313"/>
      <c r="AV112" s="313"/>
      <c r="AW112" s="313"/>
      <c r="AX112" s="313"/>
      <c r="AY112" s="313"/>
      <c r="AZ112" s="313"/>
      <c r="BA112" s="313"/>
      <c r="BB112" s="311"/>
      <c r="BC112" s="314"/>
      <c r="BD112" s="181"/>
      <c r="BE112" s="181"/>
    </row>
    <row r="113" spans="1:57" s="42" customFormat="1" x14ac:dyDescent="0.25">
      <c r="A113" s="301"/>
      <c r="B113" s="309" t="s">
        <v>479</v>
      </c>
      <c r="C113" s="309"/>
      <c r="D113" s="181"/>
      <c r="E113" s="310"/>
      <c r="F113" s="310"/>
      <c r="G113" s="310"/>
      <c r="H113" s="310"/>
      <c r="I113" s="312">
        <f>IFERROR(I106/I139, " ")</f>
        <v>2.6598575179549662</v>
      </c>
      <c r="J113" s="311">
        <f>IFERROR(J106/J139*1000, " ")</f>
        <v>5123.4419151935117</v>
      </c>
      <c r="K113" s="311">
        <f t="shared" ref="K113:Z113" si="88">IFERROR(K106/K139*1000, " ")</f>
        <v>2701.3064343870033</v>
      </c>
      <c r="L113" s="311">
        <f t="shared" si="88"/>
        <v>3138.4917791252456</v>
      </c>
      <c r="M113" s="311">
        <f t="shared" si="88"/>
        <v>3112.0308294663992</v>
      </c>
      <c r="N113" s="311">
        <f t="shared" si="88"/>
        <v>2715.3563077242056</v>
      </c>
      <c r="O113" s="311">
        <f t="shared" si="88"/>
        <v>3016.1031197532466</v>
      </c>
      <c r="P113" s="311">
        <f t="shared" si="88"/>
        <v>3202.9259040783795</v>
      </c>
      <c r="Q113" s="313">
        <f t="shared" ca="1" si="88"/>
        <v>3988.2157101135463</v>
      </c>
      <c r="R113" s="313">
        <f t="shared" ca="1" si="88"/>
        <v>3939.3516417505543</v>
      </c>
      <c r="S113" s="313">
        <f t="shared" ca="1" si="88"/>
        <v>5723.3310939442981</v>
      </c>
      <c r="T113" s="313">
        <f t="shared" ca="1" si="88"/>
        <v>6601.3197064906108</v>
      </c>
      <c r="U113" s="313">
        <f t="shared" ca="1" si="88"/>
        <v>7616.9327650761725</v>
      </c>
      <c r="V113" s="313">
        <f t="shared" ca="1" si="88"/>
        <v>8372.9822372859871</v>
      </c>
      <c r="W113" s="313">
        <f t="shared" ca="1" si="88"/>
        <v>9278.7629923177446</v>
      </c>
      <c r="X113" s="313">
        <f t="shared" ca="1" si="88"/>
        <v>9752.1408056175187</v>
      </c>
      <c r="Y113" s="313">
        <f t="shared" ca="1" si="88"/>
        <v>10290.522578402655</v>
      </c>
      <c r="Z113" s="313">
        <f t="shared" ca="1" si="88"/>
        <v>10866.34638858861</v>
      </c>
      <c r="AA113" s="313"/>
      <c r="AB113" s="313"/>
      <c r="AC113" s="313"/>
      <c r="AD113" s="313"/>
      <c r="AE113" s="313"/>
      <c r="AF113" s="313"/>
      <c r="AG113" s="313"/>
      <c r="AH113" s="313"/>
      <c r="AI113" s="313"/>
      <c r="AJ113" s="313"/>
      <c r="AK113" s="313"/>
      <c r="AL113" s="313"/>
      <c r="AM113" s="313"/>
      <c r="AN113" s="313"/>
      <c r="AO113" s="313"/>
      <c r="AP113" s="313"/>
      <c r="AQ113" s="313"/>
      <c r="AR113" s="313"/>
      <c r="AS113" s="313"/>
      <c r="AT113" s="313"/>
      <c r="AU113" s="313"/>
      <c r="AV113" s="313"/>
      <c r="AW113" s="313"/>
      <c r="AX113" s="313"/>
      <c r="AY113" s="313"/>
      <c r="AZ113" s="313"/>
      <c r="BA113" s="313"/>
      <c r="BB113" s="311"/>
      <c r="BC113" s="314"/>
      <c r="BD113" s="181"/>
      <c r="BE113" s="181"/>
    </row>
    <row r="114" spans="1:57" s="317" customFormat="1" x14ac:dyDescent="0.25">
      <c r="A114" s="315"/>
      <c r="B114" s="316" t="s">
        <v>481</v>
      </c>
      <c r="D114" s="318"/>
      <c r="E114" s="318"/>
      <c r="F114" s="318"/>
      <c r="G114" s="318"/>
      <c r="H114" s="318"/>
      <c r="I114" s="318"/>
      <c r="J114" s="318"/>
      <c r="K114" s="318"/>
      <c r="L114" s="318"/>
      <c r="M114" s="318"/>
      <c r="N114" s="319"/>
      <c r="O114" s="319"/>
      <c r="P114" s="320"/>
      <c r="Q114" s="319"/>
      <c r="R114" s="319"/>
      <c r="S114" s="319"/>
      <c r="T114" s="319"/>
      <c r="U114" s="319"/>
      <c r="V114" s="319"/>
      <c r="W114" s="319"/>
      <c r="X114" s="319"/>
      <c r="Y114" s="319"/>
      <c r="Z114" s="319"/>
      <c r="AA114" s="319"/>
      <c r="AB114" s="319"/>
      <c r="AC114" s="319"/>
      <c r="AD114" s="319"/>
      <c r="AE114" s="319"/>
      <c r="AF114" s="319"/>
      <c r="AG114" s="319"/>
      <c r="AH114" s="319"/>
      <c r="AI114" s="319"/>
      <c r="AJ114" s="319"/>
      <c r="AK114" s="319"/>
      <c r="AL114" s="319"/>
      <c r="AM114" s="319"/>
      <c r="AN114" s="319"/>
      <c r="AO114" s="319"/>
      <c r="AP114" s="319"/>
      <c r="AQ114" s="319"/>
      <c r="AR114" s="319"/>
      <c r="AS114" s="319"/>
      <c r="AT114" s="319"/>
      <c r="AU114" s="319"/>
      <c r="AV114" s="319"/>
      <c r="AW114" s="319"/>
      <c r="AX114" s="319"/>
      <c r="AY114" s="319"/>
      <c r="AZ114" s="319"/>
      <c r="BA114" s="319"/>
      <c r="BB114" s="321"/>
      <c r="BC114" s="322"/>
      <c r="BD114" s="318"/>
      <c r="BE114" s="318"/>
    </row>
    <row r="115" spans="1:57" x14ac:dyDescent="0.25">
      <c r="D115" s="112"/>
      <c r="E115" s="112"/>
      <c r="F115" s="112"/>
      <c r="G115" s="112"/>
      <c r="H115" s="112"/>
      <c r="I115" s="112"/>
      <c r="J115" s="112"/>
      <c r="K115" s="112"/>
      <c r="L115" s="112"/>
      <c r="M115" s="112"/>
      <c r="N115" s="113"/>
      <c r="O115" s="113"/>
      <c r="P115" s="299"/>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c r="AO115" s="113"/>
      <c r="AP115" s="113"/>
      <c r="AQ115" s="113"/>
      <c r="AR115" s="113"/>
      <c r="AS115" s="113"/>
      <c r="AT115" s="113"/>
      <c r="AU115" s="113"/>
      <c r="AV115" s="113"/>
      <c r="AW115" s="113"/>
      <c r="AX115" s="113"/>
      <c r="AY115" s="113"/>
      <c r="AZ115" s="113"/>
      <c r="BA115" s="113"/>
      <c r="BB115" s="113"/>
      <c r="BD115" s="112"/>
      <c r="BE115" s="112"/>
    </row>
    <row r="116" spans="1:57" x14ac:dyDescent="0.25">
      <c r="A116" s="100">
        <v>15</v>
      </c>
      <c r="B116" s="29" t="s">
        <v>482</v>
      </c>
      <c r="D116" s="112"/>
      <c r="E116" s="157"/>
      <c r="F116" s="157"/>
      <c r="G116" s="157"/>
      <c r="H116" s="157"/>
      <c r="I116" s="158">
        <f>'Welfare &amp; Dividends'!I8</f>
        <v>30</v>
      </c>
      <c r="J116" s="158">
        <f>'Welfare &amp; Dividends'!J8</f>
        <v>30</v>
      </c>
      <c r="K116" s="158">
        <f>'Welfare &amp; Dividends'!K8</f>
        <v>19.100000000000001</v>
      </c>
      <c r="L116" s="158">
        <f>'Welfare &amp; Dividends'!L8</f>
        <v>22.037990225000001</v>
      </c>
      <c r="M116" s="158">
        <f>'Welfare &amp; Dividends'!M8</f>
        <v>22.820674062000002</v>
      </c>
      <c r="N116" s="158">
        <f>'Welfare &amp; Dividends'!N8</f>
        <v>17.067290068000002</v>
      </c>
      <c r="O116" s="158">
        <f>'Welfare &amp; Dividends'!O8</f>
        <v>18.943147778</v>
      </c>
      <c r="P116" s="1783">
        <f>'Welfare &amp; Dividends'!P8</f>
        <v>25.815898572520005</v>
      </c>
      <c r="Q116" s="228">
        <f ca="1">Q102*Q117</f>
        <v>30.463986956335713</v>
      </c>
      <c r="R116" s="228">
        <f t="shared" ref="R116:Z116" ca="1" si="89">R102*R117</f>
        <v>29.863593778030303</v>
      </c>
      <c r="S116" s="228">
        <f t="shared" ca="1" si="89"/>
        <v>43.231592255088081</v>
      </c>
      <c r="T116" s="228">
        <f t="shared" ca="1" si="89"/>
        <v>49.708416211466798</v>
      </c>
      <c r="U116" s="228">
        <f t="shared" ca="1" si="89"/>
        <v>56.779281888075801</v>
      </c>
      <c r="V116" s="228">
        <f t="shared" ca="1" si="89"/>
        <v>63.067833252756309</v>
      </c>
      <c r="W116" s="228">
        <f t="shared" ca="1" si="89"/>
        <v>70.717078393246027</v>
      </c>
      <c r="X116" s="228">
        <f t="shared" ca="1" si="89"/>
        <v>73.713684148849225</v>
      </c>
      <c r="Y116" s="228">
        <f t="shared" ca="1" si="89"/>
        <v>77.665874579060045</v>
      </c>
      <c r="Z116" s="228">
        <f t="shared" ca="1" si="89"/>
        <v>81.959768741772962</v>
      </c>
      <c r="AA116" s="228"/>
      <c r="AB116" s="224"/>
      <c r="AC116" s="224"/>
      <c r="AD116" s="224"/>
      <c r="AE116" s="224"/>
      <c r="AF116" s="224"/>
      <c r="AG116" s="224"/>
      <c r="AH116" s="224"/>
      <c r="AI116" s="224"/>
      <c r="AJ116" s="224"/>
      <c r="AK116" s="224"/>
      <c r="AL116" s="224"/>
      <c r="AM116" s="224"/>
      <c r="AN116" s="224"/>
      <c r="AO116" s="224"/>
      <c r="AP116" s="224"/>
      <c r="AQ116" s="224"/>
      <c r="AR116" s="224"/>
      <c r="AS116" s="224"/>
      <c r="AT116" s="224"/>
      <c r="AU116" s="224"/>
      <c r="AV116" s="224"/>
      <c r="AW116" s="224"/>
      <c r="AX116" s="224"/>
      <c r="AY116" s="224"/>
      <c r="AZ116" s="224"/>
      <c r="BA116" s="224"/>
      <c r="BB116" s="113"/>
      <c r="BC116" s="323"/>
      <c r="BD116" s="112"/>
      <c r="BE116" s="112"/>
    </row>
    <row r="117" spans="1:57" s="180" customFormat="1" x14ac:dyDescent="0.25">
      <c r="A117" s="189"/>
      <c r="B117" s="175" t="s">
        <v>483</v>
      </c>
      <c r="C117" s="175"/>
      <c r="E117" s="198"/>
      <c r="F117" s="198"/>
      <c r="G117" s="198"/>
      <c r="H117" s="198"/>
      <c r="I117" s="264">
        <f>I118/I106</f>
        <v>0.26906683687430089</v>
      </c>
      <c r="J117" s="264">
        <f>J118/J106</f>
        <v>0.13968723774736902</v>
      </c>
      <c r="K117" s="264">
        <f t="shared" ref="K117:P117" si="90">K118/K106</f>
        <v>0.13499040493085437</v>
      </c>
      <c r="L117" s="264">
        <f t="shared" si="90"/>
        <v>0.13405854228050365</v>
      </c>
      <c r="M117" s="264">
        <f t="shared" si="90"/>
        <v>0.1400000141151673</v>
      </c>
      <c r="N117" s="264">
        <f t="shared" si="90"/>
        <v>0.11999999999690637</v>
      </c>
      <c r="O117" s="264">
        <f t="shared" si="90"/>
        <v>0.12000000000050678</v>
      </c>
      <c r="P117" s="1801">
        <f t="shared" si="90"/>
        <v>0.13999944995943603</v>
      </c>
      <c r="Q117" s="260">
        <f>AVERAGE(J117:P117)</f>
        <v>0.13267652129010621</v>
      </c>
      <c r="R117" s="260">
        <f t="shared" ref="R117:Z117" si="91">AVERAGE(K117:Q117)</f>
        <v>0.1316749903676401</v>
      </c>
      <c r="S117" s="260">
        <f t="shared" si="91"/>
        <v>0.13120135971575234</v>
      </c>
      <c r="T117" s="260">
        <f t="shared" si="91"/>
        <v>0.13079319077793072</v>
      </c>
      <c r="U117" s="260">
        <f t="shared" si="91"/>
        <v>0.12947793030118265</v>
      </c>
      <c r="V117" s="260">
        <f t="shared" si="91"/>
        <v>0.13083192034465069</v>
      </c>
      <c r="W117" s="260">
        <f t="shared" si="91"/>
        <v>0.13237933753667125</v>
      </c>
      <c r="X117" s="260">
        <f t="shared" si="91"/>
        <v>0.13129075004770482</v>
      </c>
      <c r="Y117" s="260">
        <f t="shared" si="91"/>
        <v>0.13109278272736183</v>
      </c>
      <c r="Z117" s="260">
        <f t="shared" si="91"/>
        <v>0.13100961020732205</v>
      </c>
      <c r="AA117" s="260"/>
      <c r="AB117" s="324"/>
      <c r="AC117" s="324"/>
      <c r="AD117" s="324"/>
      <c r="AE117" s="324"/>
      <c r="AF117" s="324"/>
      <c r="AG117" s="324"/>
      <c r="AH117" s="324"/>
      <c r="AI117" s="324"/>
      <c r="AJ117" s="324"/>
      <c r="AK117" s="324"/>
      <c r="AL117" s="324"/>
      <c r="AM117" s="324"/>
      <c r="AN117" s="324"/>
      <c r="AO117" s="324"/>
      <c r="AP117" s="324"/>
      <c r="AQ117" s="324"/>
      <c r="AR117" s="324"/>
      <c r="AS117" s="324"/>
      <c r="AT117" s="324"/>
      <c r="AU117" s="324"/>
      <c r="AV117" s="324"/>
      <c r="AW117" s="324"/>
      <c r="AX117" s="324"/>
      <c r="AY117" s="324"/>
      <c r="AZ117" s="324"/>
      <c r="BA117" s="324"/>
      <c r="BB117" s="198"/>
      <c r="BC117" s="275"/>
    </row>
    <row r="118" spans="1:57" s="42" customFormat="1" x14ac:dyDescent="0.25">
      <c r="A118" s="41"/>
      <c r="B118" s="212" t="s">
        <v>484</v>
      </c>
      <c r="C118" s="212"/>
      <c r="D118" s="216"/>
      <c r="E118" s="135"/>
      <c r="F118" s="135"/>
      <c r="G118" s="135"/>
      <c r="H118" s="135"/>
      <c r="I118" s="136">
        <f>I116</f>
        <v>30</v>
      </c>
      <c r="J118" s="136">
        <f>J116</f>
        <v>30</v>
      </c>
      <c r="K118" s="136">
        <f t="shared" ref="K118:Z118" si="92">K116</f>
        <v>19.100000000000001</v>
      </c>
      <c r="L118" s="136">
        <f t="shared" si="92"/>
        <v>22.037990225000001</v>
      </c>
      <c r="M118" s="136">
        <f t="shared" si="92"/>
        <v>22.820674062000002</v>
      </c>
      <c r="N118" s="136">
        <f t="shared" si="92"/>
        <v>17.067290068000002</v>
      </c>
      <c r="O118" s="136">
        <f t="shared" si="92"/>
        <v>18.943147778</v>
      </c>
      <c r="P118" s="1782">
        <f t="shared" si="92"/>
        <v>25.815898572520005</v>
      </c>
      <c r="Q118" s="137">
        <f t="shared" ca="1" si="92"/>
        <v>30.463986956335713</v>
      </c>
      <c r="R118" s="137">
        <f t="shared" ca="1" si="92"/>
        <v>29.863593778030303</v>
      </c>
      <c r="S118" s="137">
        <f t="shared" ca="1" si="92"/>
        <v>43.231592255088081</v>
      </c>
      <c r="T118" s="137">
        <f t="shared" ca="1" si="92"/>
        <v>49.708416211466798</v>
      </c>
      <c r="U118" s="137">
        <f t="shared" ca="1" si="92"/>
        <v>56.779281888075801</v>
      </c>
      <c r="V118" s="137">
        <f t="shared" ca="1" si="92"/>
        <v>63.067833252756309</v>
      </c>
      <c r="W118" s="137">
        <f t="shared" ca="1" si="92"/>
        <v>70.717078393246027</v>
      </c>
      <c r="X118" s="137">
        <f t="shared" ca="1" si="92"/>
        <v>73.713684148849225</v>
      </c>
      <c r="Y118" s="137">
        <f t="shared" ca="1" si="92"/>
        <v>77.665874579060045</v>
      </c>
      <c r="Z118" s="137">
        <f t="shared" ca="1" si="92"/>
        <v>81.959768741772962</v>
      </c>
      <c r="AA118" s="137"/>
      <c r="AB118" s="138"/>
      <c r="AC118" s="138"/>
      <c r="AD118" s="138"/>
      <c r="AE118" s="138"/>
      <c r="AF118" s="138"/>
      <c r="AG118" s="138"/>
      <c r="AH118" s="138"/>
      <c r="AI118" s="138"/>
      <c r="AJ118" s="138"/>
      <c r="AK118" s="138"/>
      <c r="AL118" s="138"/>
      <c r="AM118" s="138"/>
      <c r="AN118" s="138"/>
      <c r="AO118" s="138"/>
      <c r="AP118" s="138"/>
      <c r="AQ118" s="138"/>
      <c r="AR118" s="138"/>
      <c r="AS118" s="138"/>
      <c r="AT118" s="138"/>
      <c r="AU118" s="138"/>
      <c r="AV118" s="138"/>
      <c r="AW118" s="138"/>
      <c r="AX118" s="138"/>
      <c r="AY118" s="138"/>
      <c r="AZ118" s="138"/>
      <c r="BA118" s="138"/>
      <c r="BB118" s="216"/>
      <c r="BC118" s="140"/>
      <c r="BD118" s="181"/>
      <c r="BE118" s="181"/>
    </row>
    <row r="119" spans="1:57" x14ac:dyDescent="0.25">
      <c r="D119" s="112"/>
      <c r="E119" s="113"/>
      <c r="F119" s="113"/>
      <c r="G119" s="113"/>
      <c r="H119" s="113"/>
      <c r="I119" s="113"/>
      <c r="J119" s="113"/>
      <c r="K119" s="145"/>
      <c r="L119" s="113"/>
      <c r="M119" s="113"/>
      <c r="N119" s="113"/>
      <c r="O119" s="113"/>
      <c r="P119" s="299"/>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c r="AO119" s="113"/>
      <c r="AP119" s="113"/>
      <c r="AQ119" s="113"/>
      <c r="AR119" s="113"/>
      <c r="AS119" s="113"/>
      <c r="AT119" s="113"/>
      <c r="AU119" s="113"/>
      <c r="AV119" s="113"/>
      <c r="AW119" s="113"/>
      <c r="AX119" s="113"/>
      <c r="AY119" s="113"/>
      <c r="AZ119" s="113"/>
      <c r="BA119" s="113"/>
      <c r="BB119" s="113"/>
      <c r="BD119" s="112"/>
      <c r="BE119" s="112"/>
    </row>
    <row r="120" spans="1:57" x14ac:dyDescent="0.25">
      <c r="A120" s="100">
        <v>16</v>
      </c>
      <c r="B120" s="29" t="s">
        <v>485</v>
      </c>
      <c r="D120" s="112"/>
      <c r="E120" s="230"/>
      <c r="F120" s="230"/>
      <c r="G120" s="230"/>
      <c r="H120" s="230"/>
      <c r="I120" s="230"/>
      <c r="J120" s="230"/>
      <c r="K120" s="230"/>
      <c r="L120" s="230"/>
      <c r="M120" s="230"/>
      <c r="N120" s="230"/>
      <c r="O120" s="230"/>
      <c r="P120" s="325"/>
      <c r="Q120" s="326"/>
      <c r="R120" s="326"/>
      <c r="S120" s="326"/>
      <c r="T120" s="326"/>
      <c r="U120" s="326"/>
      <c r="V120" s="326"/>
      <c r="W120" s="326"/>
      <c r="X120" s="326"/>
      <c r="Y120" s="326"/>
      <c r="Z120" s="326"/>
      <c r="AA120" s="326"/>
      <c r="AB120" s="326"/>
      <c r="AC120" s="326"/>
      <c r="AD120" s="326"/>
      <c r="AE120" s="326"/>
      <c r="AF120" s="326"/>
      <c r="AG120" s="326"/>
      <c r="AH120" s="326"/>
      <c r="AI120" s="326"/>
      <c r="AJ120" s="326"/>
      <c r="AK120" s="326"/>
      <c r="AL120" s="326"/>
      <c r="AM120" s="326"/>
      <c r="AN120" s="326"/>
      <c r="AO120" s="326"/>
      <c r="AP120" s="326"/>
      <c r="AQ120" s="326"/>
      <c r="AR120" s="326"/>
      <c r="AS120" s="326"/>
      <c r="AT120" s="326"/>
      <c r="AU120" s="326"/>
      <c r="AV120" s="326"/>
      <c r="AW120" s="326"/>
      <c r="AX120" s="326"/>
      <c r="AY120" s="326"/>
      <c r="AZ120" s="326"/>
      <c r="BA120" s="326"/>
      <c r="BB120" s="230"/>
      <c r="BC120" s="123"/>
      <c r="BD120" s="112"/>
      <c r="BE120" s="112"/>
    </row>
    <row r="121" spans="1:57" s="42" customFormat="1" x14ac:dyDescent="0.25">
      <c r="A121" s="41"/>
      <c r="B121" s="212" t="s">
        <v>486</v>
      </c>
      <c r="C121" s="212"/>
      <c r="D121" s="213"/>
      <c r="E121" s="307"/>
      <c r="F121" s="307"/>
      <c r="G121" s="307"/>
      <c r="H121" s="307"/>
      <c r="I121" s="307"/>
      <c r="J121" s="307"/>
      <c r="K121" s="307"/>
      <c r="L121" s="307"/>
      <c r="M121" s="307"/>
      <c r="N121" s="307"/>
      <c r="O121" s="307"/>
      <c r="P121" s="327"/>
      <c r="Q121" s="328"/>
      <c r="R121" s="328"/>
      <c r="S121" s="328"/>
      <c r="T121" s="328"/>
      <c r="U121" s="328"/>
      <c r="V121" s="328"/>
      <c r="W121" s="328"/>
      <c r="X121" s="328"/>
      <c r="Y121" s="328"/>
      <c r="Z121" s="328"/>
      <c r="AA121" s="328"/>
      <c r="AB121" s="328"/>
      <c r="AC121" s="328"/>
      <c r="AD121" s="328"/>
      <c r="AE121" s="328"/>
      <c r="AF121" s="328"/>
      <c r="AG121" s="328"/>
      <c r="AH121" s="328"/>
      <c r="AI121" s="328"/>
      <c r="AJ121" s="328"/>
      <c r="AK121" s="328"/>
      <c r="AL121" s="328"/>
      <c r="AM121" s="328"/>
      <c r="AN121" s="328"/>
      <c r="AO121" s="328"/>
      <c r="AP121" s="328"/>
      <c r="AQ121" s="328"/>
      <c r="AR121" s="328"/>
      <c r="AS121" s="328"/>
      <c r="AT121" s="328"/>
      <c r="AU121" s="328"/>
      <c r="AV121" s="328"/>
      <c r="AW121" s="328"/>
      <c r="AX121" s="328"/>
      <c r="AY121" s="328"/>
      <c r="AZ121" s="328"/>
      <c r="BA121" s="328"/>
      <c r="BB121" s="307"/>
      <c r="BC121" s="329"/>
      <c r="BD121" s="181"/>
      <c r="BE121" s="181"/>
    </row>
    <row r="122" spans="1:57" x14ac:dyDescent="0.25">
      <c r="D122" s="112"/>
      <c r="E122" s="113"/>
      <c r="F122" s="113"/>
      <c r="G122" s="113"/>
      <c r="H122" s="113"/>
      <c r="I122" s="113"/>
      <c r="J122" s="113"/>
      <c r="K122" s="113"/>
      <c r="L122" s="113"/>
      <c r="M122" s="113"/>
      <c r="N122" s="113"/>
      <c r="O122" s="113"/>
      <c r="P122" s="299"/>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c r="AO122" s="113"/>
      <c r="AP122" s="113"/>
      <c r="AQ122" s="113"/>
      <c r="AR122" s="113"/>
      <c r="AS122" s="113"/>
      <c r="AT122" s="113"/>
      <c r="AU122" s="113"/>
      <c r="AV122" s="113"/>
      <c r="AW122" s="113"/>
      <c r="AX122" s="113"/>
      <c r="AY122" s="113"/>
      <c r="AZ122" s="113"/>
      <c r="BA122" s="113"/>
      <c r="BB122" s="113"/>
      <c r="BD122" s="112"/>
      <c r="BE122" s="112"/>
    </row>
    <row r="123" spans="1:57" x14ac:dyDescent="0.25">
      <c r="A123" s="100">
        <v>17</v>
      </c>
      <c r="B123" s="29" t="s">
        <v>487</v>
      </c>
      <c r="D123" s="112"/>
      <c r="E123" s="230"/>
      <c r="F123" s="230"/>
      <c r="G123" s="230"/>
      <c r="H123" s="230"/>
      <c r="I123" s="230"/>
      <c r="J123" s="230"/>
      <c r="K123" s="230"/>
      <c r="L123" s="230"/>
      <c r="M123" s="230"/>
      <c r="N123" s="230"/>
      <c r="O123" s="230"/>
      <c r="P123" s="325"/>
      <c r="Q123" s="326"/>
      <c r="R123" s="326"/>
      <c r="S123" s="326"/>
      <c r="T123" s="326"/>
      <c r="U123" s="326"/>
      <c r="V123" s="326"/>
      <c r="W123" s="326"/>
      <c r="X123" s="326"/>
      <c r="Y123" s="326"/>
      <c r="Z123" s="326"/>
      <c r="AA123" s="326"/>
      <c r="AB123" s="326"/>
      <c r="AC123" s="326"/>
      <c r="AD123" s="326"/>
      <c r="AE123" s="326"/>
      <c r="AF123" s="326"/>
      <c r="AG123" s="326"/>
      <c r="AH123" s="326"/>
      <c r="AI123" s="326"/>
      <c r="AJ123" s="326"/>
      <c r="AK123" s="326"/>
      <c r="AL123" s="326"/>
      <c r="AM123" s="326"/>
      <c r="AN123" s="326"/>
      <c r="AO123" s="326"/>
      <c r="AP123" s="326"/>
      <c r="AQ123" s="326"/>
      <c r="AR123" s="326"/>
      <c r="AS123" s="326"/>
      <c r="AT123" s="326"/>
      <c r="AU123" s="326"/>
      <c r="AV123" s="326"/>
      <c r="AW123" s="326"/>
      <c r="AX123" s="326"/>
      <c r="AY123" s="326"/>
      <c r="AZ123" s="326"/>
      <c r="BA123" s="326"/>
      <c r="BB123" s="230"/>
      <c r="BC123" s="123"/>
      <c r="BD123" s="112"/>
      <c r="BE123" s="112"/>
    </row>
    <row r="124" spans="1:57" x14ac:dyDescent="0.25">
      <c r="B124" s="147" t="s">
        <v>488</v>
      </c>
      <c r="C124" s="147"/>
      <c r="D124" s="112"/>
      <c r="E124" s="113"/>
      <c r="F124" s="113"/>
      <c r="G124" s="113"/>
      <c r="H124" s="113"/>
      <c r="I124" s="113"/>
      <c r="J124" s="113"/>
      <c r="K124" s="113"/>
      <c r="L124" s="113"/>
      <c r="M124" s="113"/>
      <c r="N124" s="113"/>
      <c r="O124" s="113"/>
      <c r="P124" s="299"/>
      <c r="Q124" s="330"/>
      <c r="R124" s="330"/>
      <c r="S124" s="330"/>
      <c r="T124" s="330"/>
      <c r="U124" s="330"/>
      <c r="V124" s="330"/>
      <c r="W124" s="330"/>
      <c r="X124" s="330"/>
      <c r="Y124" s="330"/>
      <c r="Z124" s="330"/>
      <c r="AA124" s="330"/>
      <c r="AB124" s="330"/>
      <c r="AC124" s="330"/>
      <c r="AD124" s="330"/>
      <c r="AE124" s="330"/>
      <c r="AF124" s="330"/>
      <c r="AG124" s="330"/>
      <c r="AH124" s="330"/>
      <c r="AI124" s="330"/>
      <c r="AJ124" s="330"/>
      <c r="AK124" s="330"/>
      <c r="AL124" s="330"/>
      <c r="AM124" s="330"/>
      <c r="AN124" s="330"/>
      <c r="AO124" s="330"/>
      <c r="AP124" s="330"/>
      <c r="AQ124" s="330"/>
      <c r="AR124" s="330"/>
      <c r="AS124" s="330"/>
      <c r="AT124" s="330"/>
      <c r="AU124" s="330"/>
      <c r="AV124" s="330"/>
      <c r="AW124" s="330"/>
      <c r="AX124" s="330"/>
      <c r="AY124" s="330"/>
      <c r="AZ124" s="330"/>
      <c r="BA124" s="330"/>
      <c r="BB124" s="113"/>
      <c r="BD124" s="112"/>
      <c r="BE124" s="112"/>
    </row>
    <row r="125" spans="1:57" s="42" customFormat="1" x14ac:dyDescent="0.25">
      <c r="A125" s="41"/>
      <c r="B125" s="212" t="s">
        <v>489</v>
      </c>
      <c r="C125" s="212"/>
      <c r="D125" s="213"/>
      <c r="E125" s="307"/>
      <c r="F125" s="307"/>
      <c r="G125" s="307"/>
      <c r="H125" s="307"/>
      <c r="I125" s="307"/>
      <c r="J125" s="307"/>
      <c r="K125" s="307"/>
      <c r="L125" s="307"/>
      <c r="M125" s="307"/>
      <c r="N125" s="216"/>
      <c r="O125" s="216"/>
      <c r="P125" s="331"/>
      <c r="Q125" s="332"/>
      <c r="R125" s="332"/>
      <c r="S125" s="332"/>
      <c r="T125" s="332"/>
      <c r="U125" s="332"/>
      <c r="V125" s="332"/>
      <c r="W125" s="332"/>
      <c r="X125" s="332"/>
      <c r="Y125" s="332"/>
      <c r="Z125" s="332"/>
      <c r="AA125" s="332"/>
      <c r="AB125" s="332"/>
      <c r="AC125" s="332"/>
      <c r="AD125" s="332"/>
      <c r="AE125" s="332"/>
      <c r="AF125" s="332"/>
      <c r="AG125" s="332"/>
      <c r="AH125" s="332"/>
      <c r="AI125" s="332"/>
      <c r="AJ125" s="332"/>
      <c r="AK125" s="332"/>
      <c r="AL125" s="332"/>
      <c r="AM125" s="332"/>
      <c r="AN125" s="332"/>
      <c r="AO125" s="332"/>
      <c r="AP125" s="332"/>
      <c r="AQ125" s="332"/>
      <c r="AR125" s="332"/>
      <c r="AS125" s="332"/>
      <c r="AT125" s="332"/>
      <c r="AU125" s="332"/>
      <c r="AV125" s="332"/>
      <c r="AW125" s="332"/>
      <c r="AX125" s="332"/>
      <c r="AY125" s="332"/>
      <c r="AZ125" s="332"/>
      <c r="BA125" s="332"/>
      <c r="BB125" s="216"/>
      <c r="BC125" s="140"/>
      <c r="BD125" s="181"/>
      <c r="BE125" s="181"/>
    </row>
    <row r="126" spans="1:57" s="42" customFormat="1" x14ac:dyDescent="0.25">
      <c r="A126" s="41"/>
      <c r="D126" s="181"/>
      <c r="E126" s="184"/>
      <c r="F126" s="184"/>
      <c r="G126" s="184"/>
      <c r="H126" s="184"/>
      <c r="I126" s="184"/>
      <c r="J126" s="184"/>
      <c r="K126" s="184"/>
      <c r="L126" s="184"/>
      <c r="M126" s="184"/>
      <c r="N126" s="257"/>
      <c r="O126" s="257"/>
      <c r="P126" s="333"/>
      <c r="Q126" s="257"/>
      <c r="R126" s="257"/>
      <c r="S126" s="257"/>
      <c r="T126" s="257"/>
      <c r="U126" s="257"/>
      <c r="V126" s="257"/>
      <c r="W126" s="257"/>
      <c r="X126" s="257"/>
      <c r="Y126" s="257"/>
      <c r="Z126" s="257"/>
      <c r="AA126" s="257"/>
      <c r="AB126" s="257"/>
      <c r="AC126" s="257"/>
      <c r="AD126" s="257"/>
      <c r="AE126" s="257"/>
      <c r="AF126" s="257"/>
      <c r="AG126" s="257"/>
      <c r="AH126" s="257"/>
      <c r="AI126" s="257"/>
      <c r="AJ126" s="257"/>
      <c r="AK126" s="257"/>
      <c r="AL126" s="257"/>
      <c r="AM126" s="257"/>
      <c r="AN126" s="257"/>
      <c r="AO126" s="257"/>
      <c r="AP126" s="257"/>
      <c r="AQ126" s="257"/>
      <c r="AR126" s="257"/>
      <c r="AS126" s="257"/>
      <c r="AT126" s="257"/>
      <c r="AU126" s="257"/>
      <c r="AV126" s="257"/>
      <c r="AW126" s="257"/>
      <c r="AX126" s="257"/>
      <c r="AY126" s="257"/>
      <c r="AZ126" s="257"/>
      <c r="BA126" s="257"/>
      <c r="BB126" s="257"/>
      <c r="BC126" s="123"/>
      <c r="BD126" s="181"/>
      <c r="BE126" s="181"/>
    </row>
    <row r="127" spans="1:57" x14ac:dyDescent="0.25">
      <c r="A127" s="64"/>
      <c r="B127" s="116" t="s">
        <v>490</v>
      </c>
      <c r="C127" s="116"/>
      <c r="D127" s="112"/>
      <c r="E127" s="170"/>
      <c r="F127" s="170"/>
      <c r="G127" s="170"/>
      <c r="H127" s="170"/>
      <c r="I127" s="219">
        <f>+I102-I116-I120-I123</f>
        <v>81.496460687999999</v>
      </c>
      <c r="J127" s="219">
        <f>+J102-J116-J120-J123</f>
        <v>184.76550387699999</v>
      </c>
      <c r="K127" s="219">
        <f t="shared" ref="K127:Z127" si="93">+K102-K116-K120-K123</f>
        <v>122.39153793400001</v>
      </c>
      <c r="L127" s="219">
        <f t="shared" si="93"/>
        <v>142.35280390200001</v>
      </c>
      <c r="M127" s="219">
        <f t="shared" si="93"/>
        <v>140.18412423200002</v>
      </c>
      <c r="N127" s="219">
        <f t="shared" si="93"/>
        <v>125.16012716899999</v>
      </c>
      <c r="O127" s="219">
        <f t="shared" si="93"/>
        <v>138.91641703799999</v>
      </c>
      <c r="P127" s="1791">
        <f t="shared" si="93"/>
        <v>158.58410142747999</v>
      </c>
      <c r="Q127" s="228">
        <f t="shared" ca="1" si="93"/>
        <v>199.14699967576132</v>
      </c>
      <c r="R127" s="228">
        <f t="shared" ca="1" si="93"/>
        <v>196.93417316807199</v>
      </c>
      <c r="S127" s="228">
        <f t="shared" ca="1" si="93"/>
        <v>286.2740801613358</v>
      </c>
      <c r="T127" s="228">
        <f t="shared" ca="1" si="93"/>
        <v>330.34513180438529</v>
      </c>
      <c r="U127" s="228">
        <f t="shared" ca="1" si="93"/>
        <v>381.74550574175225</v>
      </c>
      <c r="V127" s="228">
        <f t="shared" ca="1" si="93"/>
        <v>418.98450601289568</v>
      </c>
      <c r="W127" s="228">
        <f t="shared" ca="1" si="93"/>
        <v>463.48319567638538</v>
      </c>
      <c r="X127" s="228">
        <f t="shared" ca="1" si="93"/>
        <v>487.74006733071178</v>
      </c>
      <c r="Y127" s="228">
        <f t="shared" ca="1" si="93"/>
        <v>514.78378560234319</v>
      </c>
      <c r="Z127" s="228">
        <f t="shared" ca="1" si="93"/>
        <v>543.64142656040394</v>
      </c>
      <c r="AA127" s="228"/>
      <c r="AB127" s="224"/>
      <c r="AC127" s="224"/>
      <c r="AD127" s="224"/>
      <c r="AE127" s="224"/>
      <c r="AF127" s="224"/>
      <c r="AG127" s="224"/>
      <c r="AH127" s="224"/>
      <c r="AI127" s="224"/>
      <c r="AJ127" s="224"/>
      <c r="AK127" s="224"/>
      <c r="AL127" s="224"/>
      <c r="AM127" s="224"/>
      <c r="AN127" s="224"/>
      <c r="AO127" s="224"/>
      <c r="AP127" s="224"/>
      <c r="AQ127" s="224"/>
      <c r="AR127" s="224"/>
      <c r="AS127" s="224"/>
      <c r="AT127" s="224"/>
      <c r="AU127" s="224"/>
      <c r="AV127" s="224"/>
      <c r="AW127" s="224"/>
      <c r="AX127" s="224"/>
      <c r="AY127" s="224"/>
      <c r="AZ127" s="224"/>
      <c r="BA127" s="224"/>
      <c r="BB127" s="230"/>
      <c r="BC127" s="123"/>
      <c r="BD127" s="112"/>
      <c r="BE127" s="112"/>
    </row>
    <row r="128" spans="1:57" s="281" customFormat="1" x14ac:dyDescent="0.25">
      <c r="A128" s="132"/>
      <c r="B128" s="133" t="s">
        <v>491</v>
      </c>
      <c r="C128" s="133"/>
      <c r="D128" s="279"/>
      <c r="E128" s="135"/>
      <c r="F128" s="135"/>
      <c r="G128" s="135"/>
      <c r="H128" s="135"/>
      <c r="I128" s="136">
        <f>I106-I118-I121-I125</f>
        <v>81.496460687999999</v>
      </c>
      <c r="J128" s="136">
        <f>J106-J118-J121-J125</f>
        <v>184.76550387699999</v>
      </c>
      <c r="K128" s="136">
        <f t="shared" ref="K128:Z128" si="94">K106-K118-K121-K125</f>
        <v>122.39153793400001</v>
      </c>
      <c r="L128" s="136">
        <f t="shared" si="94"/>
        <v>142.35280390200001</v>
      </c>
      <c r="M128" s="136">
        <f t="shared" si="94"/>
        <v>140.18412423200002</v>
      </c>
      <c r="N128" s="136">
        <f t="shared" si="94"/>
        <v>125.16012716899999</v>
      </c>
      <c r="O128" s="136">
        <f t="shared" si="94"/>
        <v>138.91641703799999</v>
      </c>
      <c r="P128" s="1782">
        <f t="shared" si="94"/>
        <v>158.58410142747999</v>
      </c>
      <c r="Q128" s="137">
        <f t="shared" ca="1" si="94"/>
        <v>199.14699967576132</v>
      </c>
      <c r="R128" s="137">
        <f t="shared" ca="1" si="94"/>
        <v>196.93417316807199</v>
      </c>
      <c r="S128" s="137">
        <f t="shared" ca="1" si="94"/>
        <v>286.2740801613358</v>
      </c>
      <c r="T128" s="137">
        <f t="shared" ca="1" si="94"/>
        <v>330.34513180438529</v>
      </c>
      <c r="U128" s="137">
        <f t="shared" ca="1" si="94"/>
        <v>381.74550574175225</v>
      </c>
      <c r="V128" s="137">
        <f t="shared" ca="1" si="94"/>
        <v>418.98450601289568</v>
      </c>
      <c r="W128" s="137">
        <f t="shared" ca="1" si="94"/>
        <v>463.48319567638538</v>
      </c>
      <c r="X128" s="137">
        <f t="shared" ca="1" si="94"/>
        <v>487.74006733071178</v>
      </c>
      <c r="Y128" s="137">
        <f t="shared" ca="1" si="94"/>
        <v>514.78378560234319</v>
      </c>
      <c r="Z128" s="137">
        <f t="shared" ca="1" si="94"/>
        <v>543.64142656040394</v>
      </c>
      <c r="AA128" s="137"/>
      <c r="AB128" s="138"/>
      <c r="AC128" s="138"/>
      <c r="AD128" s="138"/>
      <c r="AE128" s="138"/>
      <c r="AF128" s="138"/>
      <c r="AG128" s="138"/>
      <c r="AH128" s="138"/>
      <c r="AI128" s="138"/>
      <c r="AJ128" s="138"/>
      <c r="AK128" s="138"/>
      <c r="AL128" s="138"/>
      <c r="AM128" s="138"/>
      <c r="AN128" s="138"/>
      <c r="AO128" s="138"/>
      <c r="AP128" s="138"/>
      <c r="AQ128" s="138"/>
      <c r="AR128" s="138"/>
      <c r="AS128" s="138"/>
      <c r="AT128" s="138"/>
      <c r="AU128" s="138"/>
      <c r="AV128" s="138"/>
      <c r="AW128" s="138"/>
      <c r="AX128" s="138"/>
      <c r="AY128" s="138"/>
      <c r="AZ128" s="138"/>
      <c r="BA128" s="138"/>
      <c r="BB128" s="257"/>
      <c r="BC128" s="123"/>
      <c r="BD128" s="280"/>
      <c r="BE128" s="280"/>
    </row>
    <row r="129" spans="1:57" x14ac:dyDescent="0.25">
      <c r="D129" s="112"/>
      <c r="E129" s="66"/>
      <c r="F129" s="66"/>
      <c r="G129" s="66"/>
      <c r="H129" s="66"/>
      <c r="I129" s="66"/>
      <c r="J129" s="66"/>
      <c r="K129" s="66"/>
      <c r="L129" s="66"/>
      <c r="M129" s="66"/>
      <c r="N129" s="170"/>
      <c r="O129" s="170"/>
      <c r="P129" s="171"/>
      <c r="Q129" s="170"/>
      <c r="R129" s="170"/>
      <c r="S129" s="170"/>
      <c r="T129" s="170"/>
      <c r="U129" s="170"/>
      <c r="V129" s="170"/>
      <c r="W129" s="170"/>
      <c r="X129" s="170"/>
      <c r="Y129" s="170"/>
      <c r="Z129" s="170"/>
      <c r="AA129" s="170"/>
      <c r="AB129" s="170"/>
      <c r="AC129" s="170"/>
      <c r="AD129" s="170"/>
      <c r="AE129" s="170"/>
      <c r="AF129" s="170"/>
      <c r="AG129" s="170"/>
      <c r="AH129" s="170"/>
      <c r="AI129" s="170"/>
      <c r="AJ129" s="170"/>
      <c r="AK129" s="170"/>
      <c r="AL129" s="170"/>
      <c r="AM129" s="170"/>
      <c r="AN129" s="170"/>
      <c r="AO129" s="170"/>
      <c r="AP129" s="170"/>
      <c r="AQ129" s="170"/>
      <c r="AR129" s="170"/>
      <c r="AS129" s="170"/>
      <c r="AT129" s="170"/>
      <c r="AU129" s="170"/>
      <c r="AV129" s="170"/>
      <c r="AW129" s="170"/>
      <c r="AX129" s="170"/>
      <c r="AY129" s="170"/>
      <c r="AZ129" s="170"/>
      <c r="BA129" s="170"/>
      <c r="BB129" s="113"/>
      <c r="BD129" s="112"/>
      <c r="BE129" s="112"/>
    </row>
    <row r="130" spans="1:57" ht="15" customHeight="1" x14ac:dyDescent="0.25">
      <c r="A130" s="100">
        <v>18</v>
      </c>
      <c r="B130" s="29" t="s">
        <v>492</v>
      </c>
      <c r="D130" s="112"/>
      <c r="E130" s="157"/>
      <c r="F130" s="157"/>
      <c r="G130" s="157"/>
      <c r="H130" s="157"/>
      <c r="I130" s="158">
        <f>'Welfare &amp; Dividends'!I12</f>
        <v>62.8</v>
      </c>
      <c r="J130" s="158">
        <f>'Welfare &amp; Dividends'!J12</f>
        <v>62.8</v>
      </c>
      <c r="K130" s="158">
        <f>'Welfare &amp; Dividends'!K12</f>
        <v>78.599999999999994</v>
      </c>
      <c r="L130" s="158">
        <f>'Welfare &amp; Dividends'!L12</f>
        <v>78.5685</v>
      </c>
      <c r="M130" s="158">
        <f>'Welfare &amp; Dividends'!M12</f>
        <v>78.568372499999995</v>
      </c>
      <c r="N130" s="158">
        <f>'Welfare &amp; Dividends'!N12</f>
        <v>78.5685</v>
      </c>
      <c r="O130" s="158">
        <f>'Welfare &amp; Dividends'!O12</f>
        <v>78.5685</v>
      </c>
      <c r="P130" s="1783">
        <f>'Welfare &amp; Dividends'!P12</f>
        <v>0.46600000000000003</v>
      </c>
      <c r="Q130" s="228">
        <f>+Q132*Q138*10</f>
        <v>28.786179500000003</v>
      </c>
      <c r="R130" s="228">
        <f t="shared" ref="R130:Z130" si="95">+R132*R138*10</f>
        <v>28.786179500000003</v>
      </c>
      <c r="S130" s="228">
        <f t="shared" si="95"/>
        <v>57.572359000000006</v>
      </c>
      <c r="T130" s="228">
        <f t="shared" si="95"/>
        <v>115.14471800000001</v>
      </c>
      <c r="U130" s="228">
        <f t="shared" si="95"/>
        <v>115.14471800000001</v>
      </c>
      <c r="V130" s="228">
        <f t="shared" si="95"/>
        <v>143.93089749999999</v>
      </c>
      <c r="W130" s="228">
        <f t="shared" si="95"/>
        <v>201.50325649999999</v>
      </c>
      <c r="X130" s="228">
        <f t="shared" si="95"/>
        <v>201.50325649999999</v>
      </c>
      <c r="Y130" s="228">
        <f t="shared" si="95"/>
        <v>287.86179499999997</v>
      </c>
      <c r="Z130" s="228">
        <f t="shared" si="95"/>
        <v>316.64797450000003</v>
      </c>
      <c r="AA130" s="228"/>
      <c r="AB130" s="224"/>
      <c r="AC130" s="224"/>
      <c r="AD130" s="224"/>
      <c r="AE130" s="224"/>
      <c r="AF130" s="224"/>
      <c r="AG130" s="224"/>
      <c r="AH130" s="224"/>
      <c r="AI130" s="224"/>
      <c r="AJ130" s="224"/>
      <c r="AK130" s="224"/>
      <c r="AL130" s="224"/>
      <c r="AM130" s="224"/>
      <c r="AN130" s="224"/>
      <c r="AO130" s="224"/>
      <c r="AP130" s="224"/>
      <c r="AQ130" s="224"/>
      <c r="AR130" s="224"/>
      <c r="AS130" s="224"/>
      <c r="AT130" s="224"/>
      <c r="AU130" s="224"/>
      <c r="AV130" s="224"/>
      <c r="AW130" s="224"/>
      <c r="AX130" s="224"/>
      <c r="AY130" s="224"/>
      <c r="AZ130" s="224"/>
      <c r="BA130" s="224"/>
      <c r="BB130" s="113"/>
      <c r="BC130" s="323"/>
      <c r="BD130" s="112"/>
      <c r="BE130" s="112"/>
    </row>
    <row r="131" spans="1:57" s="180" customFormat="1" x14ac:dyDescent="0.25">
      <c r="A131" s="189"/>
      <c r="B131" s="175" t="s">
        <v>493</v>
      </c>
      <c r="C131" s="175"/>
      <c r="E131" s="148"/>
      <c r="F131" s="148"/>
      <c r="G131" s="148"/>
      <c r="H131" s="148"/>
      <c r="I131" s="264">
        <f>IFERROR(I133/I106,"")</f>
        <v>0.56324657852353655</v>
      </c>
      <c r="J131" s="264">
        <f>IFERROR(J133/J106,"")</f>
        <v>0.2924119510178258</v>
      </c>
      <c r="K131" s="264">
        <f t="shared" ref="K131:Z131" si="96">IFERROR(K133/K106,"")</f>
        <v>0.5555102527521022</v>
      </c>
      <c r="L131" s="264">
        <f t="shared" si="96"/>
        <v>0.47793734690095824</v>
      </c>
      <c r="M131" s="264">
        <f t="shared" si="96"/>
        <v>0.48200036638364402</v>
      </c>
      <c r="N131" s="264">
        <f t="shared" si="96"/>
        <v>0.55241458733007676</v>
      </c>
      <c r="O131" s="264">
        <f t="shared" si="96"/>
        <v>0.49771136827583995</v>
      </c>
      <c r="P131" s="1798">
        <f t="shared" si="96"/>
        <v>2.5271149674620393E-3</v>
      </c>
      <c r="Q131" s="265">
        <f t="shared" ca="1" si="96"/>
        <v>0.12536934718251858</v>
      </c>
      <c r="R131" s="265">
        <f t="shared" ca="1" si="96"/>
        <v>0.12692443972272857</v>
      </c>
      <c r="S131" s="265">
        <f t="shared" ca="1" si="96"/>
        <v>0.1747234230530666</v>
      </c>
      <c r="T131" s="265">
        <f t="shared" ca="1" si="96"/>
        <v>0.30296972255919397</v>
      </c>
      <c r="U131" s="265">
        <f t="shared" ca="1" si="96"/>
        <v>0.26257288355885855</v>
      </c>
      <c r="V131" s="265">
        <f t="shared" ca="1" si="96"/>
        <v>0.29857939849282999</v>
      </c>
      <c r="W131" s="265">
        <f t="shared" ca="1" si="96"/>
        <v>0.37720545323744004</v>
      </c>
      <c r="X131" s="265">
        <f t="shared" ca="1" si="96"/>
        <v>0.35889555634634573</v>
      </c>
      <c r="Y131" s="265">
        <f t="shared" ca="1" si="96"/>
        <v>0.48588397352082036</v>
      </c>
      <c r="Z131" s="265">
        <f t="shared" ca="1" si="96"/>
        <v>0.50614988730488786</v>
      </c>
      <c r="AA131" s="150"/>
      <c r="AB131" s="150"/>
      <c r="AC131" s="150"/>
      <c r="AD131" s="150"/>
      <c r="AE131" s="150"/>
      <c r="AF131" s="150"/>
      <c r="AG131" s="150"/>
      <c r="AH131" s="150"/>
      <c r="AI131" s="150"/>
      <c r="AJ131" s="150"/>
      <c r="AK131" s="150"/>
      <c r="AL131" s="150"/>
      <c r="AM131" s="150"/>
      <c r="AN131" s="150"/>
      <c r="AO131" s="150"/>
      <c r="AP131" s="150"/>
      <c r="AQ131" s="150"/>
      <c r="AR131" s="150"/>
      <c r="AS131" s="150"/>
      <c r="AT131" s="150"/>
      <c r="AU131" s="150"/>
      <c r="AV131" s="150"/>
      <c r="AW131" s="150"/>
      <c r="AX131" s="150"/>
      <c r="AY131" s="150"/>
      <c r="AZ131" s="150"/>
      <c r="BA131" s="150"/>
      <c r="BB131" s="198"/>
      <c r="BC131" s="323"/>
    </row>
    <row r="132" spans="1:57" s="180" customFormat="1" x14ac:dyDescent="0.25">
      <c r="A132" s="189"/>
      <c r="B132" s="175" t="s">
        <v>494</v>
      </c>
      <c r="C132" s="175"/>
      <c r="E132" s="148"/>
      <c r="F132" s="148"/>
      <c r="G132" s="148"/>
      <c r="H132" s="148"/>
      <c r="I132" s="264">
        <f>IFERROR(I130/I138/10,"")</f>
        <v>0.14981556463482409</v>
      </c>
      <c r="J132" s="264">
        <f>IFERROR(J130/J138/10,"")</f>
        <v>0.14981556463482409</v>
      </c>
      <c r="K132" s="264">
        <f t="shared" ref="K132:P132" si="97">IFERROR(K130/K138/10,"")</f>
        <v>0.15006034201272039</v>
      </c>
      <c r="L132" s="264">
        <f t="shared" si="97"/>
        <v>0.15000024341855878</v>
      </c>
      <c r="M132" s="264">
        <f t="shared" si="97"/>
        <v>0.15</v>
      </c>
      <c r="N132" s="264">
        <f t="shared" si="97"/>
        <v>0.15000024341855878</v>
      </c>
      <c r="O132" s="264">
        <f t="shared" si="97"/>
        <v>0.15011488105934179</v>
      </c>
      <c r="P132" s="1801">
        <f t="shared" si="97"/>
        <v>8.0941619918683551E-4</v>
      </c>
      <c r="Q132" s="260">
        <v>0.05</v>
      </c>
      <c r="R132" s="260">
        <v>0.05</v>
      </c>
      <c r="S132" s="260">
        <v>0.1</v>
      </c>
      <c r="T132" s="260">
        <v>0.2</v>
      </c>
      <c r="U132" s="260">
        <f t="shared" ref="U132" si="98">T132</f>
        <v>0.2</v>
      </c>
      <c r="V132" s="260">
        <v>0.25</v>
      </c>
      <c r="W132" s="260">
        <v>0.35</v>
      </c>
      <c r="X132" s="260">
        <f>W132</f>
        <v>0.35</v>
      </c>
      <c r="Y132" s="260">
        <v>0.5</v>
      </c>
      <c r="Z132" s="260">
        <v>0.55000000000000004</v>
      </c>
      <c r="AA132" s="260"/>
      <c r="AB132" s="334"/>
      <c r="AC132" s="334"/>
      <c r="AD132" s="334"/>
      <c r="AE132" s="334"/>
      <c r="AF132" s="334"/>
      <c r="AG132" s="334"/>
      <c r="AH132" s="334"/>
      <c r="AI132" s="334"/>
      <c r="AJ132" s="334"/>
      <c r="AK132" s="334"/>
      <c r="AL132" s="334"/>
      <c r="AM132" s="334"/>
      <c r="AN132" s="334"/>
      <c r="AO132" s="334"/>
      <c r="AP132" s="334"/>
      <c r="AQ132" s="334"/>
      <c r="AR132" s="334"/>
      <c r="AS132" s="334"/>
      <c r="AT132" s="334"/>
      <c r="AU132" s="334"/>
      <c r="AV132" s="334"/>
      <c r="AW132" s="334"/>
      <c r="AX132" s="334"/>
      <c r="AY132" s="334"/>
      <c r="AZ132" s="334"/>
      <c r="BA132" s="334"/>
      <c r="BB132" s="198"/>
      <c r="BC132" s="323"/>
    </row>
    <row r="133" spans="1:57" s="42" customFormat="1" x14ac:dyDescent="0.25">
      <c r="A133" s="41"/>
      <c r="B133" s="212" t="s">
        <v>495</v>
      </c>
      <c r="C133" s="212"/>
      <c r="D133" s="213"/>
      <c r="E133" s="304"/>
      <c r="F133" s="304"/>
      <c r="G133" s="304"/>
      <c r="H133" s="304"/>
      <c r="I133" s="335">
        <f>I130</f>
        <v>62.8</v>
      </c>
      <c r="J133" s="335">
        <f>J130</f>
        <v>62.8</v>
      </c>
      <c r="K133" s="335">
        <f t="shared" ref="K133:Z133" si="99">K130</f>
        <v>78.599999999999994</v>
      </c>
      <c r="L133" s="335">
        <f t="shared" si="99"/>
        <v>78.5685</v>
      </c>
      <c r="M133" s="335">
        <f t="shared" si="99"/>
        <v>78.568372499999995</v>
      </c>
      <c r="N133" s="335">
        <f t="shared" si="99"/>
        <v>78.5685</v>
      </c>
      <c r="O133" s="335">
        <f t="shared" si="99"/>
        <v>78.5685</v>
      </c>
      <c r="P133" s="1802">
        <f t="shared" si="99"/>
        <v>0.46600000000000003</v>
      </c>
      <c r="Q133" s="336">
        <f t="shared" si="99"/>
        <v>28.786179500000003</v>
      </c>
      <c r="R133" s="336">
        <f t="shared" si="99"/>
        <v>28.786179500000003</v>
      </c>
      <c r="S133" s="336">
        <f t="shared" si="99"/>
        <v>57.572359000000006</v>
      </c>
      <c r="T133" s="336">
        <f t="shared" si="99"/>
        <v>115.14471800000001</v>
      </c>
      <c r="U133" s="336">
        <f t="shared" si="99"/>
        <v>115.14471800000001</v>
      </c>
      <c r="V133" s="336">
        <f t="shared" si="99"/>
        <v>143.93089749999999</v>
      </c>
      <c r="W133" s="336">
        <f t="shared" si="99"/>
        <v>201.50325649999999</v>
      </c>
      <c r="X133" s="336">
        <f t="shared" si="99"/>
        <v>201.50325649999999</v>
      </c>
      <c r="Y133" s="336">
        <f t="shared" si="99"/>
        <v>287.86179499999997</v>
      </c>
      <c r="Z133" s="336">
        <f t="shared" si="99"/>
        <v>316.64797450000003</v>
      </c>
      <c r="AA133" s="336"/>
      <c r="AB133" s="306"/>
      <c r="AC133" s="306"/>
      <c r="AD133" s="306"/>
      <c r="AE133" s="306"/>
      <c r="AF133" s="306"/>
      <c r="AG133" s="306"/>
      <c r="AH133" s="306"/>
      <c r="AI133" s="306"/>
      <c r="AJ133" s="306"/>
      <c r="AK133" s="306"/>
      <c r="AL133" s="306"/>
      <c r="AM133" s="306"/>
      <c r="AN133" s="306"/>
      <c r="AO133" s="306"/>
      <c r="AP133" s="306"/>
      <c r="AQ133" s="306"/>
      <c r="AR133" s="306"/>
      <c r="AS133" s="306"/>
      <c r="AT133" s="306"/>
      <c r="AU133" s="306"/>
      <c r="AV133" s="306"/>
      <c r="AW133" s="306"/>
      <c r="AX133" s="306"/>
      <c r="AY133" s="306"/>
      <c r="AZ133" s="306"/>
      <c r="BA133" s="306"/>
      <c r="BB133" s="307"/>
      <c r="BC133" s="337"/>
      <c r="BD133" s="181"/>
      <c r="BE133" s="181"/>
    </row>
    <row r="134" spans="1:57" s="42" customFormat="1" x14ac:dyDescent="0.25">
      <c r="A134" s="41"/>
      <c r="D134" s="181"/>
      <c r="E134" s="184"/>
      <c r="F134" s="184"/>
      <c r="G134" s="184"/>
      <c r="H134" s="184"/>
      <c r="I134" s="184"/>
      <c r="J134" s="184"/>
      <c r="K134" s="184"/>
      <c r="L134" s="184"/>
      <c r="M134" s="184"/>
      <c r="N134" s="184"/>
      <c r="O134" s="184"/>
      <c r="P134" s="338"/>
      <c r="Q134" s="184"/>
      <c r="R134" s="184"/>
      <c r="S134" s="184"/>
      <c r="T134" s="184"/>
      <c r="U134" s="184"/>
      <c r="V134" s="184"/>
      <c r="W134" s="184"/>
      <c r="X134" s="184"/>
      <c r="Y134" s="184"/>
      <c r="Z134" s="184"/>
      <c r="AA134" s="184"/>
      <c r="AB134" s="184"/>
      <c r="AC134" s="184"/>
      <c r="AD134" s="184"/>
      <c r="AE134" s="184"/>
      <c r="AF134" s="184"/>
      <c r="AG134" s="184"/>
      <c r="AH134" s="184"/>
      <c r="AI134" s="184"/>
      <c r="AJ134" s="184"/>
      <c r="AK134" s="184"/>
      <c r="AL134" s="184"/>
      <c r="AM134" s="184"/>
      <c r="AN134" s="184"/>
      <c r="AO134" s="184"/>
      <c r="AP134" s="184"/>
      <c r="AQ134" s="184"/>
      <c r="AR134" s="184"/>
      <c r="AS134" s="184"/>
      <c r="AT134" s="184"/>
      <c r="AU134" s="184"/>
      <c r="AV134" s="184"/>
      <c r="AW134" s="184"/>
      <c r="AX134" s="184"/>
      <c r="AY134" s="184"/>
      <c r="AZ134" s="184"/>
      <c r="BA134" s="184"/>
      <c r="BB134" s="184"/>
      <c r="BC134" s="339"/>
      <c r="BD134" s="181"/>
      <c r="BE134" s="181"/>
    </row>
    <row r="135" spans="1:57" x14ac:dyDescent="0.25">
      <c r="A135" s="64"/>
      <c r="B135" s="29" t="s">
        <v>496</v>
      </c>
      <c r="D135" s="112"/>
      <c r="E135" s="170"/>
      <c r="F135" s="170"/>
      <c r="G135" s="170"/>
      <c r="H135" s="170"/>
      <c r="I135" s="170"/>
      <c r="J135" s="170"/>
      <c r="K135" s="170"/>
      <c r="L135" s="170"/>
      <c r="M135" s="170"/>
      <c r="N135" s="170"/>
      <c r="O135" s="170"/>
      <c r="P135" s="171"/>
      <c r="Q135" s="228">
        <f ca="1">Q127-Q130</f>
        <v>170.36082017576132</v>
      </c>
      <c r="R135" s="228">
        <f t="shared" ref="R135:Z135" ca="1" si="100">R127-R130</f>
        <v>168.14799366807199</v>
      </c>
      <c r="S135" s="228">
        <f t="shared" ca="1" si="100"/>
        <v>228.7017211613358</v>
      </c>
      <c r="T135" s="228">
        <f t="shared" ca="1" si="100"/>
        <v>215.20041380438528</v>
      </c>
      <c r="U135" s="228">
        <f t="shared" ca="1" si="100"/>
        <v>266.60078774175224</v>
      </c>
      <c r="V135" s="228">
        <f t="shared" ca="1" si="100"/>
        <v>275.05360851289572</v>
      </c>
      <c r="W135" s="228">
        <f t="shared" ca="1" si="100"/>
        <v>261.97993917638541</v>
      </c>
      <c r="X135" s="228">
        <f t="shared" ca="1" si="100"/>
        <v>286.23681083071176</v>
      </c>
      <c r="Y135" s="228">
        <f t="shared" ca="1" si="100"/>
        <v>226.92199060234321</v>
      </c>
      <c r="Z135" s="228">
        <f t="shared" ca="1" si="100"/>
        <v>226.99345206040391</v>
      </c>
      <c r="AA135" s="228"/>
      <c r="AB135" s="224"/>
      <c r="AC135" s="224"/>
      <c r="AD135" s="224"/>
      <c r="AE135" s="224"/>
      <c r="AF135" s="224"/>
      <c r="AG135" s="224"/>
      <c r="AH135" s="224"/>
      <c r="AI135" s="224"/>
      <c r="AJ135" s="224"/>
      <c r="AK135" s="224"/>
      <c r="AL135" s="224"/>
      <c r="AM135" s="224"/>
      <c r="AN135" s="224"/>
      <c r="AO135" s="224"/>
      <c r="AP135" s="224"/>
      <c r="AQ135" s="224"/>
      <c r="AR135" s="224"/>
      <c r="AS135" s="224"/>
      <c r="AT135" s="224"/>
      <c r="AU135" s="224"/>
      <c r="AV135" s="224"/>
      <c r="AW135" s="224"/>
      <c r="AX135" s="224"/>
      <c r="AY135" s="224"/>
      <c r="AZ135" s="224"/>
      <c r="BA135" s="224"/>
      <c r="BB135" s="113"/>
      <c r="BC135" s="339"/>
      <c r="BD135" s="112"/>
      <c r="BE135" s="112"/>
    </row>
    <row r="136" spans="1:57" s="42" customFormat="1" x14ac:dyDescent="0.25">
      <c r="A136" s="41"/>
      <c r="B136" s="212" t="s">
        <v>497</v>
      </c>
      <c r="C136" s="212"/>
      <c r="D136" s="213"/>
      <c r="E136" s="135"/>
      <c r="F136" s="135"/>
      <c r="G136" s="135"/>
      <c r="H136" s="135"/>
      <c r="I136" s="1879">
        <f t="shared" ref="I136:P136" si="101">I128-I133</f>
        <v>18.696460688000002</v>
      </c>
      <c r="J136" s="1879">
        <f t="shared" si="101"/>
        <v>121.96550387699999</v>
      </c>
      <c r="K136" s="1879">
        <f t="shared" si="101"/>
        <v>43.791537934000019</v>
      </c>
      <c r="L136" s="1879">
        <f t="shared" si="101"/>
        <v>63.784303902000005</v>
      </c>
      <c r="M136" s="1879">
        <f t="shared" si="101"/>
        <v>61.615751732000021</v>
      </c>
      <c r="N136" s="1879">
        <f t="shared" si="101"/>
        <v>46.591627168999992</v>
      </c>
      <c r="O136" s="1879">
        <f t="shared" si="101"/>
        <v>60.347917037999991</v>
      </c>
      <c r="P136" s="1879">
        <f t="shared" si="101"/>
        <v>158.11810142747998</v>
      </c>
      <c r="Q136" s="137">
        <f ca="1">Q128-Q133</f>
        <v>170.36082017576132</v>
      </c>
      <c r="R136" s="137">
        <f t="shared" ref="R136:Z136" ca="1" si="102">R128-R133</f>
        <v>168.14799366807199</v>
      </c>
      <c r="S136" s="137">
        <f t="shared" ca="1" si="102"/>
        <v>228.7017211613358</v>
      </c>
      <c r="T136" s="137">
        <f t="shared" ca="1" si="102"/>
        <v>215.20041380438528</v>
      </c>
      <c r="U136" s="137">
        <f t="shared" ca="1" si="102"/>
        <v>266.60078774175224</v>
      </c>
      <c r="V136" s="137">
        <f t="shared" ca="1" si="102"/>
        <v>275.05360851289572</v>
      </c>
      <c r="W136" s="137">
        <f t="shared" ca="1" si="102"/>
        <v>261.97993917638541</v>
      </c>
      <c r="X136" s="137">
        <f t="shared" ca="1" si="102"/>
        <v>286.23681083071176</v>
      </c>
      <c r="Y136" s="137">
        <f t="shared" ca="1" si="102"/>
        <v>226.92199060234321</v>
      </c>
      <c r="Z136" s="137">
        <f t="shared" ca="1" si="102"/>
        <v>226.99345206040391</v>
      </c>
      <c r="AA136" s="137"/>
      <c r="AB136" s="138"/>
      <c r="AC136" s="138"/>
      <c r="AD136" s="138"/>
      <c r="AE136" s="138"/>
      <c r="AF136" s="138"/>
      <c r="AG136" s="138"/>
      <c r="AH136" s="138"/>
      <c r="AI136" s="138"/>
      <c r="AJ136" s="138"/>
      <c r="AK136" s="138"/>
      <c r="AL136" s="138"/>
      <c r="AM136" s="138"/>
      <c r="AN136" s="138"/>
      <c r="AO136" s="138"/>
      <c r="AP136" s="138"/>
      <c r="AQ136" s="138"/>
      <c r="AR136" s="138"/>
      <c r="AS136" s="138"/>
      <c r="AT136" s="138"/>
      <c r="AU136" s="138"/>
      <c r="AV136" s="138"/>
      <c r="AW136" s="138"/>
      <c r="AX136" s="138"/>
      <c r="AY136" s="138"/>
      <c r="AZ136" s="138"/>
      <c r="BA136" s="138"/>
      <c r="BB136" s="257"/>
      <c r="BC136" s="123"/>
      <c r="BD136" s="181"/>
      <c r="BE136" s="181"/>
    </row>
    <row r="137" spans="1:57" s="42" customFormat="1" x14ac:dyDescent="0.25">
      <c r="A137" s="41"/>
      <c r="D137" s="181"/>
      <c r="E137" s="153"/>
      <c r="F137" s="153"/>
      <c r="G137" s="153"/>
      <c r="H137" s="153"/>
      <c r="I137" s="153"/>
      <c r="J137" s="153"/>
      <c r="K137" s="153"/>
      <c r="L137" s="153"/>
      <c r="M137" s="153"/>
      <c r="N137" s="153"/>
      <c r="O137" s="153"/>
      <c r="P137" s="154"/>
      <c r="Q137" s="153"/>
      <c r="R137" s="153"/>
      <c r="S137" s="153"/>
      <c r="T137" s="153"/>
      <c r="U137" s="153"/>
      <c r="V137" s="153"/>
      <c r="W137" s="153"/>
      <c r="X137" s="153"/>
      <c r="Y137" s="153"/>
      <c r="Z137" s="153"/>
      <c r="AA137" s="153"/>
      <c r="AB137" s="153"/>
      <c r="AC137" s="153"/>
      <c r="AD137" s="153"/>
      <c r="AE137" s="153"/>
      <c r="AF137" s="153"/>
      <c r="AG137" s="153"/>
      <c r="AH137" s="153"/>
      <c r="AI137" s="153"/>
      <c r="AJ137" s="153"/>
      <c r="AK137" s="153"/>
      <c r="AL137" s="153"/>
      <c r="AM137" s="153"/>
      <c r="AN137" s="153"/>
      <c r="AO137" s="153"/>
      <c r="AP137" s="153"/>
      <c r="AQ137" s="153"/>
      <c r="AR137" s="153"/>
      <c r="AS137" s="153"/>
      <c r="AT137" s="153"/>
      <c r="AU137" s="153"/>
      <c r="AV137" s="153"/>
      <c r="AW137" s="153"/>
      <c r="AX137" s="153"/>
      <c r="AY137" s="153"/>
      <c r="AZ137" s="153"/>
      <c r="BA137" s="153"/>
      <c r="BB137" s="257"/>
      <c r="BC137" s="123"/>
      <c r="BD137" s="181"/>
      <c r="BE137" s="181"/>
    </row>
    <row r="138" spans="1:57" s="165" customFormat="1" x14ac:dyDescent="0.25">
      <c r="A138" s="159">
        <v>19</v>
      </c>
      <c r="B138" s="165" t="s">
        <v>498</v>
      </c>
      <c r="D138" s="164"/>
      <c r="E138" s="341"/>
      <c r="F138" s="342"/>
      <c r="G138" s="342"/>
      <c r="H138" s="342"/>
      <c r="I138" s="342">
        <f>'Welfare &amp; Dividends'!I29/10^6</f>
        <v>41.918208</v>
      </c>
      <c r="J138" s="342">
        <f>'Welfare &amp; Dividends'!J29/10^6</f>
        <v>41.918208</v>
      </c>
      <c r="K138" s="342">
        <f>'Welfare &amp; Dividends'!K29/10^6</f>
        <v>52.378928999999999</v>
      </c>
      <c r="L138" s="342">
        <f>'Welfare &amp; Dividends'!L29/10^6</f>
        <v>52.378914999999999</v>
      </c>
      <c r="M138" s="342">
        <f>'Welfare &amp; Dividends'!M29/10^6</f>
        <v>52.378914999999999</v>
      </c>
      <c r="N138" s="342">
        <f>'Welfare &amp; Dividends'!N29/10^6</f>
        <v>52.378914999999999</v>
      </c>
      <c r="O138" s="342">
        <f>'Welfare &amp; Dividends'!O29/10^6</f>
        <v>52.338915</v>
      </c>
      <c r="P138" s="1803">
        <f>'Welfare &amp; Dividends'!P29/10^6</f>
        <v>57.572358999999999</v>
      </c>
      <c r="Q138" s="343">
        <f>P138</f>
        <v>57.572358999999999</v>
      </c>
      <c r="R138" s="343">
        <f t="shared" ref="R138:Z138" si="103">Q138</f>
        <v>57.572358999999999</v>
      </c>
      <c r="S138" s="343">
        <f t="shared" si="103"/>
        <v>57.572358999999999</v>
      </c>
      <c r="T138" s="343">
        <f t="shared" si="103"/>
        <v>57.572358999999999</v>
      </c>
      <c r="U138" s="343">
        <f t="shared" si="103"/>
        <v>57.572358999999999</v>
      </c>
      <c r="V138" s="343">
        <f t="shared" si="103"/>
        <v>57.572358999999999</v>
      </c>
      <c r="W138" s="343">
        <f t="shared" si="103"/>
        <v>57.572358999999999</v>
      </c>
      <c r="X138" s="343">
        <f t="shared" si="103"/>
        <v>57.572358999999999</v>
      </c>
      <c r="Y138" s="343">
        <f t="shared" si="103"/>
        <v>57.572358999999999</v>
      </c>
      <c r="Z138" s="343">
        <f t="shared" si="103"/>
        <v>57.572358999999999</v>
      </c>
      <c r="AA138" s="343"/>
      <c r="AB138" s="343"/>
      <c r="AC138" s="343"/>
      <c r="AD138" s="343"/>
      <c r="AE138" s="343"/>
      <c r="AF138" s="343"/>
      <c r="AG138" s="343"/>
      <c r="AH138" s="343"/>
      <c r="AI138" s="343"/>
      <c r="AJ138" s="343"/>
      <c r="AK138" s="343"/>
      <c r="AL138" s="343"/>
      <c r="AM138" s="343"/>
      <c r="AN138" s="343"/>
      <c r="AO138" s="343"/>
      <c r="AP138" s="343"/>
      <c r="AQ138" s="343"/>
      <c r="AR138" s="343"/>
      <c r="AS138" s="343"/>
      <c r="AT138" s="343"/>
      <c r="AU138" s="343"/>
      <c r="AV138" s="343"/>
      <c r="AW138" s="343"/>
      <c r="AX138" s="343"/>
      <c r="AY138" s="343"/>
      <c r="AZ138" s="343"/>
      <c r="BA138" s="343"/>
      <c r="BB138" s="344"/>
      <c r="BC138" s="2373"/>
      <c r="BD138" s="164"/>
      <c r="BE138" s="164"/>
    </row>
    <row r="139" spans="1:57" s="165" customFormat="1" x14ac:dyDescent="0.25">
      <c r="A139" s="159"/>
      <c r="B139" s="165" t="s">
        <v>499</v>
      </c>
      <c r="D139" s="345"/>
      <c r="E139" s="341"/>
      <c r="F139" s="341"/>
      <c r="G139" s="341"/>
      <c r="H139" s="342"/>
      <c r="I139" s="342">
        <f>I138</f>
        <v>41.918208</v>
      </c>
      <c r="J139" s="342">
        <f>J138</f>
        <v>41.918208</v>
      </c>
      <c r="K139" s="342">
        <f t="shared" ref="K139:P139" si="104">K138</f>
        <v>52.378928999999999</v>
      </c>
      <c r="L139" s="342">
        <f t="shared" si="104"/>
        <v>52.378914999999999</v>
      </c>
      <c r="M139" s="342">
        <f t="shared" si="104"/>
        <v>52.378914999999999</v>
      </c>
      <c r="N139" s="342">
        <f t="shared" si="104"/>
        <v>52.378914999999999</v>
      </c>
      <c r="O139" s="342">
        <f t="shared" si="104"/>
        <v>52.338915</v>
      </c>
      <c r="P139" s="1803">
        <f t="shared" si="104"/>
        <v>57.572358999999999</v>
      </c>
      <c r="Q139" s="343">
        <f>P139</f>
        <v>57.572358999999999</v>
      </c>
      <c r="R139" s="343">
        <f t="shared" ref="R139:Z139" si="105">Q139</f>
        <v>57.572358999999999</v>
      </c>
      <c r="S139" s="343">
        <f t="shared" si="105"/>
        <v>57.572358999999999</v>
      </c>
      <c r="T139" s="343">
        <f t="shared" si="105"/>
        <v>57.572358999999999</v>
      </c>
      <c r="U139" s="343">
        <f t="shared" si="105"/>
        <v>57.572358999999999</v>
      </c>
      <c r="V139" s="343">
        <f t="shared" si="105"/>
        <v>57.572358999999999</v>
      </c>
      <c r="W139" s="343">
        <f t="shared" si="105"/>
        <v>57.572358999999999</v>
      </c>
      <c r="X139" s="343">
        <f t="shared" si="105"/>
        <v>57.572358999999999</v>
      </c>
      <c r="Y139" s="343">
        <f t="shared" si="105"/>
        <v>57.572358999999999</v>
      </c>
      <c r="Z139" s="343">
        <f t="shared" si="105"/>
        <v>57.572358999999999</v>
      </c>
      <c r="AA139" s="343"/>
      <c r="AB139" s="343"/>
      <c r="AC139" s="343"/>
      <c r="AD139" s="343"/>
      <c r="AE139" s="343"/>
      <c r="AF139" s="343"/>
      <c r="AG139" s="343"/>
      <c r="AH139" s="343"/>
      <c r="AI139" s="343"/>
      <c r="AJ139" s="343"/>
      <c r="AK139" s="343"/>
      <c r="AL139" s="343"/>
      <c r="AM139" s="343"/>
      <c r="AN139" s="343"/>
      <c r="AO139" s="343"/>
      <c r="AP139" s="343"/>
      <c r="AQ139" s="343"/>
      <c r="AR139" s="343"/>
      <c r="AS139" s="343"/>
      <c r="AT139" s="343"/>
      <c r="AU139" s="343"/>
      <c r="AV139" s="343"/>
      <c r="AW139" s="343"/>
      <c r="AX139" s="343"/>
      <c r="AY139" s="343"/>
      <c r="AZ139" s="343"/>
      <c r="BA139" s="343"/>
      <c r="BB139" s="344"/>
      <c r="BC139" s="2373"/>
      <c r="BD139" s="164"/>
      <c r="BE139" s="164"/>
    </row>
    <row r="140" spans="1:57" s="42" customFormat="1" x14ac:dyDescent="0.25">
      <c r="A140" s="41"/>
      <c r="D140" s="181"/>
      <c r="E140" s="153"/>
      <c r="F140" s="153"/>
      <c r="G140" s="153"/>
      <c r="H140" s="153"/>
      <c r="I140" s="153"/>
      <c r="J140" s="153"/>
      <c r="K140" s="153"/>
      <c r="L140" s="153"/>
      <c r="M140" s="153"/>
      <c r="N140" s="153"/>
      <c r="O140" s="153"/>
      <c r="P140" s="154"/>
      <c r="Q140" s="153"/>
      <c r="R140" s="153"/>
      <c r="S140" s="153"/>
      <c r="T140" s="153"/>
      <c r="U140" s="153"/>
      <c r="V140" s="153"/>
      <c r="W140" s="153"/>
      <c r="X140" s="153"/>
      <c r="Y140" s="153"/>
      <c r="Z140" s="153"/>
      <c r="AA140" s="153"/>
      <c r="AB140" s="153"/>
      <c r="AC140" s="153"/>
      <c r="AD140" s="153"/>
      <c r="AE140" s="153"/>
      <c r="AF140" s="153"/>
      <c r="AG140" s="153"/>
      <c r="AH140" s="153"/>
      <c r="AI140" s="153"/>
      <c r="AJ140" s="153"/>
      <c r="AK140" s="153"/>
      <c r="AL140" s="153"/>
      <c r="AM140" s="153"/>
      <c r="AN140" s="153"/>
      <c r="AO140" s="153"/>
      <c r="AP140" s="153"/>
      <c r="AQ140" s="153"/>
      <c r="AR140" s="153"/>
      <c r="AS140" s="153"/>
      <c r="AT140" s="153"/>
      <c r="AU140" s="153"/>
      <c r="AV140" s="153"/>
      <c r="AW140" s="153"/>
      <c r="AX140" s="153"/>
      <c r="AY140" s="153"/>
      <c r="AZ140" s="153"/>
      <c r="BA140" s="153"/>
      <c r="BB140" s="257"/>
      <c r="BC140" s="123"/>
      <c r="BD140" s="181"/>
      <c r="BE140" s="181"/>
    </row>
    <row r="141" spans="1:57" x14ac:dyDescent="0.25">
      <c r="A141" s="64"/>
      <c r="B141" s="29" t="s">
        <v>500</v>
      </c>
      <c r="D141" s="112"/>
      <c r="E141" s="157"/>
      <c r="F141" s="157"/>
      <c r="G141" s="157"/>
      <c r="H141" s="157"/>
      <c r="I141" s="157"/>
      <c r="J141" s="157"/>
      <c r="K141" s="157"/>
      <c r="L141" s="157"/>
      <c r="M141" s="157"/>
      <c r="N141" s="66"/>
      <c r="O141" s="66"/>
      <c r="P141" s="303"/>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230"/>
      <c r="BC141" s="123"/>
      <c r="BD141" s="112"/>
      <c r="BE141" s="112"/>
    </row>
    <row r="142" spans="1:57" x14ac:dyDescent="0.25">
      <c r="B142" s="147" t="s">
        <v>478</v>
      </c>
      <c r="C142" s="147"/>
      <c r="E142" s="170"/>
      <c r="F142" s="170"/>
      <c r="G142" s="170"/>
      <c r="H142" s="170"/>
      <c r="I142" s="170">
        <f>IFERROR(I127/I138*1000," ")</f>
        <v>1944.1780690624944</v>
      </c>
      <c r="J142" s="170">
        <f>IFERROR(J127/J138*1000," ")</f>
        <v>4407.7624663010401</v>
      </c>
      <c r="K142" s="170">
        <f t="shared" ref="K142:Z142" si="106">IFERROR(K127/K138*1000," ")</f>
        <v>2336.6559849667797</v>
      </c>
      <c r="L142" s="170">
        <f t="shared" si="106"/>
        <v>2717.7501462563705</v>
      </c>
      <c r="M142" s="170">
        <f t="shared" si="106"/>
        <v>2676.3464694142676</v>
      </c>
      <c r="N142" s="170">
        <f t="shared" si="106"/>
        <v>2389.513550805701</v>
      </c>
      <c r="O142" s="170">
        <f t="shared" si="106"/>
        <v>2654.1707453813283</v>
      </c>
      <c r="P142" s="171">
        <f t="shared" si="106"/>
        <v>2754.5180392465768</v>
      </c>
      <c r="Q142" s="224">
        <f t="shared" ca="1" si="106"/>
        <v>3459.0731235411308</v>
      </c>
      <c r="R142" s="224">
        <f t="shared" ca="1" si="106"/>
        <v>3420.6375522683029</v>
      </c>
      <c r="S142" s="224">
        <f t="shared" ca="1" si="106"/>
        <v>4972.4222723153625</v>
      </c>
      <c r="T142" s="224">
        <f t="shared" ca="1" si="106"/>
        <v>5737.9120387334715</v>
      </c>
      <c r="U142" s="224">
        <f t="shared" ca="1" si="106"/>
        <v>6630.7080754108447</v>
      </c>
      <c r="V142" s="224">
        <f t="shared" ca="1" si="106"/>
        <v>7277.5288921702104</v>
      </c>
      <c r="W142" s="224">
        <f t="shared" ca="1" si="106"/>
        <v>8050.4464942349405</v>
      </c>
      <c r="X142" s="224">
        <f t="shared" ca="1" si="106"/>
        <v>8471.7749246771673</v>
      </c>
      <c r="Y142" s="224">
        <f t="shared" ca="1" si="106"/>
        <v>8941.5093378811052</v>
      </c>
      <c r="Z142" s="224">
        <f t="shared" ca="1" si="106"/>
        <v>9442.7505838418747</v>
      </c>
      <c r="AA142" s="224"/>
      <c r="AB142" s="224"/>
      <c r="AC142" s="224"/>
      <c r="AD142" s="224"/>
      <c r="AE142" s="224"/>
      <c r="AF142" s="224"/>
      <c r="AG142" s="224"/>
      <c r="AH142" s="224"/>
      <c r="AI142" s="224"/>
      <c r="AJ142" s="224"/>
      <c r="AK142" s="224"/>
      <c r="AL142" s="224"/>
      <c r="AM142" s="224"/>
      <c r="AN142" s="224"/>
      <c r="AO142" s="224"/>
      <c r="AP142" s="224"/>
      <c r="AQ142" s="224"/>
      <c r="AR142" s="224"/>
      <c r="AS142" s="224"/>
      <c r="AT142" s="224"/>
      <c r="AU142" s="224"/>
      <c r="AV142" s="224"/>
      <c r="AW142" s="224"/>
      <c r="AX142" s="224"/>
      <c r="AY142" s="224"/>
      <c r="AZ142" s="224"/>
      <c r="BA142" s="224"/>
    </row>
    <row r="143" spans="1:57" x14ac:dyDescent="0.25">
      <c r="B143" s="147" t="s">
        <v>479</v>
      </c>
      <c r="C143" s="147"/>
      <c r="E143" s="170"/>
      <c r="F143" s="170"/>
      <c r="G143" s="170"/>
      <c r="H143" s="170"/>
      <c r="I143" s="170">
        <f>IFERROR(I127/I139*1000," ")</f>
        <v>1944.1780690624944</v>
      </c>
      <c r="J143" s="170">
        <f>IFERROR(J127/J139*1000," ")</f>
        <v>4407.7624663010401</v>
      </c>
      <c r="K143" s="170">
        <f t="shared" ref="K143:Z143" si="107">IFERROR(K127/K139*1000," ")</f>
        <v>2336.6559849667797</v>
      </c>
      <c r="L143" s="170">
        <f t="shared" si="107"/>
        <v>2717.7501462563705</v>
      </c>
      <c r="M143" s="170">
        <f t="shared" si="107"/>
        <v>2676.3464694142676</v>
      </c>
      <c r="N143" s="170">
        <f t="shared" si="107"/>
        <v>2389.513550805701</v>
      </c>
      <c r="O143" s="170">
        <f t="shared" si="107"/>
        <v>2654.1707453813283</v>
      </c>
      <c r="P143" s="171">
        <f t="shared" si="107"/>
        <v>2754.5180392465768</v>
      </c>
      <c r="Q143" s="224">
        <f t="shared" ca="1" si="107"/>
        <v>3459.0731235411308</v>
      </c>
      <c r="R143" s="224">
        <f t="shared" ca="1" si="107"/>
        <v>3420.6375522683029</v>
      </c>
      <c r="S143" s="224">
        <f t="shared" ca="1" si="107"/>
        <v>4972.4222723153625</v>
      </c>
      <c r="T143" s="224">
        <f t="shared" ca="1" si="107"/>
        <v>5737.9120387334715</v>
      </c>
      <c r="U143" s="224">
        <f t="shared" ca="1" si="107"/>
        <v>6630.7080754108447</v>
      </c>
      <c r="V143" s="224">
        <f t="shared" ca="1" si="107"/>
        <v>7277.5288921702104</v>
      </c>
      <c r="W143" s="224">
        <f t="shared" ca="1" si="107"/>
        <v>8050.4464942349405</v>
      </c>
      <c r="X143" s="224">
        <f t="shared" ca="1" si="107"/>
        <v>8471.7749246771673</v>
      </c>
      <c r="Y143" s="224">
        <f t="shared" ca="1" si="107"/>
        <v>8941.5093378811052</v>
      </c>
      <c r="Z143" s="224">
        <f t="shared" ca="1" si="107"/>
        <v>9442.7505838418747</v>
      </c>
      <c r="AA143" s="224"/>
      <c r="AB143" s="224"/>
      <c r="AC143" s="224"/>
      <c r="AD143" s="224"/>
      <c r="AE143" s="224"/>
      <c r="AF143" s="224"/>
      <c r="AG143" s="224"/>
      <c r="AH143" s="224"/>
      <c r="AI143" s="224"/>
      <c r="AJ143" s="224"/>
      <c r="AK143" s="224"/>
      <c r="AL143" s="224"/>
      <c r="AM143" s="224"/>
      <c r="AN143" s="224"/>
      <c r="AO143" s="224"/>
      <c r="AP143" s="224"/>
      <c r="AQ143" s="224"/>
      <c r="AR143" s="224"/>
      <c r="AS143" s="224"/>
      <c r="AT143" s="224"/>
      <c r="AU143" s="224"/>
      <c r="AV143" s="224"/>
      <c r="AW143" s="224"/>
      <c r="AX143" s="224"/>
      <c r="AY143" s="224"/>
      <c r="AZ143" s="224"/>
      <c r="BA143" s="224"/>
    </row>
    <row r="144" spans="1:57" s="42" customFormat="1" x14ac:dyDescent="0.25">
      <c r="A144" s="41"/>
      <c r="B144" s="212" t="s">
        <v>501</v>
      </c>
      <c r="C144" s="212"/>
      <c r="D144" s="213"/>
      <c r="E144" s="304"/>
      <c r="F144" s="304"/>
      <c r="G144" s="304"/>
      <c r="H144" s="304"/>
      <c r="I144" s="304"/>
      <c r="J144" s="304"/>
      <c r="K144" s="304"/>
      <c r="L144" s="304"/>
      <c r="M144" s="304"/>
      <c r="N144" s="304"/>
      <c r="O144" s="304"/>
      <c r="P144" s="305"/>
      <c r="Q144" s="304"/>
      <c r="R144" s="304"/>
      <c r="S144" s="304"/>
      <c r="T144" s="304"/>
      <c r="U144" s="304"/>
      <c r="V144" s="304"/>
      <c r="W144" s="304"/>
      <c r="X144" s="304"/>
      <c r="Y144" s="304"/>
      <c r="Z144" s="304"/>
      <c r="AA144" s="304"/>
      <c r="AB144" s="304"/>
      <c r="AC144" s="304"/>
      <c r="AD144" s="304"/>
      <c r="AE144" s="304"/>
      <c r="AF144" s="304"/>
      <c r="AG144" s="304"/>
      <c r="AH144" s="304"/>
      <c r="AI144" s="304"/>
      <c r="AJ144" s="304"/>
      <c r="AK144" s="304"/>
      <c r="AL144" s="304"/>
      <c r="AM144" s="304"/>
      <c r="AN144" s="304"/>
      <c r="AO144" s="304"/>
      <c r="AP144" s="304"/>
      <c r="AQ144" s="304"/>
      <c r="AR144" s="304"/>
      <c r="AS144" s="304"/>
      <c r="AT144" s="304"/>
      <c r="AU144" s="304"/>
      <c r="AV144" s="304"/>
      <c r="AW144" s="304"/>
      <c r="AX144" s="304"/>
      <c r="AY144" s="304"/>
      <c r="AZ144" s="304"/>
      <c r="BA144" s="304"/>
      <c r="BB144" s="307"/>
      <c r="BC144" s="308"/>
      <c r="BD144" s="181"/>
      <c r="BE144" s="181"/>
    </row>
    <row r="145" spans="1:57" s="42" customFormat="1" x14ac:dyDescent="0.25">
      <c r="A145" s="301"/>
      <c r="B145" s="309" t="s">
        <v>478</v>
      </c>
      <c r="C145" s="309"/>
      <c r="D145" s="181"/>
      <c r="E145" s="310"/>
      <c r="F145" s="310"/>
      <c r="G145" s="310"/>
      <c r="H145" s="310"/>
      <c r="I145" s="311">
        <f>IFERROR(I128/I138*1000," ")</f>
        <v>1944.1780690624944</v>
      </c>
      <c r="J145" s="311">
        <f>IFERROR(J128/J138*1000," ")</f>
        <v>4407.7624663010401</v>
      </c>
      <c r="K145" s="311">
        <f t="shared" ref="K145:Z145" si="108">IFERROR(K128/K138*1000," ")</f>
        <v>2336.6559849667797</v>
      </c>
      <c r="L145" s="311">
        <f t="shared" si="108"/>
        <v>2717.7501462563705</v>
      </c>
      <c r="M145" s="311">
        <f t="shared" si="108"/>
        <v>2676.3464694142676</v>
      </c>
      <c r="N145" s="311">
        <f t="shared" si="108"/>
        <v>2389.513550805701</v>
      </c>
      <c r="O145" s="311">
        <f t="shared" si="108"/>
        <v>2654.1707453813283</v>
      </c>
      <c r="P145" s="1804">
        <f t="shared" si="108"/>
        <v>2754.5180392465768</v>
      </c>
      <c r="Q145" s="313">
        <f t="shared" ca="1" si="108"/>
        <v>3459.0731235411308</v>
      </c>
      <c r="R145" s="313">
        <f t="shared" ca="1" si="108"/>
        <v>3420.6375522683029</v>
      </c>
      <c r="S145" s="313">
        <f t="shared" ca="1" si="108"/>
        <v>4972.4222723153625</v>
      </c>
      <c r="T145" s="313">
        <f t="shared" ca="1" si="108"/>
        <v>5737.9120387334715</v>
      </c>
      <c r="U145" s="313">
        <f t="shared" ca="1" si="108"/>
        <v>6630.7080754108447</v>
      </c>
      <c r="V145" s="313">
        <f t="shared" ca="1" si="108"/>
        <v>7277.5288921702104</v>
      </c>
      <c r="W145" s="313">
        <f t="shared" ca="1" si="108"/>
        <v>8050.4464942349405</v>
      </c>
      <c r="X145" s="313">
        <f t="shared" ca="1" si="108"/>
        <v>8471.7749246771673</v>
      </c>
      <c r="Y145" s="313">
        <f t="shared" ca="1" si="108"/>
        <v>8941.5093378811052</v>
      </c>
      <c r="Z145" s="313">
        <f t="shared" ca="1" si="108"/>
        <v>9442.7505838418747</v>
      </c>
      <c r="AA145" s="313"/>
      <c r="AB145" s="313"/>
      <c r="AC145" s="313"/>
      <c r="AD145" s="313"/>
      <c r="AE145" s="313"/>
      <c r="AF145" s="313"/>
      <c r="AG145" s="313"/>
      <c r="AH145" s="313"/>
      <c r="AI145" s="313"/>
      <c r="AJ145" s="313"/>
      <c r="AK145" s="313"/>
      <c r="AL145" s="313"/>
      <c r="AM145" s="313"/>
      <c r="AN145" s="313"/>
      <c r="AO145" s="313"/>
      <c r="AP145" s="313"/>
      <c r="AQ145" s="313"/>
      <c r="AR145" s="313"/>
      <c r="AS145" s="313"/>
      <c r="AT145" s="313"/>
      <c r="AU145" s="313"/>
      <c r="AV145" s="313"/>
      <c r="AW145" s="313"/>
      <c r="AX145" s="313"/>
      <c r="AY145" s="313"/>
      <c r="AZ145" s="313"/>
      <c r="BA145" s="313"/>
      <c r="BB145" s="311"/>
      <c r="BC145" s="314"/>
      <c r="BD145" s="181"/>
      <c r="BE145" s="181"/>
    </row>
    <row r="146" spans="1:57" s="42" customFormat="1" x14ac:dyDescent="0.25">
      <c r="A146" s="301"/>
      <c r="B146" s="309" t="s">
        <v>479</v>
      </c>
      <c r="C146" s="309"/>
      <c r="D146" s="181"/>
      <c r="E146" s="310"/>
      <c r="F146" s="310"/>
      <c r="G146" s="310"/>
      <c r="H146" s="310"/>
      <c r="I146" s="311">
        <f>IFERROR(I128/I139*1000," ")</f>
        <v>1944.1780690624944</v>
      </c>
      <c r="J146" s="311">
        <f>IFERROR(J128/J139*1000," ")</f>
        <v>4407.7624663010401</v>
      </c>
      <c r="K146" s="311">
        <f t="shared" ref="K146:Z146" si="109">IFERROR(K128/K139*1000," ")</f>
        <v>2336.6559849667797</v>
      </c>
      <c r="L146" s="311">
        <f t="shared" si="109"/>
        <v>2717.7501462563705</v>
      </c>
      <c r="M146" s="311">
        <f t="shared" si="109"/>
        <v>2676.3464694142676</v>
      </c>
      <c r="N146" s="311">
        <f t="shared" si="109"/>
        <v>2389.513550805701</v>
      </c>
      <c r="O146" s="311">
        <f t="shared" si="109"/>
        <v>2654.1707453813283</v>
      </c>
      <c r="P146" s="1804">
        <f t="shared" si="109"/>
        <v>2754.5180392465768</v>
      </c>
      <c r="Q146" s="313">
        <f t="shared" ca="1" si="109"/>
        <v>3459.0731235411308</v>
      </c>
      <c r="R146" s="313">
        <f t="shared" ca="1" si="109"/>
        <v>3420.6375522683029</v>
      </c>
      <c r="S146" s="313">
        <f t="shared" ca="1" si="109"/>
        <v>4972.4222723153625</v>
      </c>
      <c r="T146" s="313">
        <f t="shared" ca="1" si="109"/>
        <v>5737.9120387334715</v>
      </c>
      <c r="U146" s="313">
        <f t="shared" ca="1" si="109"/>
        <v>6630.7080754108447</v>
      </c>
      <c r="V146" s="313">
        <f t="shared" ca="1" si="109"/>
        <v>7277.5288921702104</v>
      </c>
      <c r="W146" s="313">
        <f t="shared" ca="1" si="109"/>
        <v>8050.4464942349405</v>
      </c>
      <c r="X146" s="313">
        <f t="shared" ca="1" si="109"/>
        <v>8471.7749246771673</v>
      </c>
      <c r="Y146" s="313">
        <f t="shared" ca="1" si="109"/>
        <v>8941.5093378811052</v>
      </c>
      <c r="Z146" s="313">
        <f t="shared" ca="1" si="109"/>
        <v>9442.7505838418747</v>
      </c>
      <c r="AA146" s="313"/>
      <c r="AB146" s="313"/>
      <c r="AC146" s="313"/>
      <c r="AD146" s="313"/>
      <c r="AE146" s="313"/>
      <c r="AF146" s="313"/>
      <c r="AG146" s="313"/>
      <c r="AH146" s="313"/>
      <c r="AI146" s="313"/>
      <c r="AJ146" s="313"/>
      <c r="AK146" s="313"/>
      <c r="AL146" s="313"/>
      <c r="AM146" s="313"/>
      <c r="AN146" s="313"/>
      <c r="AO146" s="313"/>
      <c r="AP146" s="313"/>
      <c r="AQ146" s="313"/>
      <c r="AR146" s="313"/>
      <c r="AS146" s="313"/>
      <c r="AT146" s="313"/>
      <c r="AU146" s="313"/>
      <c r="AV146" s="313"/>
      <c r="AW146" s="313"/>
      <c r="AX146" s="313"/>
      <c r="AY146" s="313"/>
      <c r="AZ146" s="313"/>
      <c r="BA146" s="313"/>
      <c r="BB146" s="311"/>
      <c r="BC146" s="314"/>
      <c r="BD146" s="181"/>
      <c r="BE146" s="181"/>
    </row>
    <row r="147" spans="1:57" s="317" customFormat="1" x14ac:dyDescent="0.25">
      <c r="A147" s="315"/>
      <c r="B147" s="316" t="s">
        <v>502</v>
      </c>
      <c r="D147" s="318"/>
      <c r="E147" s="318"/>
      <c r="F147" s="318"/>
      <c r="G147" s="318"/>
      <c r="H147" s="318"/>
      <c r="I147" s="318"/>
      <c r="J147" s="318"/>
      <c r="K147" s="318"/>
      <c r="L147" s="318"/>
      <c r="M147" s="318"/>
      <c r="N147" s="319"/>
      <c r="O147" s="319"/>
      <c r="P147" s="320"/>
      <c r="Q147" s="319"/>
      <c r="R147" s="319"/>
      <c r="S147" s="319"/>
      <c r="T147" s="319"/>
      <c r="U147" s="319"/>
      <c r="V147" s="319"/>
      <c r="W147" s="319"/>
      <c r="X147" s="319"/>
      <c r="Y147" s="319"/>
      <c r="Z147" s="319"/>
      <c r="AA147" s="319"/>
      <c r="AB147" s="319"/>
      <c r="AC147" s="319"/>
      <c r="AD147" s="319"/>
      <c r="AE147" s="319"/>
      <c r="AF147" s="319"/>
      <c r="AG147" s="319"/>
      <c r="AH147" s="319"/>
      <c r="AI147" s="319"/>
      <c r="AJ147" s="319"/>
      <c r="AK147" s="319"/>
      <c r="AL147" s="319"/>
      <c r="AM147" s="319"/>
      <c r="AN147" s="319"/>
      <c r="AO147" s="319"/>
      <c r="AP147" s="319"/>
      <c r="AQ147" s="319"/>
      <c r="AR147" s="319"/>
      <c r="AS147" s="319"/>
      <c r="AT147" s="319"/>
      <c r="AU147" s="319"/>
      <c r="AV147" s="319"/>
      <c r="AW147" s="319"/>
      <c r="AX147" s="319"/>
      <c r="AY147" s="319"/>
      <c r="AZ147" s="319"/>
      <c r="BA147" s="319"/>
      <c r="BB147" s="321"/>
      <c r="BC147" s="322"/>
      <c r="BD147" s="318"/>
      <c r="BE147" s="318"/>
    </row>
    <row r="148" spans="1:57" s="317" customFormat="1" x14ac:dyDescent="0.25">
      <c r="A148" s="315"/>
      <c r="B148" s="316"/>
      <c r="D148" s="318"/>
      <c r="E148" s="318"/>
      <c r="F148" s="318"/>
      <c r="G148" s="318"/>
      <c r="H148" s="318"/>
      <c r="I148" s="318"/>
      <c r="J148" s="318"/>
      <c r="K148" s="318"/>
      <c r="L148" s="318"/>
      <c r="M148" s="318"/>
      <c r="N148" s="319"/>
      <c r="O148" s="319"/>
      <c r="P148" s="320"/>
      <c r="Q148" s="346"/>
      <c r="R148" s="346"/>
      <c r="S148" s="346"/>
      <c r="T148" s="346"/>
      <c r="U148" s="346"/>
      <c r="V148" s="346"/>
      <c r="W148" s="346"/>
      <c r="X148" s="346"/>
      <c r="Y148" s="346"/>
      <c r="Z148" s="346"/>
      <c r="AA148" s="319"/>
      <c r="AB148" s="319"/>
      <c r="AC148" s="319"/>
      <c r="AD148" s="319"/>
      <c r="AE148" s="319"/>
      <c r="AF148" s="319"/>
      <c r="AG148" s="319"/>
      <c r="AH148" s="319"/>
      <c r="AI148" s="319"/>
      <c r="AJ148" s="319"/>
      <c r="AK148" s="319"/>
      <c r="AL148" s="319"/>
      <c r="AM148" s="319"/>
      <c r="AN148" s="319"/>
      <c r="AO148" s="319"/>
      <c r="AP148" s="319"/>
      <c r="AQ148" s="319"/>
      <c r="AR148" s="319"/>
      <c r="AS148" s="319"/>
      <c r="AT148" s="319"/>
      <c r="AU148" s="319"/>
      <c r="AV148" s="319"/>
      <c r="AW148" s="319"/>
      <c r="AX148" s="319"/>
      <c r="AY148" s="319"/>
      <c r="AZ148" s="319"/>
      <c r="BA148" s="319"/>
      <c r="BB148" s="321"/>
      <c r="BC148" s="322"/>
      <c r="BD148" s="318"/>
      <c r="BE148" s="318"/>
    </row>
    <row r="149" spans="1:57" x14ac:dyDescent="0.25">
      <c r="D149" s="112"/>
      <c r="E149" s="112"/>
      <c r="F149" s="112"/>
      <c r="G149" s="112"/>
      <c r="H149" s="112"/>
      <c r="I149" s="112"/>
      <c r="J149" s="112"/>
      <c r="K149" s="112"/>
      <c r="L149" s="112"/>
      <c r="M149" s="112"/>
      <c r="N149" s="113"/>
      <c r="O149" s="113"/>
      <c r="P149" s="299"/>
      <c r="Q149" s="346"/>
      <c r="R149" s="346"/>
      <c r="S149" s="346"/>
      <c r="T149" s="346"/>
      <c r="U149" s="346"/>
      <c r="V149" s="346"/>
      <c r="W149" s="346"/>
      <c r="X149" s="346"/>
      <c r="Y149" s="346"/>
      <c r="Z149" s="346"/>
      <c r="AA149" s="113"/>
      <c r="AB149" s="113"/>
      <c r="AC149" s="113"/>
      <c r="AD149" s="113"/>
      <c r="AE149" s="113"/>
      <c r="AF149" s="113"/>
      <c r="AG149" s="113"/>
      <c r="AH149" s="113"/>
      <c r="AI149" s="113"/>
      <c r="AJ149" s="113"/>
      <c r="AK149" s="113"/>
      <c r="AL149" s="113"/>
      <c r="AM149" s="113"/>
      <c r="AN149" s="113"/>
      <c r="AO149" s="113"/>
      <c r="AP149" s="113"/>
      <c r="AQ149" s="113"/>
      <c r="AR149" s="113"/>
      <c r="AS149" s="113"/>
      <c r="AT149" s="113"/>
      <c r="AU149" s="113"/>
      <c r="AV149" s="113"/>
      <c r="AW149" s="113"/>
      <c r="AX149" s="113"/>
      <c r="AY149" s="113"/>
      <c r="AZ149" s="113"/>
      <c r="BA149" s="113"/>
      <c r="BB149" s="113"/>
      <c r="BD149" s="112"/>
      <c r="BE149" s="112"/>
    </row>
    <row r="150" spans="1:57" x14ac:dyDescent="0.25">
      <c r="D150" s="112"/>
      <c r="E150" s="112"/>
      <c r="F150" s="112"/>
      <c r="G150" s="112"/>
      <c r="H150" s="112"/>
      <c r="I150" s="112"/>
      <c r="J150" s="112"/>
      <c r="K150" s="112"/>
      <c r="L150" s="112"/>
      <c r="M150" s="112"/>
      <c r="N150" s="113"/>
      <c r="O150" s="113"/>
      <c r="P150" s="299"/>
      <c r="Q150" s="346"/>
      <c r="R150" s="346"/>
      <c r="S150" s="346"/>
      <c r="T150" s="346"/>
      <c r="U150" s="346"/>
      <c r="V150" s="346"/>
      <c r="W150" s="346"/>
      <c r="X150" s="346"/>
      <c r="Y150" s="346"/>
      <c r="Z150" s="346"/>
      <c r="AA150" s="113"/>
      <c r="AB150" s="113"/>
      <c r="AC150" s="113"/>
      <c r="AD150" s="113"/>
      <c r="AE150" s="113"/>
      <c r="AF150" s="113"/>
      <c r="AG150" s="113"/>
      <c r="AH150" s="113"/>
      <c r="AI150" s="113"/>
      <c r="AJ150" s="113"/>
      <c r="AK150" s="113"/>
      <c r="AL150" s="113"/>
      <c r="AM150" s="113"/>
      <c r="AN150" s="113"/>
      <c r="AO150" s="113"/>
      <c r="AP150" s="113"/>
      <c r="AQ150" s="113"/>
      <c r="AR150" s="113"/>
      <c r="AS150" s="113"/>
      <c r="AT150" s="113"/>
      <c r="AU150" s="113"/>
      <c r="AV150" s="113"/>
      <c r="AW150" s="113"/>
      <c r="AX150" s="113"/>
      <c r="AY150" s="113"/>
      <c r="AZ150" s="113"/>
      <c r="BA150" s="113"/>
      <c r="BB150" s="113"/>
      <c r="BD150" s="112"/>
      <c r="BE150" s="112"/>
    </row>
    <row r="151" spans="1:57" x14ac:dyDescent="0.25">
      <c r="D151" s="112"/>
      <c r="E151" s="112"/>
      <c r="F151" s="112"/>
      <c r="G151" s="112"/>
      <c r="H151" s="112"/>
      <c r="I151" s="112"/>
      <c r="J151" s="112"/>
      <c r="K151" s="112"/>
      <c r="L151" s="112"/>
      <c r="M151" s="112"/>
      <c r="N151" s="113"/>
      <c r="O151" s="113"/>
      <c r="P151" s="299"/>
      <c r="Q151" s="346"/>
      <c r="R151" s="346"/>
      <c r="S151" s="346"/>
      <c r="T151" s="346"/>
      <c r="U151" s="346"/>
      <c r="V151" s="346"/>
      <c r="W151" s="346"/>
      <c r="X151" s="346"/>
      <c r="Y151" s="346"/>
      <c r="Z151" s="346"/>
      <c r="AA151" s="113"/>
      <c r="AB151" s="113"/>
      <c r="AC151" s="113"/>
      <c r="AD151" s="113"/>
      <c r="AE151" s="113"/>
      <c r="AF151" s="113"/>
      <c r="AG151" s="113"/>
      <c r="AH151" s="113"/>
      <c r="AI151" s="113"/>
      <c r="AJ151" s="113"/>
      <c r="AK151" s="113"/>
      <c r="AL151" s="113"/>
      <c r="AM151" s="113"/>
      <c r="AN151" s="113"/>
      <c r="AO151" s="113"/>
      <c r="AP151" s="113"/>
      <c r="AQ151" s="113"/>
      <c r="AR151" s="113"/>
      <c r="AS151" s="113"/>
      <c r="AT151" s="113"/>
      <c r="AU151" s="113"/>
      <c r="AV151" s="113"/>
      <c r="AW151" s="113"/>
      <c r="AX151" s="113"/>
      <c r="AY151" s="113"/>
      <c r="AZ151" s="113"/>
      <c r="BA151" s="113"/>
      <c r="BB151" s="113"/>
      <c r="BD151" s="112"/>
      <c r="BE151" s="112"/>
    </row>
    <row r="152" spans="1:57" x14ac:dyDescent="0.25">
      <c r="D152" s="112"/>
      <c r="E152" s="347"/>
      <c r="F152" s="347"/>
      <c r="G152" s="347"/>
      <c r="H152" s="347"/>
      <c r="I152" s="347"/>
      <c r="J152" s="347"/>
      <c r="K152" s="347"/>
      <c r="L152" s="347"/>
      <c r="M152" s="347"/>
      <c r="N152" s="347"/>
      <c r="O152" s="347"/>
      <c r="P152" s="348"/>
      <c r="Q152" s="349"/>
      <c r="R152" s="349"/>
      <c r="S152" s="347"/>
      <c r="T152" s="347"/>
      <c r="U152" s="347"/>
      <c r="V152" s="347"/>
      <c r="W152" s="347"/>
      <c r="X152" s="311"/>
      <c r="Y152" s="311"/>
      <c r="Z152" s="347"/>
      <c r="AA152" s="347"/>
      <c r="AB152" s="347"/>
      <c r="AC152" s="347"/>
      <c r="AD152" s="347"/>
      <c r="AE152" s="347"/>
      <c r="AF152" s="347"/>
      <c r="AG152" s="347"/>
      <c r="AH152" s="347"/>
      <c r="AI152" s="347"/>
      <c r="AJ152" s="347"/>
      <c r="AK152" s="347"/>
      <c r="AL152" s="347"/>
      <c r="AM152" s="347"/>
      <c r="AN152" s="347"/>
      <c r="AO152" s="347"/>
      <c r="AP152" s="347"/>
      <c r="AQ152" s="347"/>
      <c r="AR152" s="347"/>
      <c r="AS152" s="347"/>
      <c r="AT152" s="347"/>
      <c r="AU152" s="347"/>
      <c r="AV152" s="347"/>
      <c r="AW152" s="347"/>
      <c r="AX152" s="347"/>
      <c r="AY152" s="347"/>
      <c r="AZ152" s="347"/>
      <c r="BA152" s="347"/>
      <c r="BB152" s="347"/>
      <c r="BC152" s="108"/>
      <c r="BD152" s="112"/>
      <c r="BE152" s="217"/>
    </row>
    <row r="153" spans="1:57" ht="13.8" thickBot="1" x14ac:dyDescent="0.3">
      <c r="B153" s="350" t="s">
        <v>503</v>
      </c>
      <c r="C153" s="350"/>
      <c r="D153" s="351"/>
      <c r="E153" s="352"/>
      <c r="F153" s="352"/>
      <c r="G153" s="352"/>
      <c r="H153" s="352"/>
      <c r="I153" s="352"/>
      <c r="J153" s="352"/>
      <c r="K153" s="352"/>
      <c r="L153" s="352"/>
      <c r="M153" s="352"/>
      <c r="N153" s="352"/>
      <c r="O153" s="352"/>
      <c r="P153" s="353"/>
      <c r="Q153" s="354"/>
      <c r="R153" s="354"/>
      <c r="S153" s="354"/>
      <c r="T153" s="354"/>
      <c r="U153" s="354"/>
      <c r="V153" s="352"/>
      <c r="W153" s="352"/>
      <c r="X153" s="352"/>
      <c r="Y153" s="352"/>
      <c r="Z153" s="352"/>
      <c r="AA153" s="352"/>
      <c r="AB153" s="352"/>
      <c r="AC153" s="352"/>
      <c r="AD153" s="352"/>
      <c r="AE153" s="352"/>
      <c r="AF153" s="352"/>
      <c r="AG153" s="352"/>
      <c r="AH153" s="352"/>
      <c r="AI153" s="352"/>
      <c r="AJ153" s="352"/>
      <c r="AK153" s="352"/>
      <c r="AL153" s="352"/>
      <c r="AM153" s="352"/>
      <c r="AN153" s="352"/>
      <c r="AO153" s="352"/>
      <c r="AP153" s="352"/>
      <c r="AQ153" s="352"/>
      <c r="AR153" s="352"/>
      <c r="AS153" s="352"/>
      <c r="AT153" s="352"/>
      <c r="AU153" s="352"/>
      <c r="AV153" s="352"/>
      <c r="AW153" s="352"/>
      <c r="AX153" s="352"/>
      <c r="AY153" s="352"/>
      <c r="AZ153" s="352"/>
      <c r="BA153" s="352"/>
      <c r="BB153" s="352"/>
      <c r="BC153" s="355"/>
      <c r="BD153" s="112"/>
      <c r="BE153" s="112"/>
    </row>
    <row r="154" spans="1:57" x14ac:dyDescent="0.25">
      <c r="B154" s="356" t="s">
        <v>504</v>
      </c>
      <c r="C154" s="356"/>
      <c r="D154" s="357"/>
      <c r="E154" s="113"/>
      <c r="F154" s="113"/>
      <c r="G154" s="113"/>
      <c r="H154" s="113"/>
      <c r="I154" s="113"/>
      <c r="J154" s="113"/>
      <c r="K154" s="113"/>
      <c r="L154" s="113"/>
      <c r="M154" s="113"/>
      <c r="N154" s="113"/>
      <c r="O154" s="113"/>
      <c r="P154" s="1805"/>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c r="AO154" s="113"/>
      <c r="AP154" s="113"/>
      <c r="AQ154" s="113"/>
      <c r="AR154" s="113"/>
      <c r="AS154" s="113"/>
      <c r="AT154" s="113"/>
      <c r="AU154" s="113"/>
      <c r="AV154" s="113"/>
      <c r="AW154" s="113"/>
      <c r="AX154" s="113"/>
      <c r="AY154" s="113"/>
      <c r="AZ154" s="113"/>
      <c r="BA154" s="113"/>
      <c r="BB154" s="113"/>
      <c r="BD154" s="112"/>
      <c r="BE154" s="112"/>
    </row>
    <row r="155" spans="1:57" s="124" customFormat="1" ht="13.8" thickBot="1" x14ac:dyDescent="0.3">
      <c r="A155" s="262">
        <v>1</v>
      </c>
      <c r="B155" s="358" t="s">
        <v>505</v>
      </c>
      <c r="C155" s="359" t="s">
        <v>467</v>
      </c>
      <c r="E155" s="118"/>
      <c r="F155" s="118"/>
      <c r="G155" s="118"/>
      <c r="H155" s="118"/>
      <c r="I155" s="119">
        <f>IF($C$155="Di ngang",'BS Raw'!I18/$B$1,0)</f>
        <v>0</v>
      </c>
      <c r="J155" s="119">
        <f>IF($C$155="Di ngang",'BS Raw'!J18/$B$1,0)</f>
        <v>0</v>
      </c>
      <c r="K155" s="119">
        <f>IF($C$155="Di ngang",'BS Raw'!K18/$B$1,0)</f>
        <v>0</v>
      </c>
      <c r="L155" s="119">
        <f>IF($C$155="Di ngang",'BS Raw'!L18/$B$1,0)</f>
        <v>0</v>
      </c>
      <c r="M155" s="119">
        <f>IF($C$155="Di ngang",'BS Raw'!M18/$B$1,0)</f>
        <v>0</v>
      </c>
      <c r="N155" s="119">
        <f>IF($C$155="Di ngang",'BS Raw'!N18/$B$1,0)</f>
        <v>0</v>
      </c>
      <c r="O155" s="119">
        <f>IF($C$155="Di ngang",'BS Raw'!O18/$B$1,0)</f>
        <v>0</v>
      </c>
      <c r="P155" s="671">
        <f>IF($C$155="Di ngang",'BS Raw'!P18/$B$1,0)</f>
        <v>0</v>
      </c>
      <c r="Q155" s="120">
        <f ca="1">MAX(Q411,0)</f>
        <v>23.534424349970777</v>
      </c>
      <c r="R155" s="120">
        <f t="shared" ref="R155:Z155" ca="1" si="110">MAX(R411,0)</f>
        <v>9.5553164665857366</v>
      </c>
      <c r="S155" s="120">
        <f t="shared" ca="1" si="110"/>
        <v>2.360131490817821</v>
      </c>
      <c r="T155" s="120">
        <f t="shared" ca="1" si="110"/>
        <v>5.8639847587251097</v>
      </c>
      <c r="U155" s="120">
        <f t="shared" ca="1" si="110"/>
        <v>4.3821408332273677</v>
      </c>
      <c r="V155" s="120">
        <f t="shared" ca="1" si="110"/>
        <v>0.3719321376629523</v>
      </c>
      <c r="W155" s="120">
        <f t="shared" ca="1" si="110"/>
        <v>5.3928636092991837</v>
      </c>
      <c r="X155" s="120">
        <f t="shared" ca="1" si="110"/>
        <v>8.4080566836423714</v>
      </c>
      <c r="Y155" s="120">
        <f t="shared" ca="1" si="110"/>
        <v>5.6388702754829865</v>
      </c>
      <c r="Z155" s="120">
        <f t="shared" ca="1" si="110"/>
        <v>8.6808558281463775</v>
      </c>
      <c r="AA155" s="120"/>
      <c r="AB155" s="120"/>
      <c r="AC155" s="121"/>
      <c r="AD155" s="121"/>
      <c r="AE155" s="121"/>
      <c r="AF155" s="121"/>
      <c r="AG155" s="121"/>
      <c r="AH155" s="121"/>
      <c r="AI155" s="121"/>
      <c r="AJ155" s="121"/>
      <c r="AK155" s="121"/>
      <c r="AL155" s="121"/>
      <c r="AM155" s="121"/>
      <c r="AN155" s="121"/>
      <c r="AO155" s="121"/>
      <c r="AP155" s="121"/>
      <c r="AQ155" s="121"/>
      <c r="AR155" s="121"/>
      <c r="AS155" s="121"/>
      <c r="AT155" s="121"/>
      <c r="AU155" s="121"/>
      <c r="AV155" s="121"/>
      <c r="AW155" s="121"/>
      <c r="AX155" s="121"/>
      <c r="AY155" s="121"/>
      <c r="AZ155" s="121"/>
      <c r="BA155" s="121"/>
      <c r="BB155" s="122"/>
      <c r="BC155" s="123"/>
    </row>
    <row r="156" spans="1:57" s="180" customFormat="1" ht="13.8" thickTop="1" x14ac:dyDescent="0.25">
      <c r="A156" s="174"/>
      <c r="B156" s="360" t="s">
        <v>506</v>
      </c>
      <c r="C156" s="361" t="s">
        <v>467</v>
      </c>
      <c r="E156" s="198"/>
      <c r="F156" s="198"/>
      <c r="G156" s="198"/>
      <c r="H156" s="198"/>
      <c r="I156" s="198"/>
      <c r="J156" s="198"/>
      <c r="K156" s="198"/>
      <c r="L156" s="198"/>
      <c r="M156" s="198"/>
      <c r="N156" s="148">
        <v>6.8000000000000005E-2</v>
      </c>
      <c r="O156" s="148">
        <f>N156</f>
        <v>6.8000000000000005E-2</v>
      </c>
      <c r="P156" s="497">
        <f>O156</f>
        <v>6.8000000000000005E-2</v>
      </c>
      <c r="Q156" s="260">
        <f>Q276</f>
        <v>4.1642013553055052E-2</v>
      </c>
      <c r="R156" s="260">
        <f t="shared" ref="R156:Z156" si="111">R276</f>
        <v>4.1272282638108379E-2</v>
      </c>
      <c r="S156" s="260">
        <f t="shared" si="111"/>
        <v>4.1526259006466296E-2</v>
      </c>
      <c r="T156" s="260">
        <f t="shared" si="111"/>
        <v>4.2919863433938832E-2</v>
      </c>
      <c r="U156" s="260">
        <f t="shared" si="111"/>
        <v>4.4710139929131629E-2</v>
      </c>
      <c r="V156" s="260">
        <f t="shared" si="111"/>
        <v>4.743746186247192E-2</v>
      </c>
      <c r="W156" s="260">
        <f t="shared" si="111"/>
        <v>5.1085789816722751E-2</v>
      </c>
      <c r="X156" s="260">
        <f t="shared" si="111"/>
        <v>5.3079192551587724E-2</v>
      </c>
      <c r="Y156" s="260">
        <f t="shared" si="111"/>
        <v>5.4003405333540574E-2</v>
      </c>
      <c r="Z156" s="260">
        <f t="shared" si="111"/>
        <v>5.4553674167957512E-2</v>
      </c>
      <c r="AA156" s="260"/>
      <c r="AB156" s="334"/>
      <c r="AC156" s="334"/>
      <c r="AD156" s="334"/>
      <c r="AE156" s="334"/>
      <c r="AF156" s="334"/>
      <c r="AG156" s="334"/>
      <c r="AH156" s="334"/>
      <c r="AI156" s="334"/>
      <c r="AJ156" s="334"/>
      <c r="AK156" s="334"/>
      <c r="AL156" s="334"/>
      <c r="AM156" s="334"/>
      <c r="AN156" s="334"/>
      <c r="AO156" s="334"/>
      <c r="AP156" s="334"/>
      <c r="AQ156" s="334"/>
      <c r="AR156" s="334"/>
      <c r="AS156" s="334"/>
      <c r="AT156" s="334"/>
      <c r="AU156" s="334"/>
      <c r="AV156" s="334"/>
      <c r="AW156" s="334"/>
      <c r="AX156" s="334"/>
      <c r="AY156" s="334"/>
      <c r="AZ156" s="334"/>
      <c r="BA156" s="334"/>
      <c r="BB156" s="198" t="s">
        <v>1928</v>
      </c>
      <c r="BC156" s="362"/>
    </row>
    <row r="157" spans="1:57" x14ac:dyDescent="0.25">
      <c r="B157" s="363" t="s">
        <v>435</v>
      </c>
      <c r="C157" s="364" t="s">
        <v>507</v>
      </c>
      <c r="E157" s="66"/>
      <c r="F157" s="66"/>
      <c r="G157" s="66"/>
      <c r="H157" s="66"/>
      <c r="I157" s="66"/>
      <c r="J157" s="66"/>
      <c r="K157" s="66"/>
      <c r="L157" s="66"/>
      <c r="M157" s="66"/>
      <c r="N157" s="157">
        <f>AVERAGE(M155:N155)*N156</f>
        <v>0</v>
      </c>
      <c r="O157" s="157">
        <f t="shared" ref="O157:P157" si="112">AVERAGE(N155:O155)*O156</f>
        <v>0</v>
      </c>
      <c r="P157" s="300">
        <f t="shared" si="112"/>
        <v>0</v>
      </c>
      <c r="Q157" s="120">
        <f ca="1">AVERAGE(P155:Q155)*Q156</f>
        <v>0.49001040887241598</v>
      </c>
      <c r="R157" s="120">
        <f t="shared" ref="R157:Z157" ca="1" si="113">AVERAGE(Q155:R155)*R156</f>
        <v>0.68284456770133584</v>
      </c>
      <c r="S157" s="120">
        <f t="shared" ca="1" si="113"/>
        <v>0.24740198902860497</v>
      </c>
      <c r="T157" s="120">
        <f t="shared" ca="1" si="113"/>
        <v>0.17648897314760989</v>
      </c>
      <c r="U157" s="120">
        <f t="shared" ca="1" si="113"/>
        <v>0.22905285447382595</v>
      </c>
      <c r="V157" s="120">
        <f t="shared" ca="1" si="113"/>
        <v>0.11276057762400907</v>
      </c>
      <c r="W157" s="120">
        <f t="shared" ca="1" si="113"/>
        <v>0.14724957193282245</v>
      </c>
      <c r="X157" s="120">
        <f t="shared" ca="1" si="113"/>
        <v>0.36627085280907962</v>
      </c>
      <c r="Y157" s="120">
        <f t="shared" ca="1" si="113"/>
        <v>0.37929094513214262</v>
      </c>
      <c r="Z157" s="120">
        <f t="shared" ca="1" si="113"/>
        <v>0.39059683601589607</v>
      </c>
      <c r="AA157" s="120"/>
      <c r="AB157" s="121"/>
      <c r="AC157" s="121"/>
      <c r="AD157" s="121"/>
      <c r="AE157" s="121"/>
      <c r="AF157" s="121"/>
      <c r="AG157" s="121"/>
      <c r="AH157" s="121"/>
      <c r="AI157" s="121"/>
      <c r="AJ157" s="121"/>
      <c r="AK157" s="121"/>
      <c r="AL157" s="121"/>
      <c r="AM157" s="121"/>
      <c r="AN157" s="121"/>
      <c r="AO157" s="121"/>
      <c r="AP157" s="121"/>
      <c r="AQ157" s="121"/>
      <c r="AR157" s="121"/>
      <c r="AS157" s="121"/>
      <c r="AT157" s="121"/>
      <c r="AU157" s="121"/>
      <c r="AV157" s="121"/>
      <c r="AW157" s="121"/>
      <c r="AX157" s="121"/>
      <c r="AY157" s="121"/>
      <c r="AZ157" s="121"/>
      <c r="BA157" s="121"/>
      <c r="BB157" s="230"/>
      <c r="BC157" s="123"/>
      <c r="BD157" s="112"/>
      <c r="BE157" s="112"/>
    </row>
    <row r="158" spans="1:57" s="117" customFormat="1" x14ac:dyDescent="0.25">
      <c r="A158" s="132"/>
      <c r="B158" s="133" t="s">
        <v>436</v>
      </c>
      <c r="C158" s="133"/>
      <c r="D158" s="134"/>
      <c r="E158" s="166"/>
      <c r="F158" s="166"/>
      <c r="G158" s="166"/>
      <c r="H158" s="365"/>
      <c r="I158" s="365"/>
      <c r="J158" s="365"/>
      <c r="K158" s="365"/>
      <c r="L158" s="365"/>
      <c r="M158" s="365"/>
      <c r="N158" s="365"/>
      <c r="O158" s="365"/>
      <c r="P158" s="366"/>
      <c r="Q158" s="168">
        <f ca="1">Q155</f>
        <v>23.534424349970777</v>
      </c>
      <c r="R158" s="168">
        <f t="shared" ref="R158:Z158" ca="1" si="114">R155</f>
        <v>9.5553164665857366</v>
      </c>
      <c r="S158" s="168">
        <f t="shared" ca="1" si="114"/>
        <v>2.360131490817821</v>
      </c>
      <c r="T158" s="168">
        <f t="shared" ca="1" si="114"/>
        <v>5.8639847587251097</v>
      </c>
      <c r="U158" s="168">
        <f t="shared" ca="1" si="114"/>
        <v>4.3821408332273677</v>
      </c>
      <c r="V158" s="168">
        <f t="shared" ca="1" si="114"/>
        <v>0.3719321376629523</v>
      </c>
      <c r="W158" s="168">
        <f t="shared" ca="1" si="114"/>
        <v>5.3928636092991837</v>
      </c>
      <c r="X158" s="168">
        <f t="shared" ca="1" si="114"/>
        <v>8.4080566836423714</v>
      </c>
      <c r="Y158" s="168">
        <f t="shared" ca="1" si="114"/>
        <v>5.6388702754829865</v>
      </c>
      <c r="Z158" s="168">
        <f t="shared" ca="1" si="114"/>
        <v>8.6808558281463775</v>
      </c>
      <c r="AA158" s="168"/>
      <c r="AB158" s="169"/>
      <c r="AC158" s="169"/>
      <c r="AD158" s="169"/>
      <c r="AE158" s="169"/>
      <c r="AF158" s="169"/>
      <c r="AG158" s="169"/>
      <c r="AH158" s="169"/>
      <c r="AI158" s="169"/>
      <c r="AJ158" s="169"/>
      <c r="AK158" s="169"/>
      <c r="AL158" s="169"/>
      <c r="AM158" s="169"/>
      <c r="AN158" s="169"/>
      <c r="AO158" s="169"/>
      <c r="AP158" s="169"/>
      <c r="AQ158" s="169"/>
      <c r="AR158" s="169"/>
      <c r="AS158" s="169"/>
      <c r="AT158" s="169"/>
      <c r="AU158" s="169"/>
      <c r="AV158" s="169"/>
      <c r="AW158" s="169"/>
      <c r="AX158" s="169"/>
      <c r="AY158" s="169"/>
      <c r="AZ158" s="169"/>
      <c r="BA158" s="169"/>
      <c r="BB158" s="139"/>
      <c r="BC158" s="140"/>
    </row>
    <row r="159" spans="1:57" x14ac:dyDescent="0.25">
      <c r="D159" s="112"/>
      <c r="E159" s="170"/>
      <c r="F159" s="170"/>
      <c r="G159" s="170"/>
      <c r="H159" s="170"/>
      <c r="I159" s="170"/>
      <c r="J159" s="170"/>
      <c r="K159" s="170"/>
      <c r="L159" s="170"/>
      <c r="M159" s="170"/>
      <c r="N159" s="170"/>
      <c r="O159" s="170"/>
      <c r="P159" s="171"/>
      <c r="Q159" s="367"/>
      <c r="R159" s="367"/>
      <c r="S159" s="367"/>
      <c r="T159" s="367"/>
      <c r="U159" s="367"/>
      <c r="V159" s="367"/>
      <c r="W159" s="367"/>
      <c r="X159" s="367"/>
      <c r="Y159" s="367"/>
      <c r="Z159" s="367"/>
      <c r="AA159" s="367"/>
      <c r="AB159" s="170"/>
      <c r="AC159" s="170"/>
      <c r="AD159" s="170"/>
      <c r="AE159" s="170"/>
      <c r="AF159" s="170"/>
      <c r="AG159" s="170"/>
      <c r="AH159" s="170"/>
      <c r="AI159" s="170"/>
      <c r="AJ159" s="170"/>
      <c r="AK159" s="170"/>
      <c r="AL159" s="170"/>
      <c r="AM159" s="170"/>
      <c r="AN159" s="170"/>
      <c r="AO159" s="170"/>
      <c r="AP159" s="170"/>
      <c r="AQ159" s="170"/>
      <c r="AR159" s="170"/>
      <c r="AS159" s="170"/>
      <c r="AT159" s="170"/>
      <c r="AU159" s="170"/>
      <c r="AV159" s="170"/>
      <c r="AW159" s="170"/>
      <c r="AX159" s="170"/>
      <c r="AY159" s="170"/>
      <c r="AZ159" s="170"/>
      <c r="BA159" s="170"/>
      <c r="BB159" s="113"/>
      <c r="BD159" s="112"/>
      <c r="BE159" s="112"/>
    </row>
    <row r="160" spans="1:57" s="124" customFormat="1" x14ac:dyDescent="0.25">
      <c r="A160" s="262">
        <v>2</v>
      </c>
      <c r="B160" s="116" t="s">
        <v>508</v>
      </c>
      <c r="C160" s="116"/>
      <c r="E160" s="118"/>
      <c r="F160" s="118"/>
      <c r="G160" s="118"/>
      <c r="H160" s="118"/>
      <c r="I160" s="119">
        <f>I161+I162</f>
        <v>127.49808649400001</v>
      </c>
      <c r="J160" s="119">
        <f>J161+J162</f>
        <v>210.69177091500001</v>
      </c>
      <c r="K160" s="119">
        <f t="shared" ref="K160:P160" si="115">K161+K162</f>
        <v>135.54888223399999</v>
      </c>
      <c r="L160" s="119">
        <f t="shared" si="115"/>
        <v>96.499799276000005</v>
      </c>
      <c r="M160" s="119">
        <f t="shared" si="115"/>
        <v>92.556725446000002</v>
      </c>
      <c r="N160" s="119">
        <f t="shared" si="115"/>
        <v>138.16217737900001</v>
      </c>
      <c r="O160" s="119">
        <f t="shared" si="115"/>
        <v>108.72871470999999</v>
      </c>
      <c r="P160" s="671">
        <f t="shared" si="115"/>
        <v>68.453780408</v>
      </c>
      <c r="Q160" s="120">
        <f>Q163*Q5</f>
        <v>167.58152461579596</v>
      </c>
      <c r="R160" s="120">
        <f t="shared" ref="R160:Z160" si="116">R163*R5</f>
        <v>174.83059303273396</v>
      </c>
      <c r="S160" s="120">
        <f t="shared" si="116"/>
        <v>222.93191486190253</v>
      </c>
      <c r="T160" s="120">
        <f t="shared" si="116"/>
        <v>242.54366857619311</v>
      </c>
      <c r="U160" s="120">
        <f t="shared" si="116"/>
        <v>270.64246361319221</v>
      </c>
      <c r="V160" s="120">
        <f t="shared" si="116"/>
        <v>298.01004094915731</v>
      </c>
      <c r="W160" s="120">
        <f t="shared" si="116"/>
        <v>337.34253160506296</v>
      </c>
      <c r="X160" s="120">
        <f t="shared" si="116"/>
        <v>374.89819501331505</v>
      </c>
      <c r="Y160" s="120">
        <f t="shared" si="116"/>
        <v>419.23997463040388</v>
      </c>
      <c r="Z160" s="120">
        <f t="shared" si="116"/>
        <v>473.95351851458514</v>
      </c>
      <c r="AA160" s="120"/>
      <c r="AB160" s="121"/>
      <c r="AC160" s="121"/>
      <c r="AD160" s="121"/>
      <c r="AE160" s="121"/>
      <c r="AF160" s="121"/>
      <c r="AG160" s="121"/>
      <c r="AH160" s="121"/>
      <c r="AI160" s="121"/>
      <c r="AJ160" s="121"/>
      <c r="AK160" s="121"/>
      <c r="AL160" s="121"/>
      <c r="AM160" s="121"/>
      <c r="AN160" s="121"/>
      <c r="AO160" s="121"/>
      <c r="AP160" s="121"/>
      <c r="AQ160" s="121"/>
      <c r="AR160" s="121"/>
      <c r="AS160" s="121"/>
      <c r="AT160" s="121"/>
      <c r="AU160" s="121"/>
      <c r="AV160" s="121"/>
      <c r="AW160" s="121"/>
      <c r="AX160" s="121"/>
      <c r="AY160" s="121"/>
      <c r="AZ160" s="121"/>
      <c r="BA160" s="121"/>
      <c r="BB160" s="122"/>
      <c r="BC160" s="123"/>
    </row>
    <row r="161" spans="1:57" s="124" customFormat="1" x14ac:dyDescent="0.25">
      <c r="A161" s="262"/>
      <c r="B161" s="185" t="s">
        <v>509</v>
      </c>
      <c r="C161" s="185"/>
      <c r="E161" s="118"/>
      <c r="F161" s="118"/>
      <c r="G161" s="118"/>
      <c r="H161" s="118"/>
      <c r="I161" s="119">
        <f>('BS Raw'!I17) / Input!$B$1</f>
        <v>56.371803161000003</v>
      </c>
      <c r="J161" s="119">
        <f>('BS Raw'!J17) / Input!$B$1</f>
        <v>53.691770914999999</v>
      </c>
      <c r="K161" s="119">
        <f>('BS Raw'!K17) / Input!$B$1</f>
        <v>63.048882233999997</v>
      </c>
      <c r="L161" s="119">
        <f>('BS Raw'!L17) / Input!$B$1</f>
        <v>53.999799275999997</v>
      </c>
      <c r="M161" s="119">
        <f>('BS Raw'!M17) / Input!$B$1</f>
        <v>80.556725446000002</v>
      </c>
      <c r="N161" s="119">
        <f>('BS Raw'!N17) / Input!$B$1</f>
        <v>47.442332684</v>
      </c>
      <c r="O161" s="119">
        <f>('BS Raw'!O17) / Input!$B$1</f>
        <v>35.184670629000003</v>
      </c>
      <c r="P161" s="671">
        <f>('BS Raw'!P17) / Input!$B$1</f>
        <v>31.453780408</v>
      </c>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21"/>
      <c r="AP161" s="121"/>
      <c r="AQ161" s="121"/>
      <c r="AR161" s="121"/>
      <c r="AS161" s="121"/>
      <c r="AT161" s="121"/>
      <c r="AU161" s="121"/>
      <c r="AV161" s="121"/>
      <c r="AW161" s="121"/>
      <c r="AX161" s="121"/>
      <c r="AY161" s="121"/>
      <c r="AZ161" s="121"/>
      <c r="BA161" s="121"/>
      <c r="BB161" s="122"/>
      <c r="BC161" s="123"/>
    </row>
    <row r="162" spans="1:57" s="124" customFormat="1" x14ac:dyDescent="0.25">
      <c r="A162" s="262"/>
      <c r="B162" s="185" t="s">
        <v>510</v>
      </c>
      <c r="C162" s="185"/>
      <c r="E162" s="118"/>
      <c r="F162" s="118"/>
      <c r="G162" s="118"/>
      <c r="H162" s="118"/>
      <c r="I162" s="119">
        <f>('BS Raw'!I18) / Input!$B$1</f>
        <v>71.126283333000003</v>
      </c>
      <c r="J162" s="119">
        <f>('BS Raw'!J18) / Input!$B$1</f>
        <v>157</v>
      </c>
      <c r="K162" s="119">
        <f>('BS Raw'!K18) / Input!$B$1</f>
        <v>72.5</v>
      </c>
      <c r="L162" s="119">
        <f>('BS Raw'!L18) / Input!$B$1</f>
        <v>42.5</v>
      </c>
      <c r="M162" s="119">
        <f>('BS Raw'!M18) / Input!$B$1</f>
        <v>12</v>
      </c>
      <c r="N162" s="119">
        <f>('BS Raw'!N18) / Input!$B$1</f>
        <v>90.719844695000006</v>
      </c>
      <c r="O162" s="119">
        <f>('BS Raw'!O18) / Input!$B$1</f>
        <v>73.544044080999996</v>
      </c>
      <c r="P162" s="671">
        <f>('BS Raw'!P18) / Input!$B$1</f>
        <v>37</v>
      </c>
      <c r="Q162" s="121"/>
      <c r="R162" s="121"/>
      <c r="S162" s="121"/>
      <c r="T162" s="121"/>
      <c r="U162" s="121"/>
      <c r="V162" s="121"/>
      <c r="W162" s="121"/>
      <c r="X162" s="121"/>
      <c r="Y162" s="121"/>
      <c r="Z162" s="121"/>
      <c r="AA162" s="121"/>
      <c r="AB162" s="121"/>
      <c r="AC162" s="121"/>
      <c r="AD162" s="121"/>
      <c r="AE162" s="121"/>
      <c r="AF162" s="121"/>
      <c r="AG162" s="121"/>
      <c r="AH162" s="121"/>
      <c r="AI162" s="121"/>
      <c r="AJ162" s="121"/>
      <c r="AK162" s="121"/>
      <c r="AL162" s="121"/>
      <c r="AM162" s="121"/>
      <c r="AN162" s="121"/>
      <c r="AO162" s="121"/>
      <c r="AP162" s="121"/>
      <c r="AQ162" s="121"/>
      <c r="AR162" s="121"/>
      <c r="AS162" s="121"/>
      <c r="AT162" s="121"/>
      <c r="AU162" s="121"/>
      <c r="AV162" s="121"/>
      <c r="AW162" s="121"/>
      <c r="AX162" s="121"/>
      <c r="AY162" s="121"/>
      <c r="AZ162" s="121"/>
      <c r="BA162" s="121"/>
      <c r="BB162" s="122"/>
      <c r="BC162" s="123"/>
    </row>
    <row r="163" spans="1:57" s="180" customFormat="1" x14ac:dyDescent="0.25">
      <c r="A163" s="174"/>
      <c r="B163" s="175" t="s">
        <v>404</v>
      </c>
      <c r="C163" s="175"/>
      <c r="E163" s="368"/>
      <c r="F163" s="368"/>
      <c r="G163" s="368"/>
      <c r="H163" s="368"/>
      <c r="I163" s="369">
        <f>IFERROR(I166/I7," ")</f>
        <v>5.2000147898456202E-2</v>
      </c>
      <c r="J163" s="369">
        <f>IFERROR(J166/J7," ")</f>
        <v>0.17198373034241762</v>
      </c>
      <c r="K163" s="369">
        <f t="shared" ref="K163:P163" si="117">IFERROR(K166/K7," ")</f>
        <v>9.7876166276593013E-2</v>
      </c>
      <c r="L163" s="369">
        <f t="shared" si="117"/>
        <v>6.9512962636189252E-2</v>
      </c>
      <c r="M163" s="369">
        <f t="shared" si="117"/>
        <v>6.6063611011172502E-2</v>
      </c>
      <c r="N163" s="369">
        <f t="shared" si="117"/>
        <v>0.10950225842986371</v>
      </c>
      <c r="O163" s="369">
        <f t="shared" si="117"/>
        <v>8.6501857326962694E-2</v>
      </c>
      <c r="P163" s="1572">
        <f t="shared" si="117"/>
        <v>4.392273986418866E-2</v>
      </c>
      <c r="Q163" s="260">
        <f>AVERAGE(AVERAGE(J163:K163), AVERAGE(O163:P163))</f>
        <v>0.1000711234525405</v>
      </c>
      <c r="R163" s="260">
        <f>Q163</f>
        <v>0.1000711234525405</v>
      </c>
      <c r="S163" s="260">
        <f>R163*1.01</f>
        <v>0.1010718346870659</v>
      </c>
      <c r="T163" s="260">
        <f>S163*1.02</f>
        <v>0.10309327138080722</v>
      </c>
      <c r="U163" s="260">
        <f>T163*1.05</f>
        <v>0.10824793494984758</v>
      </c>
      <c r="V163" s="260">
        <f t="shared" ref="V163" si="118">U163*1.05</f>
        <v>0.11366033169733997</v>
      </c>
      <c r="W163" s="260">
        <f>V163*1.07</f>
        <v>0.12161655491615377</v>
      </c>
      <c r="X163" s="260">
        <f t="shared" ref="X163" si="119">W163*1.07</f>
        <v>0.13012971376028454</v>
      </c>
      <c r="Y163" s="260">
        <f>X163*1.075</f>
        <v>0.13988944229230588</v>
      </c>
      <c r="Z163" s="260">
        <f>Y163*1.085</f>
        <v>0.15178004488715188</v>
      </c>
      <c r="AA163" s="260"/>
      <c r="AB163" s="260"/>
      <c r="AC163" s="334"/>
      <c r="AD163" s="334"/>
      <c r="AE163" s="334"/>
      <c r="AF163" s="334"/>
      <c r="AG163" s="334"/>
      <c r="AH163" s="334"/>
      <c r="AI163" s="334"/>
      <c r="AJ163" s="334"/>
      <c r="AK163" s="334"/>
      <c r="AL163" s="334"/>
      <c r="AM163" s="334"/>
      <c r="AN163" s="334"/>
      <c r="AO163" s="334"/>
      <c r="AP163" s="334"/>
      <c r="AQ163" s="334"/>
      <c r="AR163" s="334"/>
      <c r="AS163" s="334"/>
      <c r="AT163" s="334"/>
      <c r="AU163" s="334"/>
      <c r="AV163" s="334"/>
      <c r="AW163" s="334"/>
      <c r="AX163" s="334"/>
      <c r="AY163" s="334"/>
      <c r="AZ163" s="334"/>
      <c r="BA163" s="334"/>
      <c r="BB163" s="198"/>
      <c r="BC163" s="146"/>
    </row>
    <row r="164" spans="1:57" s="180" customFormat="1" x14ac:dyDescent="0.25">
      <c r="A164" s="189"/>
      <c r="B164" s="175" t="s">
        <v>506</v>
      </c>
      <c r="C164" s="175"/>
      <c r="E164" s="198"/>
      <c r="F164" s="198"/>
      <c r="G164" s="198"/>
      <c r="H164" s="198"/>
      <c r="I164" s="198"/>
      <c r="J164" s="198"/>
      <c r="K164" s="198"/>
      <c r="L164" s="198"/>
      <c r="M164" s="198"/>
      <c r="N164" s="148"/>
      <c r="O164" s="148"/>
      <c r="P164" s="370">
        <f>AVERAGE(0.03,0.033)</f>
        <v>3.15E-2</v>
      </c>
      <c r="Q164" s="260">
        <f>P164</f>
        <v>3.15E-2</v>
      </c>
      <c r="R164" s="260">
        <f t="shared" ref="R164:Z164" si="120">Q164</f>
        <v>3.15E-2</v>
      </c>
      <c r="S164" s="260">
        <f t="shared" si="120"/>
        <v>3.15E-2</v>
      </c>
      <c r="T164" s="260">
        <f t="shared" si="120"/>
        <v>3.15E-2</v>
      </c>
      <c r="U164" s="260">
        <f t="shared" si="120"/>
        <v>3.15E-2</v>
      </c>
      <c r="V164" s="260">
        <f t="shared" si="120"/>
        <v>3.15E-2</v>
      </c>
      <c r="W164" s="260">
        <f t="shared" si="120"/>
        <v>3.15E-2</v>
      </c>
      <c r="X164" s="260">
        <f t="shared" si="120"/>
        <v>3.15E-2</v>
      </c>
      <c r="Y164" s="260">
        <f t="shared" si="120"/>
        <v>3.15E-2</v>
      </c>
      <c r="Z164" s="260">
        <f t="shared" si="120"/>
        <v>3.15E-2</v>
      </c>
      <c r="AA164" s="260"/>
      <c r="AB164" s="260"/>
      <c r="AC164" s="260"/>
      <c r="AD164" s="260"/>
      <c r="AE164" s="260"/>
      <c r="AF164" s="260"/>
      <c r="AG164" s="260"/>
      <c r="AH164" s="260"/>
      <c r="AI164" s="260"/>
      <c r="AJ164" s="260"/>
      <c r="AK164" s="260"/>
      <c r="AL164" s="324"/>
      <c r="AM164" s="324"/>
      <c r="AN164" s="324"/>
      <c r="AO164" s="324"/>
      <c r="AP164" s="324"/>
      <c r="AQ164" s="324"/>
      <c r="AR164" s="324"/>
      <c r="AS164" s="324"/>
      <c r="AT164" s="324"/>
      <c r="AU164" s="324"/>
      <c r="AV164" s="324"/>
      <c r="AW164" s="324"/>
      <c r="AX164" s="324"/>
      <c r="AY164" s="324"/>
      <c r="AZ164" s="324"/>
      <c r="BA164" s="324"/>
      <c r="BB164" s="198"/>
      <c r="BC164" s="146"/>
    </row>
    <row r="165" spans="1:57" x14ac:dyDescent="0.25">
      <c r="B165" s="147" t="s">
        <v>435</v>
      </c>
      <c r="C165" s="147"/>
      <c r="D165" s="112"/>
      <c r="E165" s="170"/>
      <c r="F165" s="170"/>
      <c r="G165" s="170"/>
      <c r="H165" s="170"/>
      <c r="I165" s="170"/>
      <c r="J165" s="170"/>
      <c r="K165" s="170"/>
      <c r="L165" s="170"/>
      <c r="M165" s="170"/>
      <c r="N165" s="371"/>
      <c r="O165" s="371"/>
      <c r="P165" s="372">
        <f>AVERAGE(O166:P166)*P164</f>
        <v>2.7906242981084999</v>
      </c>
      <c r="Q165" s="373">
        <f>AVERAGE(P166:Q166)*Q164</f>
        <v>3.7175560541247865</v>
      </c>
      <c r="R165" s="373">
        <f t="shared" ref="R165:Z165" si="121">AVERAGE(Q166:R166)*R164</f>
        <v>5.3929908529643464</v>
      </c>
      <c r="S165" s="373">
        <f t="shared" si="121"/>
        <v>6.2647594993405251</v>
      </c>
      <c r="T165" s="373">
        <f t="shared" si="121"/>
        <v>7.3312404391500072</v>
      </c>
      <c r="U165" s="373">
        <f t="shared" si="121"/>
        <v>8.0826815819828184</v>
      </c>
      <c r="V165" s="373">
        <f t="shared" si="121"/>
        <v>8.956276946857006</v>
      </c>
      <c r="W165" s="373">
        <f t="shared" si="121"/>
        <v>10.00680301772897</v>
      </c>
      <c r="X165" s="373">
        <f t="shared" si="121"/>
        <v>11.217791444239452</v>
      </c>
      <c r="Y165" s="373">
        <f t="shared" si="121"/>
        <v>12.507676171888573</v>
      </c>
      <c r="Z165" s="373">
        <f t="shared" si="121"/>
        <v>14.067797517033577</v>
      </c>
      <c r="AA165" s="373"/>
      <c r="AB165" s="373"/>
      <c r="AC165" s="373"/>
      <c r="AD165" s="373"/>
      <c r="AE165" s="373"/>
      <c r="AF165" s="373"/>
      <c r="AG165" s="373"/>
      <c r="AH165" s="373"/>
      <c r="AI165" s="373"/>
      <c r="AJ165" s="373"/>
      <c r="AK165" s="373"/>
      <c r="AL165" s="373"/>
      <c r="AM165" s="373"/>
      <c r="AN165" s="373"/>
      <c r="AO165" s="373"/>
      <c r="AP165" s="373"/>
      <c r="AQ165" s="373"/>
      <c r="AR165" s="373"/>
      <c r="AS165" s="373"/>
      <c r="AT165" s="373"/>
      <c r="AU165" s="373"/>
      <c r="AV165" s="373"/>
      <c r="AW165" s="373"/>
      <c r="AX165" s="373"/>
      <c r="AY165" s="373"/>
      <c r="AZ165" s="373"/>
      <c r="BA165" s="373"/>
      <c r="BB165" s="113"/>
      <c r="BD165" s="112"/>
      <c r="BE165" s="112"/>
    </row>
    <row r="166" spans="1:57" s="117" customFormat="1" x14ac:dyDescent="0.25">
      <c r="A166" s="132"/>
      <c r="B166" s="133" t="s">
        <v>437</v>
      </c>
      <c r="C166" s="133"/>
      <c r="D166" s="134"/>
      <c r="E166" s="166"/>
      <c r="F166" s="166"/>
      <c r="G166" s="166"/>
      <c r="H166" s="166"/>
      <c r="I166" s="167">
        <f>IF(AND($C$155="Di ngang",ISTEXT('BS Raw'!I11)),'BS Raw'!I17/Input!$B$1,IF(AND($C$155="Growth",ISTEXT('BS Raw'!I11)),'BS Raw'!I17/Input!$B$1+'BS Raw'!I18/Input!$B$1,I160))</f>
        <v>127.49808649400001</v>
      </c>
      <c r="J166" s="167">
        <f>IF(AND($C$155="Di ngang",ISTEXT('BS Raw'!J11)),'BS Raw'!J17/Input!$B$1,IF(AND($C$155="Growth",ISTEXT('BS Raw'!J11)),'BS Raw'!J17/Input!$B$1+'BS Raw'!J18/Input!$B$1,J160))</f>
        <v>210.69177091500001</v>
      </c>
      <c r="K166" s="167">
        <f>IF(AND($C$155="Di ngang",ISTEXT('BS Raw'!K11)),'BS Raw'!K17/Input!$B$1,IF(AND($C$155="Growth",ISTEXT('BS Raw'!K11)),'BS Raw'!K17/Input!$B$1+'BS Raw'!K18/Input!$B$1,K160))</f>
        <v>135.54888223399999</v>
      </c>
      <c r="L166" s="167">
        <f>IF(AND($C$155="Di ngang",ISTEXT('BS Raw'!L11)),'BS Raw'!L17/Input!$B$1,IF(AND($C$155="Growth",ISTEXT('BS Raw'!L11)),'BS Raw'!L17/Input!$B$1+'BS Raw'!L18/Input!$B$1,L160))</f>
        <v>96.499799276000005</v>
      </c>
      <c r="M166" s="167">
        <f>IF(AND($C$155="Di ngang",ISTEXT('BS Raw'!M11)),'BS Raw'!M17/Input!$B$1,IF(AND($C$155="Growth",ISTEXT('BS Raw'!M11)),'BS Raw'!M17/Input!$B$1+'BS Raw'!M18/Input!$B$1,M160))</f>
        <v>92.556725446000002</v>
      </c>
      <c r="N166" s="167">
        <f>IF(AND($C$155="Di ngang",ISTEXT('BS Raw'!N11)),'BS Raw'!N17/Input!$B$1,IF(AND($C$155="Growth",ISTEXT('BS Raw'!N11)),'BS Raw'!N17/Input!$B$1+'BS Raw'!N18/Input!$B$1,N160))</f>
        <v>138.16217737900001</v>
      </c>
      <c r="O166" s="167">
        <f>IF(AND($C$155="Di ngang",ISTEXT('BS Raw'!O11)),'BS Raw'!O17/Input!$B$1,IF(AND($C$155="Growth",ISTEXT('BS Raw'!O11)),'BS Raw'!O17/Input!$B$1+'BS Raw'!O18/Input!$B$1,O160))</f>
        <v>108.72871470999999</v>
      </c>
      <c r="P166" s="743">
        <f>IF(AND($C$155="Di ngang",ISTEXT('BS Raw'!P11)),'BS Raw'!P17/Input!$B$1,IF(AND($C$155="Growth",ISTEXT('BS Raw'!P11)),'BS Raw'!P17/Input!$B$1+'BS Raw'!P18/Input!$B$1,P160))</f>
        <v>68.453780408</v>
      </c>
      <c r="Q166" s="168">
        <f>IF(AND($C$155="Di ngang",ISTEXT('BS Raw'!Q11)),'BS Raw'!Q17/Input!$B$1,IF(AND($C$155="Growth",ISTEXT('BS Raw'!Q11)),'BS Raw'!Q17/Input!$B$1+'BS Raw'!Q18/Input!$B$1,Q160))</f>
        <v>167.58152461579596</v>
      </c>
      <c r="R166" s="168">
        <f>IF(AND($C$155="Di ngang",ISTEXT('BS Raw'!R11)),'BS Raw'!R17/Input!$B$1,IF(AND($C$155="Growth",ISTEXT('BS Raw'!R11)),'BS Raw'!R17/Input!$B$1+'BS Raw'!R18/Input!$B$1,R160))</f>
        <v>174.83059303273396</v>
      </c>
      <c r="S166" s="168">
        <f>IF(AND($C$155="Di ngang",ISTEXT('BS Raw'!S11)),'BS Raw'!S17/Input!$B$1,IF(AND($C$155="Growth",ISTEXT('BS Raw'!S11)),'BS Raw'!S17/Input!$B$1+'BS Raw'!S18/Input!$B$1,S160))</f>
        <v>222.93191486190253</v>
      </c>
      <c r="T166" s="168">
        <f>IF(AND($C$155="Di ngang",ISTEXT('BS Raw'!T11)),'BS Raw'!T17/Input!$B$1,IF(AND($C$155="Growth",ISTEXT('BS Raw'!T11)),'BS Raw'!T17/Input!$B$1+'BS Raw'!T18/Input!$B$1,T160))</f>
        <v>242.54366857619311</v>
      </c>
      <c r="U166" s="168">
        <f>IF(AND($C$155="Di ngang",ISTEXT('BS Raw'!U11)),'BS Raw'!U17/Input!$B$1,IF(AND($C$155="Growth",ISTEXT('BS Raw'!U11)),'BS Raw'!U17/Input!$B$1+'BS Raw'!U18/Input!$B$1,U160))</f>
        <v>270.64246361319221</v>
      </c>
      <c r="V166" s="168">
        <f>IF(AND($C$155="Di ngang",ISTEXT('BS Raw'!V11)),'BS Raw'!V17/Input!$B$1,IF(AND($C$155="Growth",ISTEXT('BS Raw'!V11)),'BS Raw'!V17/Input!$B$1+'BS Raw'!V18/Input!$B$1,V160))</f>
        <v>298.01004094915731</v>
      </c>
      <c r="W166" s="168">
        <f>IF(AND($C$155="Di ngang",ISTEXT('BS Raw'!W11)),'BS Raw'!W17/Input!$B$1,IF(AND($C$155="Growth",ISTEXT('BS Raw'!W11)),'BS Raw'!W17/Input!$B$1+'BS Raw'!W18/Input!$B$1,W160))</f>
        <v>337.34253160506296</v>
      </c>
      <c r="X166" s="168">
        <f>IF(AND($C$155="Di ngang",ISTEXT('BS Raw'!X11)),'BS Raw'!X17/Input!$B$1,IF(AND($C$155="Growth",ISTEXT('BS Raw'!X11)),'BS Raw'!X17/Input!$B$1+'BS Raw'!X18/Input!$B$1,X160))</f>
        <v>374.89819501331505</v>
      </c>
      <c r="Y166" s="168">
        <f>IF(AND($C$155="Di ngang",ISTEXT('BS Raw'!Y11)),'BS Raw'!Y17/Input!$B$1,IF(AND($C$155="Growth",ISTEXT('BS Raw'!Y11)),'BS Raw'!Y17/Input!$B$1+'BS Raw'!Y18/Input!$B$1,Y160))</f>
        <v>419.23997463040388</v>
      </c>
      <c r="Z166" s="168">
        <f>IF(AND($C$155="Di ngang",ISTEXT('BS Raw'!Z11)),'BS Raw'!Z17/Input!$B$1,IF(AND($C$155="Growth",ISTEXT('BS Raw'!Z11)),'BS Raw'!Z17/Input!$B$1+'BS Raw'!Z18/Input!$B$1,Z160))</f>
        <v>473.95351851458514</v>
      </c>
      <c r="AA166" s="168"/>
      <c r="AB166" s="168"/>
      <c r="AC166" s="168"/>
      <c r="AD166" s="168"/>
      <c r="AE166" s="168"/>
      <c r="AF166" s="168"/>
      <c r="AG166" s="168"/>
      <c r="AH166" s="168"/>
      <c r="AI166" s="168"/>
      <c r="AJ166" s="168"/>
      <c r="AK166" s="169"/>
      <c r="AL166" s="169"/>
      <c r="AM166" s="169"/>
      <c r="AN166" s="169"/>
      <c r="AO166" s="169"/>
      <c r="AP166" s="169"/>
      <c r="AQ166" s="169"/>
      <c r="AR166" s="169"/>
      <c r="AS166" s="169"/>
      <c r="AT166" s="169"/>
      <c r="AU166" s="169"/>
      <c r="AV166" s="169"/>
      <c r="AW166" s="169"/>
      <c r="AX166" s="169"/>
      <c r="AY166" s="169"/>
      <c r="AZ166" s="169"/>
      <c r="BA166" s="169"/>
      <c r="BB166" s="139"/>
      <c r="BC166" s="140"/>
    </row>
    <row r="167" spans="1:57" s="117" customFormat="1" x14ac:dyDescent="0.25">
      <c r="A167" s="132"/>
      <c r="B167" s="151"/>
      <c r="C167" s="151"/>
      <c r="E167" s="152"/>
      <c r="F167" s="152"/>
      <c r="G167" s="152"/>
      <c r="H167" s="152"/>
      <c r="I167" s="152"/>
      <c r="J167" s="374"/>
      <c r="K167" s="374"/>
      <c r="L167" s="374"/>
      <c r="M167" s="374"/>
      <c r="N167" s="374"/>
      <c r="O167" s="374"/>
      <c r="P167" s="767"/>
      <c r="Q167" s="375"/>
      <c r="R167" s="375"/>
      <c r="S167" s="375"/>
      <c r="T167" s="375"/>
      <c r="U167" s="375"/>
      <c r="V167" s="375"/>
      <c r="W167" s="375"/>
      <c r="X167" s="375"/>
      <c r="Y167" s="375"/>
      <c r="Z167" s="375"/>
      <c r="AA167" s="375"/>
      <c r="AB167" s="375"/>
      <c r="AC167" s="375"/>
      <c r="AD167" s="375"/>
      <c r="AE167" s="375"/>
      <c r="AF167" s="375"/>
      <c r="AG167" s="375"/>
      <c r="AH167" s="375"/>
      <c r="AI167" s="375"/>
      <c r="AJ167" s="375"/>
      <c r="AK167" s="376"/>
      <c r="AL167" s="376"/>
      <c r="AM167" s="376"/>
      <c r="AN167" s="376"/>
      <c r="AO167" s="376"/>
      <c r="AP167" s="376"/>
      <c r="AQ167" s="376"/>
      <c r="AR167" s="376"/>
      <c r="AS167" s="376"/>
      <c r="AT167" s="376"/>
      <c r="AU167" s="376"/>
      <c r="AV167" s="376"/>
      <c r="AW167" s="376"/>
      <c r="AX167" s="376"/>
      <c r="AY167" s="376"/>
      <c r="AZ167" s="376"/>
      <c r="BA167" s="376"/>
      <c r="BB167" s="155"/>
      <c r="BC167" s="123"/>
    </row>
    <row r="168" spans="1:57" x14ac:dyDescent="0.25">
      <c r="E168" s="170"/>
      <c r="F168" s="170"/>
      <c r="G168" s="170"/>
      <c r="H168" s="377"/>
      <c r="I168" s="377"/>
      <c r="J168" s="378"/>
      <c r="K168" s="378"/>
      <c r="L168" s="378"/>
      <c r="M168" s="378"/>
      <c r="N168" s="378"/>
      <c r="O168" s="378"/>
      <c r="P168" s="379" t="s">
        <v>1692</v>
      </c>
      <c r="Q168" s="380">
        <f>Debt!U105</f>
        <v>105.60981816142952</v>
      </c>
      <c r="R168" s="380">
        <f>Debt!U157</f>
        <v>102.87838835274852</v>
      </c>
      <c r="S168" s="380">
        <f>Debt!U172</f>
        <v>18.88981304594013</v>
      </c>
      <c r="T168" s="380">
        <v>0</v>
      </c>
      <c r="U168" s="380">
        <f>Debt!U198</f>
        <v>24.151798601311366</v>
      </c>
      <c r="V168" s="380">
        <v>0</v>
      </c>
      <c r="W168" s="380">
        <v>0</v>
      </c>
      <c r="X168" s="380">
        <v>0</v>
      </c>
      <c r="Y168" s="380">
        <v>0</v>
      </c>
      <c r="Z168" s="380">
        <v>0</v>
      </c>
      <c r="AA168" s="380"/>
      <c r="AB168" s="170"/>
      <c r="AC168" s="170"/>
      <c r="AD168" s="170"/>
      <c r="AE168" s="170"/>
      <c r="AF168" s="170"/>
      <c r="AG168" s="170"/>
      <c r="AH168" s="170"/>
      <c r="AI168" s="170"/>
      <c r="AJ168" s="170"/>
      <c r="AK168" s="170"/>
      <c r="AL168" s="170"/>
      <c r="AM168" s="170"/>
      <c r="AN168" s="170"/>
      <c r="AO168" s="170"/>
      <c r="AP168" s="170"/>
      <c r="AQ168" s="170"/>
      <c r="AR168" s="170"/>
      <c r="AS168" s="170"/>
      <c r="AT168" s="170"/>
      <c r="AU168" s="170"/>
      <c r="AV168" s="170"/>
      <c r="AW168" s="170"/>
      <c r="AX168" s="170"/>
      <c r="AY168" s="170"/>
      <c r="AZ168" s="170"/>
      <c r="BA168" s="170"/>
    </row>
    <row r="169" spans="1:57" x14ac:dyDescent="0.25">
      <c r="A169" s="100">
        <v>3</v>
      </c>
      <c r="B169" s="29" t="s">
        <v>511</v>
      </c>
      <c r="D169" s="112"/>
      <c r="E169" s="66"/>
      <c r="F169" s="66"/>
      <c r="G169" s="66"/>
      <c r="H169" s="66"/>
      <c r="I169" s="220">
        <f>'BS Raw'!I19/$B$1</f>
        <v>0.87379810000000002</v>
      </c>
      <c r="J169" s="220">
        <f>'BS Raw'!J19/$B$1</f>
        <v>110.0013933</v>
      </c>
      <c r="K169" s="220">
        <f>'BS Raw'!K19/$B$1</f>
        <v>274.11239330000001</v>
      </c>
      <c r="L169" s="220">
        <f>'BS Raw'!L19/$B$1</f>
        <v>313.80139329999997</v>
      </c>
      <c r="M169" s="220">
        <f>'BS Raw'!M19/$B$1</f>
        <v>222.70139330000001</v>
      </c>
      <c r="N169" s="220">
        <f>'BS Raw'!N19/$B$1</f>
        <v>113.9413933</v>
      </c>
      <c r="O169" s="220">
        <f>'BS Raw'!O19/$B$1</f>
        <v>93.341393299999993</v>
      </c>
      <c r="P169" s="1789">
        <f>'BS Raw'!P19/$B$1</f>
        <v>139.20139330000001</v>
      </c>
      <c r="Q169" s="120">
        <f>SUM(Q171:Q173)-Q168</f>
        <v>138.75912513857048</v>
      </c>
      <c r="R169" s="120">
        <f t="shared" ref="R169:Z169" si="122">SUM(R171:R173)-R168</f>
        <v>152.06115390134735</v>
      </c>
      <c r="S169" s="120">
        <f t="shared" si="122"/>
        <v>302.97251636497458</v>
      </c>
      <c r="T169" s="120">
        <f t="shared" si="122"/>
        <v>411.97276747265255</v>
      </c>
      <c r="U169" s="120">
        <f t="shared" si="122"/>
        <v>509.97540868564045</v>
      </c>
      <c r="V169" s="120">
        <f t="shared" si="122"/>
        <v>700.16452846153436</v>
      </c>
      <c r="W169" s="120">
        <f t="shared" si="122"/>
        <v>762.94579446204591</v>
      </c>
      <c r="X169" s="120">
        <f t="shared" si="122"/>
        <v>863.73110692340094</v>
      </c>
      <c r="Y169" s="120">
        <f t="shared" si="122"/>
        <v>1033.277942433089</v>
      </c>
      <c r="Z169" s="120">
        <f t="shared" si="122"/>
        <v>1141.2119112502442</v>
      </c>
      <c r="AA169" s="120"/>
      <c r="AB169" s="121"/>
      <c r="AC169" s="121"/>
      <c r="AD169" s="121"/>
      <c r="AE169" s="121"/>
      <c r="AF169" s="121"/>
      <c r="AG169" s="121"/>
      <c r="AH169" s="121"/>
      <c r="AI169" s="121"/>
      <c r="AJ169" s="121"/>
      <c r="AK169" s="121"/>
      <c r="AL169" s="121"/>
      <c r="AM169" s="121"/>
      <c r="AN169" s="121"/>
      <c r="AO169" s="121"/>
      <c r="AP169" s="121"/>
      <c r="AQ169" s="121"/>
      <c r="AR169" s="121"/>
      <c r="AS169" s="121"/>
      <c r="AT169" s="121"/>
      <c r="AU169" s="121"/>
      <c r="AV169" s="121"/>
      <c r="AW169" s="121"/>
      <c r="AX169" s="121"/>
      <c r="AY169" s="121"/>
      <c r="AZ169" s="121"/>
      <c r="BA169" s="121"/>
      <c r="BB169" s="230"/>
      <c r="BC169" s="123"/>
      <c r="BD169" s="112"/>
      <c r="BE169" s="112"/>
    </row>
    <row r="170" spans="1:57" s="180" customFormat="1" ht="21.6" customHeight="1" x14ac:dyDescent="0.25">
      <c r="A170" s="174"/>
      <c r="B170" s="175" t="s">
        <v>512</v>
      </c>
      <c r="C170" s="175"/>
      <c r="E170" s="198"/>
      <c r="F170" s="198"/>
      <c r="G170" s="198"/>
      <c r="H170" s="198"/>
      <c r="I170" s="198"/>
      <c r="J170" s="198"/>
      <c r="K170" s="2324">
        <f>K169/J169-1</f>
        <v>1.4918992848793309</v>
      </c>
      <c r="L170" s="2324">
        <f t="shared" ref="L170:Z170" si="123">L169/K169-1</f>
        <v>0.14479097249923556</v>
      </c>
      <c r="M170" s="2324">
        <f t="shared" si="123"/>
        <v>-0.29031101182175656</v>
      </c>
      <c r="N170" s="2324">
        <f t="shared" si="123"/>
        <v>-0.48836694907197964</v>
      </c>
      <c r="O170" s="2324">
        <f t="shared" si="123"/>
        <v>-0.18079469983100516</v>
      </c>
      <c r="P170" s="2325">
        <f t="shared" si="123"/>
        <v>0.49131471449762487</v>
      </c>
      <c r="Q170" s="2326">
        <f t="shared" si="123"/>
        <v>-3.177182001880996E-3</v>
      </c>
      <c r="R170" s="2326">
        <f t="shared" si="123"/>
        <v>9.5864172893083133E-2</v>
      </c>
      <c r="S170" s="2326">
        <f t="shared" si="123"/>
        <v>0.99243862480179468</v>
      </c>
      <c r="T170" s="2326">
        <f t="shared" si="123"/>
        <v>0.35976943524597216</v>
      </c>
      <c r="U170" s="2326">
        <f t="shared" si="123"/>
        <v>0.23788621227128437</v>
      </c>
      <c r="V170" s="2326">
        <f t="shared" si="123"/>
        <v>0.37293782511213291</v>
      </c>
      <c r="W170" s="2326">
        <f t="shared" si="123"/>
        <v>8.9666447596910226E-2</v>
      </c>
      <c r="X170" s="2326">
        <f t="shared" si="123"/>
        <v>0.13210022676960809</v>
      </c>
      <c r="Y170" s="2326">
        <f t="shared" si="123"/>
        <v>0.19629585428920326</v>
      </c>
      <c r="Z170" s="2326">
        <f t="shared" si="123"/>
        <v>0.10445782725507513</v>
      </c>
      <c r="AA170" s="261"/>
      <c r="AB170" s="261"/>
      <c r="AC170" s="261"/>
      <c r="AD170" s="261"/>
      <c r="AE170" s="261"/>
      <c r="AF170" s="261"/>
      <c r="AG170" s="261"/>
      <c r="AH170" s="261"/>
      <c r="AI170" s="261"/>
      <c r="AJ170" s="261"/>
      <c r="AK170" s="261"/>
      <c r="AL170" s="261"/>
      <c r="AM170" s="261"/>
      <c r="AN170" s="261"/>
      <c r="AO170" s="261"/>
      <c r="AP170" s="261"/>
      <c r="AQ170" s="261"/>
      <c r="AR170" s="261"/>
      <c r="AS170" s="261"/>
      <c r="AT170" s="261"/>
      <c r="AU170" s="261"/>
      <c r="AV170" s="261"/>
      <c r="AW170" s="261"/>
      <c r="AX170" s="261"/>
      <c r="AY170" s="261"/>
      <c r="AZ170" s="261"/>
      <c r="BA170" s="261"/>
      <c r="BB170" s="198"/>
      <c r="BC170" s="146"/>
    </row>
    <row r="171" spans="1:57" ht="28.2" customHeight="1" x14ac:dyDescent="0.25">
      <c r="A171" s="64" t="s">
        <v>513</v>
      </c>
      <c r="B171" s="147" t="s">
        <v>514</v>
      </c>
      <c r="C171" s="147"/>
      <c r="D171" s="112"/>
      <c r="E171" s="66"/>
      <c r="F171" s="66"/>
      <c r="G171" s="66"/>
      <c r="H171" s="66"/>
      <c r="I171" s="220">
        <f>'BS Raw'!I20/Input!$B$1</f>
        <v>1.17953</v>
      </c>
      <c r="J171" s="220">
        <f>'BS Raw'!J20/Input!$B$1</f>
        <v>1.3933000000000001E-3</v>
      </c>
      <c r="K171" s="220">
        <f>'BS Raw'!K20/Input!$B$1</f>
        <v>1.3933000000000001E-3</v>
      </c>
      <c r="L171" s="220">
        <f>'BS Raw'!L20/Input!$B$1</f>
        <v>1.3933000000000001E-3</v>
      </c>
      <c r="M171" s="220">
        <f>'BS Raw'!M20/Input!$B$1</f>
        <v>1.3933000000000001E-3</v>
      </c>
      <c r="N171" s="220">
        <f>'BS Raw'!N20/Input!$B$1</f>
        <v>1.3933000000000001E-3</v>
      </c>
      <c r="O171" s="220">
        <f>'BS Raw'!O20/Input!$B$1</f>
        <v>1.3933000000000001E-3</v>
      </c>
      <c r="P171" s="1789">
        <f>'BS Raw'!P20/Input!$B$1</f>
        <v>1.3933000000000001E-3</v>
      </c>
      <c r="Q171" s="1777">
        <f>P171</f>
        <v>1.3933000000000001E-3</v>
      </c>
      <c r="R171" s="1777">
        <f t="shared" ref="R171:Z171" si="124">Q171</f>
        <v>1.3933000000000001E-3</v>
      </c>
      <c r="S171" s="1777">
        <f t="shared" si="124"/>
        <v>1.3933000000000001E-3</v>
      </c>
      <c r="T171" s="1777">
        <f t="shared" si="124"/>
        <v>1.3933000000000001E-3</v>
      </c>
      <c r="U171" s="1777">
        <f t="shared" si="124"/>
        <v>1.3933000000000001E-3</v>
      </c>
      <c r="V171" s="1777">
        <f t="shared" si="124"/>
        <v>1.3933000000000001E-3</v>
      </c>
      <c r="W171" s="1777">
        <f t="shared" si="124"/>
        <v>1.3933000000000001E-3</v>
      </c>
      <c r="X171" s="1777">
        <f t="shared" si="124"/>
        <v>1.3933000000000001E-3</v>
      </c>
      <c r="Y171" s="1777">
        <f t="shared" si="124"/>
        <v>1.3933000000000001E-3</v>
      </c>
      <c r="Z171" s="1777">
        <f t="shared" si="124"/>
        <v>1.3933000000000001E-3</v>
      </c>
      <c r="AA171" s="243"/>
      <c r="AB171" s="244"/>
      <c r="AC171" s="244"/>
      <c r="AD171" s="244"/>
      <c r="AE171" s="244"/>
      <c r="AF171" s="244"/>
      <c r="AG171" s="244"/>
      <c r="AH171" s="244"/>
      <c r="AI171" s="244"/>
      <c r="AJ171" s="244"/>
      <c r="AK171" s="244"/>
      <c r="AL171" s="244"/>
      <c r="AM171" s="244"/>
      <c r="AN171" s="244"/>
      <c r="AO171" s="244"/>
      <c r="AP171" s="244"/>
      <c r="AQ171" s="244"/>
      <c r="AR171" s="244"/>
      <c r="AS171" s="244"/>
      <c r="AT171" s="244"/>
      <c r="AU171" s="244"/>
      <c r="AV171" s="244"/>
      <c r="AW171" s="244"/>
      <c r="AX171" s="244"/>
      <c r="AY171" s="244"/>
      <c r="AZ171" s="244"/>
      <c r="BA171" s="244"/>
      <c r="BB171" s="230"/>
      <c r="BC171" s="382"/>
      <c r="BD171" s="112"/>
      <c r="BE171" s="112"/>
    </row>
    <row r="172" spans="1:57" ht="23.4" customHeight="1" x14ac:dyDescent="0.25">
      <c r="A172" s="64" t="s">
        <v>515</v>
      </c>
      <c r="B172" s="147" t="s">
        <v>516</v>
      </c>
      <c r="C172" s="147"/>
      <c r="D172" s="112"/>
      <c r="E172" s="66"/>
      <c r="F172" s="66"/>
      <c r="G172" s="66"/>
      <c r="H172" s="66"/>
      <c r="I172" s="220">
        <f>'BS Raw'!I21/$B$1</f>
        <v>-0.3057319</v>
      </c>
      <c r="J172" s="220">
        <f>'BS Raw'!J21/$B$1</f>
        <v>0</v>
      </c>
      <c r="K172" s="220">
        <f>'BS Raw'!K21/$B$1</f>
        <v>0</v>
      </c>
      <c r="L172" s="220">
        <f>'BS Raw'!L21/$B$1</f>
        <v>0</v>
      </c>
      <c r="M172" s="220">
        <f>'BS Raw'!M21/$B$1</f>
        <v>0</v>
      </c>
      <c r="N172" s="220">
        <f>'BS Raw'!N21/$B$1</f>
        <v>0</v>
      </c>
      <c r="O172" s="220">
        <f>'BS Raw'!O21/$B$1</f>
        <v>0</v>
      </c>
      <c r="P172" s="1789">
        <f>'BS Raw'!P21/$B$1</f>
        <v>0</v>
      </c>
      <c r="Q172" s="1777">
        <f>P172</f>
        <v>0</v>
      </c>
      <c r="R172" s="1777">
        <f t="shared" ref="R172:Z172" si="125">Q172</f>
        <v>0</v>
      </c>
      <c r="S172" s="1777">
        <f t="shared" si="125"/>
        <v>0</v>
      </c>
      <c r="T172" s="1777">
        <f t="shared" si="125"/>
        <v>0</v>
      </c>
      <c r="U172" s="1777">
        <f t="shared" si="125"/>
        <v>0</v>
      </c>
      <c r="V172" s="1777">
        <f t="shared" si="125"/>
        <v>0</v>
      </c>
      <c r="W172" s="1777">
        <f t="shared" si="125"/>
        <v>0</v>
      </c>
      <c r="X172" s="1777">
        <f t="shared" si="125"/>
        <v>0</v>
      </c>
      <c r="Y172" s="1777">
        <f t="shared" si="125"/>
        <v>0</v>
      </c>
      <c r="Z172" s="1777">
        <f t="shared" si="125"/>
        <v>0</v>
      </c>
      <c r="AA172" s="243"/>
      <c r="AB172" s="244"/>
      <c r="AC172" s="244"/>
      <c r="AD172" s="244"/>
      <c r="AE172" s="244"/>
      <c r="AF172" s="244"/>
      <c r="AG172" s="244"/>
      <c r="AH172" s="244"/>
      <c r="AI172" s="244"/>
      <c r="AJ172" s="244"/>
      <c r="AK172" s="244"/>
      <c r="AL172" s="244"/>
      <c r="AM172" s="244"/>
      <c r="AN172" s="244"/>
      <c r="AO172" s="244"/>
      <c r="AP172" s="244"/>
      <c r="AQ172" s="244"/>
      <c r="AR172" s="244"/>
      <c r="AS172" s="244"/>
      <c r="AT172" s="244"/>
      <c r="AU172" s="244"/>
      <c r="AV172" s="244"/>
      <c r="AW172" s="244"/>
      <c r="AX172" s="244"/>
      <c r="AY172" s="244"/>
      <c r="AZ172" s="244"/>
      <c r="BA172" s="244"/>
      <c r="BB172" s="230"/>
      <c r="BC172" s="382"/>
      <c r="BD172" s="112"/>
      <c r="BE172" s="112"/>
    </row>
    <row r="173" spans="1:57" x14ac:dyDescent="0.25">
      <c r="A173" s="64" t="s">
        <v>517</v>
      </c>
      <c r="B173" s="147" t="s">
        <v>518</v>
      </c>
      <c r="C173" s="147"/>
      <c r="D173" s="112"/>
      <c r="E173" s="66"/>
      <c r="F173" s="66"/>
      <c r="G173" s="66"/>
      <c r="H173" s="66"/>
      <c r="I173" s="220">
        <f>'BS Raw'!I22/Input!$B$1</f>
        <v>0</v>
      </c>
      <c r="J173" s="220">
        <f>'BS Raw'!J22/Input!$B$1</f>
        <v>110</v>
      </c>
      <c r="K173" s="220">
        <f>'BS Raw'!K22/Input!$B$1</f>
        <v>274.11099999999999</v>
      </c>
      <c r="L173" s="220">
        <f>'BS Raw'!L22/Input!$B$1</f>
        <v>313.8</v>
      </c>
      <c r="M173" s="220">
        <f>'BS Raw'!M22/Input!$B$1</f>
        <v>222.7</v>
      </c>
      <c r="N173" s="220">
        <f>'BS Raw'!N22/Input!$B$1</f>
        <v>113.94</v>
      </c>
      <c r="O173" s="220">
        <f>'BS Raw'!O22/Input!$B$1</f>
        <v>93.34</v>
      </c>
      <c r="P173" s="1789">
        <f>'BS Raw'!P22/Input!$B$1</f>
        <v>139.19999999999999</v>
      </c>
      <c r="Q173" s="243">
        <f>AVERAGE(J173:P173)*1.35</f>
        <v>244.36755000000002</v>
      </c>
      <c r="R173" s="243">
        <f>Q173*(1+R6)</f>
        <v>254.93814895409588</v>
      </c>
      <c r="S173" s="243">
        <f t="shared" ref="S173" si="126">R173*(1+S6)</f>
        <v>321.86093611091468</v>
      </c>
      <c r="T173" s="243">
        <f>S173*(1+T6)*1.2</f>
        <v>411.97137417265253</v>
      </c>
      <c r="U173" s="243">
        <f>T173*(1+U6)*1.22</f>
        <v>534.12581398695181</v>
      </c>
      <c r="V173" s="243">
        <f>U173*(1+V6)*1.25</f>
        <v>700.16313516153434</v>
      </c>
      <c r="W173" s="243">
        <f>V173*(1+W6)*1.03</f>
        <v>762.94440116204589</v>
      </c>
      <c r="X173" s="243">
        <f>W173*(1+X6)*1.09</f>
        <v>863.72971362340093</v>
      </c>
      <c r="Y173" s="243">
        <f>X173*(1+Y6)*1.15</f>
        <v>1033.276549133089</v>
      </c>
      <c r="Z173" s="243">
        <f>Y173*(1+Z6)*1.06</f>
        <v>1141.2105179502441</v>
      </c>
      <c r="AA173" s="243"/>
      <c r="AB173" s="244"/>
      <c r="AC173" s="244"/>
      <c r="AD173" s="244"/>
      <c r="AE173" s="244"/>
      <c r="AF173" s="244"/>
      <c r="AG173" s="244"/>
      <c r="AH173" s="244"/>
      <c r="AI173" s="244"/>
      <c r="AJ173" s="244"/>
      <c r="AK173" s="244"/>
      <c r="AL173" s="244"/>
      <c r="AM173" s="244"/>
      <c r="AN173" s="244"/>
      <c r="AO173" s="244"/>
      <c r="AP173" s="244"/>
      <c r="AQ173" s="244"/>
      <c r="AR173" s="244"/>
      <c r="AS173" s="244"/>
      <c r="AT173" s="244"/>
      <c r="AU173" s="244"/>
      <c r="AV173" s="244"/>
      <c r="AW173" s="244"/>
      <c r="AX173" s="244"/>
      <c r="AY173" s="244"/>
      <c r="AZ173" s="244"/>
      <c r="BA173" s="244"/>
      <c r="BB173" s="230"/>
      <c r="BC173" s="382"/>
      <c r="BD173" s="112"/>
      <c r="BE173" s="112"/>
    </row>
    <row r="174" spans="1:57" s="72" customFormat="1" x14ac:dyDescent="0.25">
      <c r="A174" s="383"/>
      <c r="B174" s="384" t="s">
        <v>506</v>
      </c>
      <c r="C174" s="384"/>
      <c r="E174" s="385"/>
      <c r="F174" s="385"/>
      <c r="G174" s="385"/>
      <c r="H174" s="385"/>
      <c r="I174" s="385"/>
      <c r="J174" s="385"/>
      <c r="K174" s="385"/>
      <c r="L174" s="385"/>
      <c r="M174" s="385"/>
      <c r="N174" s="385"/>
      <c r="O174" s="385"/>
      <c r="P174" s="386"/>
      <c r="Q174" s="387">
        <f>Q276+0.02</f>
        <v>6.1642013553055056E-2</v>
      </c>
      <c r="R174" s="387">
        <f t="shared" ref="R174:Z174" si="127">R276+0.02</f>
        <v>6.1272282638108383E-2</v>
      </c>
      <c r="S174" s="387">
        <f t="shared" si="127"/>
        <v>6.15262590064663E-2</v>
      </c>
      <c r="T174" s="387">
        <f t="shared" si="127"/>
        <v>6.2919863433938836E-2</v>
      </c>
      <c r="U174" s="387">
        <f t="shared" si="127"/>
        <v>6.4710139929131633E-2</v>
      </c>
      <c r="V174" s="387">
        <f t="shared" si="127"/>
        <v>6.7437461862471917E-2</v>
      </c>
      <c r="W174" s="387">
        <f t="shared" si="127"/>
        <v>7.1085789816722755E-2</v>
      </c>
      <c r="X174" s="387">
        <f t="shared" si="127"/>
        <v>7.3079192551587721E-2</v>
      </c>
      <c r="Y174" s="387">
        <f t="shared" si="127"/>
        <v>7.4003405333540578E-2</v>
      </c>
      <c r="Z174" s="387">
        <f t="shared" si="127"/>
        <v>7.4553674167957509E-2</v>
      </c>
      <c r="AA174" s="387"/>
      <c r="AB174" s="388"/>
      <c r="AC174" s="388"/>
      <c r="AD174" s="388"/>
      <c r="AE174" s="388"/>
      <c r="AF174" s="388"/>
      <c r="AG174" s="388"/>
      <c r="AH174" s="388"/>
      <c r="AI174" s="388"/>
      <c r="AJ174" s="388"/>
      <c r="AK174" s="388"/>
      <c r="AL174" s="388"/>
      <c r="AM174" s="388"/>
      <c r="AN174" s="388"/>
      <c r="AO174" s="388"/>
      <c r="AP174" s="388"/>
      <c r="AQ174" s="388"/>
      <c r="AR174" s="388"/>
      <c r="AS174" s="388"/>
      <c r="AT174" s="388"/>
      <c r="AU174" s="388"/>
      <c r="AV174" s="388"/>
      <c r="AW174" s="388"/>
      <c r="AX174" s="388"/>
      <c r="AY174" s="388"/>
      <c r="AZ174" s="388"/>
      <c r="BA174" s="388"/>
      <c r="BB174" s="385"/>
      <c r="BC174" s="389"/>
    </row>
    <row r="175" spans="1:57" s="76" customFormat="1" x14ac:dyDescent="0.25">
      <c r="A175" s="69"/>
      <c r="B175" s="232" t="s">
        <v>435</v>
      </c>
      <c r="C175" s="232"/>
      <c r="D175" s="233"/>
      <c r="E175" s="249"/>
      <c r="F175" s="249"/>
      <c r="G175" s="249"/>
      <c r="H175" s="249"/>
      <c r="I175" s="249"/>
      <c r="J175" s="249"/>
      <c r="K175" s="249"/>
      <c r="L175" s="249"/>
      <c r="M175" s="249"/>
      <c r="N175" s="249"/>
      <c r="O175" s="249"/>
      <c r="P175" s="390"/>
      <c r="Q175" s="391">
        <f>AVERAGE(P173,Q173)*Q174</f>
        <v>11.821938057806062</v>
      </c>
      <c r="R175" s="391">
        <f t="shared" ref="R175:Z175" si="128">AVERAGE(Q173,R173)*R174</f>
        <v>15.29679995456681</v>
      </c>
      <c r="S175" s="391">
        <f t="shared" si="128"/>
        <v>17.744144951201314</v>
      </c>
      <c r="T175" s="391">
        <f t="shared" si="128"/>
        <v>23.086314373226941</v>
      </c>
      <c r="U175" s="391">
        <f t="shared" si="128"/>
        <v>30.611040716182988</v>
      </c>
      <c r="V175" s="391">
        <f t="shared" si="128"/>
        <v>41.618656967735788</v>
      </c>
      <c r="W175" s="391">
        <f t="shared" si="128"/>
        <v>52.003077403180541</v>
      </c>
      <c r="X175" s="391">
        <f t="shared" si="128"/>
        <v>59.438015426544588</v>
      </c>
      <c r="Y175" s="391">
        <f t="shared" si="128"/>
        <v>70.192461691516755</v>
      </c>
      <c r="Z175" s="391">
        <f t="shared" si="128"/>
        <v>81.058000140884204</v>
      </c>
      <c r="AA175" s="391"/>
      <c r="AB175" s="392"/>
      <c r="AC175" s="392"/>
      <c r="AD175" s="392"/>
      <c r="AE175" s="392"/>
      <c r="AF175" s="392"/>
      <c r="AG175" s="392"/>
      <c r="AH175" s="392"/>
      <c r="AI175" s="392"/>
      <c r="AJ175" s="392"/>
      <c r="AK175" s="392"/>
      <c r="AL175" s="392"/>
      <c r="AM175" s="392"/>
      <c r="AN175" s="392"/>
      <c r="AO175" s="392"/>
      <c r="AP175" s="392"/>
      <c r="AQ175" s="392"/>
      <c r="AR175" s="392"/>
      <c r="AS175" s="392"/>
      <c r="AT175" s="392"/>
      <c r="AU175" s="392"/>
      <c r="AV175" s="392"/>
      <c r="AW175" s="392"/>
      <c r="AX175" s="392"/>
      <c r="AY175" s="392"/>
      <c r="AZ175" s="392"/>
      <c r="BA175" s="392"/>
      <c r="BB175" s="393"/>
      <c r="BC175" s="394"/>
      <c r="BD175" s="233"/>
      <c r="BE175" s="233"/>
    </row>
    <row r="176" spans="1:57" s="124" customFormat="1" ht="15" customHeight="1" x14ac:dyDescent="0.25">
      <c r="A176" s="262"/>
      <c r="B176" s="133" t="s">
        <v>519</v>
      </c>
      <c r="C176" s="133"/>
      <c r="D176" s="134"/>
      <c r="E176" s="166"/>
      <c r="F176" s="166"/>
      <c r="G176" s="166"/>
      <c r="H176" s="166"/>
      <c r="I176" s="167">
        <f>IF(ISTEXT('BS Raw'!I11),'BS Raw'!I19/Input!$B$1,Input!I169)</f>
        <v>0.87379810000000002</v>
      </c>
      <c r="J176" s="167">
        <f>IF(ISTEXT('BS Raw'!J11),'BS Raw'!J19/Input!$B$1,Input!J169)</f>
        <v>110.0013933</v>
      </c>
      <c r="K176" s="167">
        <f>IF(ISTEXT('BS Raw'!K11),'BS Raw'!K19/Input!$B$1,Input!K169)</f>
        <v>274.11239330000001</v>
      </c>
      <c r="L176" s="167">
        <f>IF(ISTEXT('BS Raw'!L11),'BS Raw'!L19/Input!$B$1,Input!L169)</f>
        <v>313.80139329999997</v>
      </c>
      <c r="M176" s="167">
        <f>IF(ISTEXT('BS Raw'!M11),'BS Raw'!M19/Input!$B$1,Input!M169)</f>
        <v>222.70139330000001</v>
      </c>
      <c r="N176" s="167">
        <f>IF(ISTEXT('BS Raw'!N11),'BS Raw'!N19/Input!$B$1,Input!N169)</f>
        <v>113.9413933</v>
      </c>
      <c r="O176" s="167">
        <f>IF(ISTEXT('BS Raw'!O11),'BS Raw'!O19/Input!$B$1,Input!O169)</f>
        <v>93.341393299999993</v>
      </c>
      <c r="P176" s="743">
        <f>IF(ISTEXT('BS Raw'!P11),'BS Raw'!P19/Input!$B$1,Input!P169)</f>
        <v>139.20139330000001</v>
      </c>
      <c r="Q176" s="168">
        <f>IF(ISTEXT('BS Raw'!Q11),'BS Raw'!Q19/Input!$B$1,Input!Q169)</f>
        <v>138.75912513857048</v>
      </c>
      <c r="R176" s="168">
        <f>IF(ISTEXT('BS Raw'!R11),'BS Raw'!R19/Input!$B$1,Input!R169)</f>
        <v>152.06115390134735</v>
      </c>
      <c r="S176" s="168">
        <f>IF(ISTEXT('BS Raw'!S11),'BS Raw'!S19/Input!$B$1,Input!S169)</f>
        <v>302.97251636497458</v>
      </c>
      <c r="T176" s="168">
        <f>IF(ISTEXT('BS Raw'!T11),'BS Raw'!T19/Input!$B$1,Input!T169)</f>
        <v>411.97276747265255</v>
      </c>
      <c r="U176" s="168">
        <f>IF(ISTEXT('BS Raw'!U11),'BS Raw'!U19/Input!$B$1,Input!U169)</f>
        <v>509.97540868564045</v>
      </c>
      <c r="V176" s="168">
        <f>IF(ISTEXT('BS Raw'!V11),'BS Raw'!V19/Input!$B$1,Input!V169)</f>
        <v>700.16452846153436</v>
      </c>
      <c r="W176" s="168">
        <f>IF(ISTEXT('BS Raw'!W11),'BS Raw'!W19/Input!$B$1,Input!W169)</f>
        <v>762.94579446204591</v>
      </c>
      <c r="X176" s="168">
        <f>IF(ISTEXT('BS Raw'!X11),'BS Raw'!X19/Input!$B$1,Input!X169)</f>
        <v>863.73110692340094</v>
      </c>
      <c r="Y176" s="168">
        <f>IF(ISTEXT('BS Raw'!Y11),'BS Raw'!Y19/Input!$B$1,Input!Y169)</f>
        <v>1033.277942433089</v>
      </c>
      <c r="Z176" s="168">
        <f>IF(ISTEXT('BS Raw'!Z11),'BS Raw'!Z19/Input!$B$1,Input!Z169)</f>
        <v>1141.2119112502442</v>
      </c>
      <c r="AA176" s="168"/>
      <c r="AB176" s="169"/>
      <c r="AC176" s="169"/>
      <c r="AD176" s="169"/>
      <c r="AE176" s="169"/>
      <c r="AF176" s="169"/>
      <c r="AG176" s="169"/>
      <c r="AH176" s="169"/>
      <c r="AI176" s="169"/>
      <c r="AJ176" s="169"/>
      <c r="AK176" s="169"/>
      <c r="AL176" s="169"/>
      <c r="AM176" s="169"/>
      <c r="AN176" s="169"/>
      <c r="AO176" s="169"/>
      <c r="AP176" s="169"/>
      <c r="AQ176" s="169"/>
      <c r="AR176" s="169"/>
      <c r="AS176" s="169"/>
      <c r="AT176" s="169"/>
      <c r="AU176" s="169"/>
      <c r="AV176" s="169"/>
      <c r="AW176" s="169"/>
      <c r="AX176" s="169"/>
      <c r="AY176" s="169"/>
      <c r="AZ176" s="169"/>
      <c r="BA176" s="169"/>
      <c r="BB176" s="139"/>
      <c r="BC176" s="395"/>
    </row>
    <row r="177" spans="1:57" x14ac:dyDescent="0.25">
      <c r="M177" s="103"/>
      <c r="P177" s="396"/>
    </row>
    <row r="178" spans="1:57" s="124" customFormat="1" x14ac:dyDescent="0.25">
      <c r="A178" s="262"/>
      <c r="B178" s="397" t="s">
        <v>520</v>
      </c>
      <c r="C178" s="397"/>
      <c r="D178" s="398"/>
      <c r="E178" s="399"/>
      <c r="F178" s="399"/>
      <c r="G178" s="399"/>
      <c r="H178" s="399"/>
      <c r="I178" s="399">
        <v>320.69177091500001</v>
      </c>
      <c r="J178" s="400">
        <f>J155+J160+J173</f>
        <v>320.69177091500001</v>
      </c>
      <c r="K178" s="400">
        <f t="shared" ref="K178:Z178" si="129">K155+K160+K173</f>
        <v>409.65988223399995</v>
      </c>
      <c r="L178" s="400">
        <f t="shared" si="129"/>
        <v>410.29979927600004</v>
      </c>
      <c r="M178" s="400">
        <f t="shared" si="129"/>
        <v>315.25672544600002</v>
      </c>
      <c r="N178" s="400">
        <f t="shared" si="129"/>
        <v>252.10217737900001</v>
      </c>
      <c r="O178" s="400">
        <f t="shared" si="129"/>
        <v>202.06871470999999</v>
      </c>
      <c r="P178" s="1806">
        <f t="shared" si="129"/>
        <v>207.65378040799999</v>
      </c>
      <c r="Q178" s="1779">
        <f t="shared" ca="1" si="129"/>
        <v>435.48349896576678</v>
      </c>
      <c r="R178" s="1779">
        <f t="shared" ca="1" si="129"/>
        <v>439.32405845341555</v>
      </c>
      <c r="S178" s="1779">
        <f t="shared" ca="1" si="129"/>
        <v>547.152982463635</v>
      </c>
      <c r="T178" s="1779">
        <f t="shared" ca="1" si="129"/>
        <v>660.37902750757075</v>
      </c>
      <c r="U178" s="1779">
        <f t="shared" ca="1" si="129"/>
        <v>809.15041843337144</v>
      </c>
      <c r="V178" s="1779">
        <f t="shared" ca="1" si="129"/>
        <v>998.54510824835461</v>
      </c>
      <c r="W178" s="1779">
        <f t="shared" ca="1" si="129"/>
        <v>1105.6797963764079</v>
      </c>
      <c r="X178" s="1779">
        <f t="shared" ca="1" si="129"/>
        <v>1247.0359653203584</v>
      </c>
      <c r="Y178" s="1779">
        <f t="shared" ca="1" si="129"/>
        <v>1458.1553940389758</v>
      </c>
      <c r="Z178" s="1779">
        <f t="shared" ca="1" si="129"/>
        <v>1623.8448922929756</v>
      </c>
      <c r="AA178" s="400"/>
      <c r="AB178" s="399"/>
      <c r="AC178" s="399"/>
      <c r="AD178" s="399"/>
      <c r="AE178" s="399"/>
      <c r="AF178" s="399"/>
      <c r="AG178" s="399"/>
      <c r="AH178" s="399"/>
      <c r="AI178" s="399"/>
      <c r="AJ178" s="399"/>
      <c r="AK178" s="399"/>
      <c r="AL178" s="399"/>
      <c r="AM178" s="399"/>
      <c r="AN178" s="399"/>
      <c r="AO178" s="399"/>
      <c r="AP178" s="399"/>
      <c r="AQ178" s="399"/>
      <c r="AR178" s="399"/>
      <c r="AS178" s="399"/>
      <c r="AT178" s="399"/>
      <c r="AU178" s="399"/>
      <c r="AV178" s="399"/>
      <c r="AW178" s="399"/>
      <c r="AX178" s="399"/>
      <c r="AY178" s="399"/>
      <c r="AZ178" s="399"/>
      <c r="BA178" s="399"/>
      <c r="BB178" s="398"/>
      <c r="BC178" s="123"/>
    </row>
    <row r="179" spans="1:57" s="180" customFormat="1" x14ac:dyDescent="0.25">
      <c r="A179" s="189"/>
      <c r="B179" s="175" t="s">
        <v>506</v>
      </c>
      <c r="C179" s="175"/>
      <c r="E179" s="198"/>
      <c r="F179" s="198"/>
      <c r="G179" s="198"/>
      <c r="H179" s="198"/>
      <c r="I179" s="199">
        <f>I180/AVERAGE(H178:I178)</f>
        <v>4.2954124425135624E-3</v>
      </c>
      <c r="J179" s="199">
        <f>J180/AVERAGE(I178:J178)</f>
        <v>3.3108693196914736E-2</v>
      </c>
      <c r="K179" s="199">
        <f t="shared" ref="K179:P179" si="130">K180/AVERAGE(J178:K178)</f>
        <v>4.0524128411826718E-2</v>
      </c>
      <c r="L179" s="199">
        <f t="shared" si="130"/>
        <v>4.1152575043518741E-2</v>
      </c>
      <c r="M179" s="199">
        <f t="shared" si="130"/>
        <v>4.1440217123704284E-2</v>
      </c>
      <c r="N179" s="199">
        <f t="shared" si="130"/>
        <v>4.2005110379577305E-2</v>
      </c>
      <c r="O179" s="199">
        <f t="shared" si="130"/>
        <v>2.7146767617119632E-2</v>
      </c>
      <c r="P179" s="370">
        <f t="shared" si="130"/>
        <v>2.5077851639658724E-2</v>
      </c>
      <c r="Q179" s="149">
        <f>AVERAGE(J179:P179)</f>
        <v>3.5779334773188586E-2</v>
      </c>
      <c r="R179" s="149">
        <f t="shared" ref="R179:Z179" si="131">AVERAGE(K179:Q179)</f>
        <v>3.6160854998370566E-2</v>
      </c>
      <c r="S179" s="149">
        <f t="shared" si="131"/>
        <v>3.5537530225019695E-2</v>
      </c>
      <c r="T179" s="149">
        <f t="shared" si="131"/>
        <v>3.4735380965234111E-2</v>
      </c>
      <c r="U179" s="149">
        <f t="shared" si="131"/>
        <v>3.37775472283098E-2</v>
      </c>
      <c r="V179" s="149">
        <f t="shared" si="131"/>
        <v>3.2602181063843015E-2</v>
      </c>
      <c r="W179" s="149">
        <f t="shared" si="131"/>
        <v>3.3381525841946355E-2</v>
      </c>
      <c r="X179" s="149">
        <f t="shared" si="131"/>
        <v>3.4567765013701734E-2</v>
      </c>
      <c r="Y179" s="149">
        <f t="shared" si="131"/>
        <v>3.4394683619489323E-2</v>
      </c>
      <c r="Z179" s="149">
        <f t="shared" si="131"/>
        <v>3.4142373422506297E-2</v>
      </c>
      <c r="AA179" s="149"/>
      <c r="AB179" s="261"/>
      <c r="AC179" s="261"/>
      <c r="AD179" s="261"/>
      <c r="AE179" s="261"/>
      <c r="AF179" s="261"/>
      <c r="AG179" s="261"/>
      <c r="AH179" s="261"/>
      <c r="AI179" s="261"/>
      <c r="AJ179" s="261"/>
      <c r="AK179" s="261"/>
      <c r="AL179" s="261"/>
      <c r="AM179" s="261"/>
      <c r="AN179" s="261"/>
      <c r="AO179" s="261"/>
      <c r="AP179" s="261"/>
      <c r="AQ179" s="261"/>
      <c r="AR179" s="261"/>
      <c r="AS179" s="261"/>
      <c r="AT179" s="261"/>
      <c r="AU179" s="261"/>
      <c r="AV179" s="261"/>
      <c r="AW179" s="261"/>
      <c r="AX179" s="261"/>
      <c r="AY179" s="261"/>
      <c r="AZ179" s="261"/>
      <c r="BA179" s="261"/>
      <c r="BB179" s="198"/>
      <c r="BC179" s="146"/>
    </row>
    <row r="180" spans="1:57" x14ac:dyDescent="0.25">
      <c r="B180" s="147" t="s">
        <v>521</v>
      </c>
      <c r="C180" s="147"/>
      <c r="D180" s="112"/>
      <c r="E180" s="157"/>
      <c r="F180" s="157"/>
      <c r="G180" s="157"/>
      <c r="H180" s="157"/>
      <c r="I180" s="158">
        <f>I59</f>
        <v>1.3775034230000001</v>
      </c>
      <c r="J180" s="158">
        <f>J59</f>
        <v>10.617685454</v>
      </c>
      <c r="K180" s="158">
        <f t="shared" ref="K180:Z180" si="132">K59</f>
        <v>14.798432089</v>
      </c>
      <c r="L180" s="158">
        <f t="shared" si="132"/>
        <v>16.871726163000002</v>
      </c>
      <c r="M180" s="158">
        <f t="shared" si="132"/>
        <v>15.03360996</v>
      </c>
      <c r="N180" s="158">
        <f t="shared" si="132"/>
        <v>11.915986669</v>
      </c>
      <c r="O180" s="158">
        <f t="shared" si="132"/>
        <v>6.1646358330000002</v>
      </c>
      <c r="P180" s="1783">
        <f t="shared" si="132"/>
        <v>5.1374799729999996</v>
      </c>
      <c r="Q180" s="120">
        <f t="shared" ca="1" si="132"/>
        <v>16.029504520803265</v>
      </c>
      <c r="R180" s="120">
        <f t="shared" ca="1" si="132"/>
        <v>21.372635375232491</v>
      </c>
      <c r="S180" s="120">
        <f t="shared" ca="1" si="132"/>
        <v>24.256306439570444</v>
      </c>
      <c r="T180" s="120">
        <f t="shared" ca="1" si="132"/>
        <v>30.594043785524558</v>
      </c>
      <c r="U180" s="120">
        <f t="shared" ca="1" si="132"/>
        <v>38.922775152639637</v>
      </c>
      <c r="V180" s="120">
        <f t="shared" ca="1" si="132"/>
        <v>50.687694492216799</v>
      </c>
      <c r="W180" s="120">
        <f t="shared" ca="1" si="132"/>
        <v>62.157129992842336</v>
      </c>
      <c r="X180" s="120">
        <f t="shared" ca="1" si="132"/>
        <v>71.022077723593114</v>
      </c>
      <c r="Y180" s="120">
        <f t="shared" ca="1" si="132"/>
        <v>83.079428808537472</v>
      </c>
      <c r="Z180" s="120">
        <f t="shared" ca="1" si="132"/>
        <v>95.516394493933689</v>
      </c>
      <c r="AA180" s="228"/>
      <c r="AB180" s="224"/>
      <c r="AC180" s="224"/>
      <c r="AD180" s="224"/>
      <c r="AE180" s="224"/>
      <c r="AF180" s="224"/>
      <c r="AG180" s="224"/>
      <c r="AH180" s="224"/>
      <c r="AI180" s="224"/>
      <c r="AJ180" s="224"/>
      <c r="AK180" s="224"/>
      <c r="AL180" s="224"/>
      <c r="AM180" s="224"/>
      <c r="AN180" s="224"/>
      <c r="AO180" s="224"/>
      <c r="AP180" s="224"/>
      <c r="AQ180" s="224"/>
      <c r="AR180" s="224"/>
      <c r="AS180" s="224"/>
      <c r="AT180" s="224"/>
      <c r="AU180" s="224"/>
      <c r="AV180" s="224"/>
      <c r="AW180" s="224"/>
      <c r="AX180" s="224"/>
      <c r="AY180" s="224"/>
      <c r="AZ180" s="224"/>
      <c r="BA180" s="224"/>
      <c r="BB180" s="113"/>
      <c r="BD180" s="112"/>
      <c r="BE180" s="112"/>
    </row>
    <row r="181" spans="1:57" x14ac:dyDescent="0.25">
      <c r="D181" s="112"/>
      <c r="E181" s="170"/>
      <c r="F181" s="170"/>
      <c r="G181" s="170"/>
      <c r="H181" s="170"/>
      <c r="I181" s="170"/>
      <c r="J181" s="170"/>
      <c r="K181" s="170"/>
      <c r="L181" s="170"/>
      <c r="M181" s="170"/>
      <c r="N181" s="170"/>
      <c r="O181" s="170"/>
      <c r="P181" s="171"/>
      <c r="Q181" s="170"/>
      <c r="R181" s="170"/>
      <c r="S181" s="170"/>
      <c r="T181" s="170"/>
      <c r="U181" s="170"/>
      <c r="V181" s="170"/>
      <c r="W181" s="170"/>
      <c r="X181" s="170"/>
      <c r="Y181" s="170"/>
      <c r="Z181" s="170"/>
      <c r="AA181" s="170"/>
      <c r="AB181" s="170"/>
      <c r="AC181" s="170"/>
      <c r="AD181" s="170"/>
      <c r="AE181" s="170"/>
      <c r="AF181" s="170"/>
      <c r="AG181" s="170"/>
      <c r="AH181" s="170"/>
      <c r="AI181" s="170"/>
      <c r="AJ181" s="170"/>
      <c r="AK181" s="170"/>
      <c r="AL181" s="170"/>
      <c r="AM181" s="170"/>
      <c r="AN181" s="170"/>
      <c r="AO181" s="170"/>
      <c r="AP181" s="170"/>
      <c r="AQ181" s="170"/>
      <c r="AR181" s="170"/>
      <c r="AS181" s="170"/>
      <c r="AT181" s="170"/>
      <c r="AU181" s="170"/>
      <c r="AV181" s="170"/>
      <c r="AW181" s="170"/>
      <c r="AX181" s="170"/>
      <c r="AY181" s="170"/>
      <c r="AZ181" s="170"/>
      <c r="BA181" s="170"/>
      <c r="BB181" s="113"/>
      <c r="BD181" s="112"/>
      <c r="BE181" s="112"/>
    </row>
    <row r="182" spans="1:57" s="124" customFormat="1" x14ac:dyDescent="0.25">
      <c r="A182" s="262">
        <v>4</v>
      </c>
      <c r="B182" s="116" t="s">
        <v>522</v>
      </c>
      <c r="C182" s="116"/>
      <c r="E182" s="118"/>
      <c r="F182" s="118"/>
      <c r="G182" s="118"/>
      <c r="H182" s="118"/>
      <c r="I182" s="119">
        <f>'BS Raw'!I23/$B$1</f>
        <v>276.91296378800001</v>
      </c>
      <c r="J182" s="119">
        <f>'BS Raw'!J23/$B$1</f>
        <v>272.48071712900003</v>
      </c>
      <c r="K182" s="119">
        <f>'BS Raw'!K23/$B$1</f>
        <v>372.12791607899999</v>
      </c>
      <c r="L182" s="119">
        <f>'BS Raw'!L23/$B$1</f>
        <v>405.93247588899999</v>
      </c>
      <c r="M182" s="119">
        <f>'BS Raw'!M23/$B$1</f>
        <v>428.87786572300001</v>
      </c>
      <c r="N182" s="119">
        <f>'BS Raw'!N23/$B$1</f>
        <v>445.14765052600001</v>
      </c>
      <c r="O182" s="119">
        <f>'BS Raw'!O23/$B$1</f>
        <v>412.70150758099999</v>
      </c>
      <c r="P182" s="671">
        <f>'BS Raw'!P23/$B$1</f>
        <v>503.84008486900001</v>
      </c>
      <c r="Q182" s="120">
        <f>SUM(Q183+Q185+Q187+Q189+Q191+Q193)</f>
        <v>572.82357689960418</v>
      </c>
      <c r="R182" s="120">
        <f t="shared" ref="R182:Z182" si="133">SUM(R183+R185+R187+R189+R191+R193)</f>
        <v>598.14746762461095</v>
      </c>
      <c r="S182" s="120">
        <f t="shared" si="133"/>
        <v>752.34990253173862</v>
      </c>
      <c r="T182" s="120">
        <f t="shared" si="133"/>
        <v>805.39944420353106</v>
      </c>
      <c r="U182" s="120">
        <f t="shared" si="133"/>
        <v>849.39502387910159</v>
      </c>
      <c r="V182" s="120">
        <f t="shared" si="133"/>
        <v>888.19070163333072</v>
      </c>
      <c r="W182" s="120">
        <f t="shared" si="133"/>
        <v>940.91330541636978</v>
      </c>
      <c r="X182" s="120">
        <f t="shared" si="133"/>
        <v>1059.6768423842466</v>
      </c>
      <c r="Y182" s="120">
        <f t="shared" si="133"/>
        <v>1097.5668314950244</v>
      </c>
      <c r="Z182" s="120">
        <f t="shared" si="133"/>
        <v>1174.3988615060002</v>
      </c>
      <c r="AA182" s="120"/>
      <c r="AB182" s="121"/>
      <c r="AC182" s="121"/>
      <c r="AD182" s="121"/>
      <c r="AE182" s="121"/>
      <c r="AF182" s="121"/>
      <c r="AG182" s="121"/>
      <c r="AH182" s="121"/>
      <c r="AI182" s="121"/>
      <c r="AJ182" s="121"/>
      <c r="AK182" s="121"/>
      <c r="AL182" s="121"/>
      <c r="AM182" s="121"/>
      <c r="AN182" s="121"/>
      <c r="AO182" s="121"/>
      <c r="AP182" s="121"/>
      <c r="AQ182" s="121"/>
      <c r="AR182" s="121"/>
      <c r="AS182" s="121"/>
      <c r="AT182" s="121"/>
      <c r="AU182" s="121"/>
      <c r="AV182" s="121"/>
      <c r="AW182" s="121"/>
      <c r="AX182" s="121"/>
      <c r="AY182" s="121"/>
      <c r="AZ182" s="121"/>
      <c r="BA182" s="121"/>
      <c r="BB182" s="122"/>
      <c r="BC182" s="123"/>
    </row>
    <row r="183" spans="1:57" s="124" customFormat="1" x14ac:dyDescent="0.25">
      <c r="A183" s="262" t="s">
        <v>523</v>
      </c>
      <c r="B183" s="185" t="s">
        <v>524</v>
      </c>
      <c r="C183" s="185"/>
      <c r="E183" s="118"/>
      <c r="F183" s="118"/>
      <c r="G183" s="118"/>
      <c r="H183" s="118"/>
      <c r="I183" s="119">
        <f>'BS Raw'!I24/$B$1</f>
        <v>242.888328159</v>
      </c>
      <c r="J183" s="119">
        <f>'BS Raw'!J24/$B$1</f>
        <v>255.39415687299999</v>
      </c>
      <c r="K183" s="119">
        <f>'BS Raw'!K24/$B$1</f>
        <v>319.40608373499998</v>
      </c>
      <c r="L183" s="119">
        <f>'BS Raw'!L24/$B$1</f>
        <v>339.16997320899998</v>
      </c>
      <c r="M183" s="119">
        <f>'BS Raw'!M24/$B$1</f>
        <v>380.72340236700001</v>
      </c>
      <c r="N183" s="119">
        <f>'BS Raw'!N24/$B$1</f>
        <v>407.28590982700001</v>
      </c>
      <c r="O183" s="119">
        <f>'BS Raw'!O24/$B$1</f>
        <v>412.78328020999999</v>
      </c>
      <c r="P183" s="671">
        <f>'BS Raw'!P24/$B$1</f>
        <v>496.56440832499999</v>
      </c>
      <c r="Q183" s="120">
        <f>Q5/(365/Q184)</f>
        <v>533.56205376060439</v>
      </c>
      <c r="R183" s="120">
        <f t="shared" ref="R183:Z183" si="134">R5/(365/R184)</f>
        <v>556.64232971142962</v>
      </c>
      <c r="S183" s="120">
        <f t="shared" si="134"/>
        <v>702.76426676393942</v>
      </c>
      <c r="T183" s="120">
        <f t="shared" si="134"/>
        <v>760.58676513076387</v>
      </c>
      <c r="U183" s="120">
        <f t="shared" si="134"/>
        <v>808.2867524334298</v>
      </c>
      <c r="V183" s="120">
        <f t="shared" si="134"/>
        <v>847.63937165882851</v>
      </c>
      <c r="W183" s="120">
        <f t="shared" si="134"/>
        <v>896.74207204432287</v>
      </c>
      <c r="X183" s="120">
        <f t="shared" si="134"/>
        <v>1010.3084379519375</v>
      </c>
      <c r="Y183" s="120">
        <f t="shared" si="134"/>
        <v>1050.9809702506964</v>
      </c>
      <c r="Z183" s="120">
        <f t="shared" si="134"/>
        <v>1129.2813127506879</v>
      </c>
      <c r="AA183" s="120"/>
      <c r="AB183" s="121"/>
      <c r="AC183" s="121"/>
      <c r="AD183" s="121"/>
      <c r="AE183" s="121"/>
      <c r="AF183" s="121"/>
      <c r="AG183" s="121"/>
      <c r="AH183" s="121"/>
      <c r="AI183" s="121"/>
      <c r="AJ183" s="121"/>
      <c r="AK183" s="121"/>
      <c r="AL183" s="121"/>
      <c r="AM183" s="121"/>
      <c r="AN183" s="121"/>
      <c r="AO183" s="121"/>
      <c r="AP183" s="121"/>
      <c r="AQ183" s="121"/>
      <c r="AR183" s="121"/>
      <c r="AS183" s="121"/>
      <c r="AT183" s="121"/>
      <c r="AU183" s="121"/>
      <c r="AV183" s="121"/>
      <c r="AW183" s="121"/>
      <c r="AX183" s="121"/>
      <c r="AY183" s="121"/>
      <c r="AZ183" s="121"/>
      <c r="BA183" s="121"/>
      <c r="BB183" s="122"/>
      <c r="BC183" s="123"/>
    </row>
    <row r="184" spans="1:57" s="76" customFormat="1" x14ac:dyDescent="0.25">
      <c r="A184" s="69"/>
      <c r="B184" s="232" t="s">
        <v>525</v>
      </c>
      <c r="C184" s="232"/>
      <c r="D184" s="401"/>
      <c r="E184" s="402"/>
      <c r="F184" s="402"/>
      <c r="G184" s="402"/>
      <c r="H184" s="402"/>
      <c r="I184" s="402">
        <f>365/(I7/I183)</f>
        <v>36.15766877018946</v>
      </c>
      <c r="J184" s="402">
        <f>365/(J7/J183)</f>
        <v>76.092808275384968</v>
      </c>
      <c r="K184" s="402">
        <f t="shared" ref="K184:P184" si="135">365/(K7/K183)</f>
        <v>84.181577102298291</v>
      </c>
      <c r="L184" s="402">
        <f t="shared" si="135"/>
        <v>89.176341256009579</v>
      </c>
      <c r="M184" s="402">
        <f t="shared" si="135"/>
        <v>99.187458955608122</v>
      </c>
      <c r="N184" s="402">
        <f t="shared" si="135"/>
        <v>117.82193684663547</v>
      </c>
      <c r="O184" s="402">
        <f t="shared" si="135"/>
        <v>119.86603525135698</v>
      </c>
      <c r="P184" s="1807">
        <f t="shared" si="135"/>
        <v>116.29483804952216</v>
      </c>
      <c r="Q184" s="403">
        <f>P184</f>
        <v>116.29483804952216</v>
      </c>
      <c r="R184" s="403">
        <f>Q184</f>
        <v>116.29483804952216</v>
      </c>
      <c r="S184" s="403">
        <f t="shared" ref="S184:Y184" si="136">R184</f>
        <v>116.29483804952216</v>
      </c>
      <c r="T184" s="403">
        <v>118</v>
      </c>
      <c r="U184" s="403">
        <f t="shared" si="136"/>
        <v>118</v>
      </c>
      <c r="V184" s="403">
        <f t="shared" si="136"/>
        <v>118</v>
      </c>
      <c r="W184" s="403">
        <f t="shared" si="136"/>
        <v>118</v>
      </c>
      <c r="X184" s="403">
        <v>128</v>
      </c>
      <c r="Y184" s="403">
        <f t="shared" si="136"/>
        <v>128</v>
      </c>
      <c r="Z184" s="403">
        <f>Y184+4</f>
        <v>132</v>
      </c>
      <c r="AA184" s="403"/>
      <c r="AB184" s="403"/>
      <c r="AC184" s="403"/>
      <c r="AD184" s="403"/>
      <c r="AE184" s="403"/>
      <c r="AF184" s="403"/>
      <c r="AG184" s="403"/>
      <c r="AH184" s="403"/>
      <c r="AI184" s="403"/>
      <c r="AJ184" s="403"/>
      <c r="AK184" s="403"/>
      <c r="AL184" s="403"/>
      <c r="AM184" s="403"/>
      <c r="AN184" s="403"/>
      <c r="AO184" s="403"/>
      <c r="AP184" s="403"/>
      <c r="AQ184" s="403"/>
      <c r="AR184" s="403"/>
      <c r="AS184" s="403"/>
      <c r="AT184" s="403"/>
      <c r="AU184" s="403"/>
      <c r="AV184" s="403"/>
      <c r="AW184" s="403"/>
      <c r="AX184" s="403"/>
      <c r="AY184" s="403"/>
      <c r="AZ184" s="403"/>
      <c r="BA184" s="403"/>
      <c r="BB184" s="393"/>
      <c r="BC184" s="404"/>
      <c r="BD184" s="233"/>
      <c r="BE184" s="233"/>
    </row>
    <row r="185" spans="1:57" s="124" customFormat="1" x14ac:dyDescent="0.25">
      <c r="A185" s="262" t="s">
        <v>526</v>
      </c>
      <c r="B185" s="185" t="s">
        <v>527</v>
      </c>
      <c r="C185" s="185"/>
      <c r="E185" s="118"/>
      <c r="F185" s="118"/>
      <c r="G185" s="118"/>
      <c r="H185" s="118"/>
      <c r="I185" s="119">
        <f>'BS Raw'!I25/$B$1</f>
        <v>41.254525166999997</v>
      </c>
      <c r="J185" s="119">
        <f>'BS Raw'!J25/$B$1</f>
        <v>30.333859132000001</v>
      </c>
      <c r="K185" s="119">
        <f>'BS Raw'!K25/$B$1</f>
        <v>57.615319272000001</v>
      </c>
      <c r="L185" s="119">
        <f>'BS Raw'!L25/$B$1</f>
        <v>72.424660962999994</v>
      </c>
      <c r="M185" s="119">
        <f>'BS Raw'!M25/$B$1</f>
        <v>54.191458527000002</v>
      </c>
      <c r="N185" s="119">
        <f>'BS Raw'!N25/$B$1</f>
        <v>58.587922036000002</v>
      </c>
      <c r="O185" s="119">
        <f>'BS Raw'!O25/$B$1</f>
        <v>37.671562043999998</v>
      </c>
      <c r="P185" s="671">
        <f>'BS Raw'!P25/$B$1</f>
        <v>41.540322101999998</v>
      </c>
      <c r="Q185" s="120">
        <f>(Q197+Q9-P197)*Q186</f>
        <v>44.222573968269842</v>
      </c>
      <c r="R185" s="120">
        <f t="shared" ref="R185:Z185" si="137">(R197+R9-Q197)*R186</f>
        <v>46.192473576587716</v>
      </c>
      <c r="S185" s="120">
        <f t="shared" si="137"/>
        <v>57.901940962075692</v>
      </c>
      <c r="T185" s="120">
        <f t="shared" si="137"/>
        <v>58.539769804942253</v>
      </c>
      <c r="U185" s="120">
        <f t="shared" si="137"/>
        <v>60.728639044025535</v>
      </c>
      <c r="V185" s="120">
        <f t="shared" si="137"/>
        <v>63.085436182369712</v>
      </c>
      <c r="W185" s="120">
        <f t="shared" si="137"/>
        <v>66.056194754192333</v>
      </c>
      <c r="X185" s="120">
        <f t="shared" si="137"/>
        <v>72.00485702735358</v>
      </c>
      <c r="Y185" s="120">
        <f t="shared" si="137"/>
        <v>71.300528615729036</v>
      </c>
      <c r="Z185" s="120">
        <f t="shared" si="137"/>
        <v>75.061978232117312</v>
      </c>
      <c r="AA185" s="120"/>
      <c r="AB185" s="121"/>
      <c r="AC185" s="121"/>
      <c r="AD185" s="121"/>
      <c r="AE185" s="121"/>
      <c r="AF185" s="121"/>
      <c r="AG185" s="121"/>
      <c r="AH185" s="121"/>
      <c r="AI185" s="121"/>
      <c r="AJ185" s="121"/>
      <c r="AK185" s="121"/>
      <c r="AL185" s="121"/>
      <c r="AM185" s="121"/>
      <c r="AN185" s="121"/>
      <c r="AO185" s="121"/>
      <c r="AP185" s="121"/>
      <c r="AQ185" s="121"/>
      <c r="AR185" s="121"/>
      <c r="AS185" s="121"/>
      <c r="AT185" s="121"/>
      <c r="AU185" s="121"/>
      <c r="AV185" s="121"/>
      <c r="AW185" s="121"/>
      <c r="AX185" s="121"/>
      <c r="AY185" s="121"/>
      <c r="AZ185" s="121"/>
      <c r="BA185" s="121"/>
      <c r="BB185" s="122"/>
      <c r="BC185" s="123"/>
    </row>
    <row r="186" spans="1:57" s="72" customFormat="1" x14ac:dyDescent="0.25">
      <c r="A186" s="383"/>
      <c r="B186" s="384" t="s">
        <v>528</v>
      </c>
      <c r="C186" s="384"/>
      <c r="I186" s="405">
        <f>I185/(I197-H197+I9)</f>
        <v>1.6813337932772718E-2</v>
      </c>
      <c r="J186" s="405">
        <f>J185/(J197-I197+J9)</f>
        <v>4.8734080355685709E-2</v>
      </c>
      <c r="K186" s="405">
        <f t="shared" ref="K186:P186" si="138">K185/(K197-J197+K9)</f>
        <v>6.1777425063113067E-2</v>
      </c>
      <c r="L186" s="405">
        <f t="shared" si="138"/>
        <v>7.5731663456597431E-2</v>
      </c>
      <c r="M186" s="405">
        <f t="shared" si="138"/>
        <v>5.6880270580993729E-2</v>
      </c>
      <c r="N186" s="405">
        <f t="shared" si="138"/>
        <v>6.581645080507062E-2</v>
      </c>
      <c r="O186" s="405">
        <f t="shared" si="138"/>
        <v>5.6415351620524003E-2</v>
      </c>
      <c r="P186" s="1808">
        <f t="shared" si="138"/>
        <v>4.2600451801422946E-2</v>
      </c>
      <c r="Q186" s="406">
        <f>P186</f>
        <v>4.2600451801422946E-2</v>
      </c>
      <c r="R186" s="406">
        <f t="shared" ref="R186:Z186" si="139">Q186</f>
        <v>4.2600451801422946E-2</v>
      </c>
      <c r="S186" s="406">
        <f t="shared" si="139"/>
        <v>4.2600451801422946E-2</v>
      </c>
      <c r="T186" s="406">
        <f t="shared" si="139"/>
        <v>4.2600451801422946E-2</v>
      </c>
      <c r="U186" s="406">
        <f t="shared" si="139"/>
        <v>4.2600451801422946E-2</v>
      </c>
      <c r="V186" s="406">
        <f t="shared" si="139"/>
        <v>4.2600451801422946E-2</v>
      </c>
      <c r="W186" s="406">
        <f t="shared" si="139"/>
        <v>4.2600451801422946E-2</v>
      </c>
      <c r="X186" s="406">
        <f t="shared" si="139"/>
        <v>4.2600451801422946E-2</v>
      </c>
      <c r="Y186" s="406">
        <f t="shared" si="139"/>
        <v>4.2600451801422946E-2</v>
      </c>
      <c r="Z186" s="406">
        <f t="shared" si="139"/>
        <v>4.2600451801422946E-2</v>
      </c>
      <c r="AA186" s="406"/>
      <c r="AB186" s="407"/>
      <c r="AC186" s="407"/>
      <c r="AD186" s="407"/>
      <c r="AE186" s="407"/>
      <c r="AF186" s="407"/>
      <c r="AG186" s="407"/>
      <c r="AH186" s="407"/>
      <c r="AI186" s="407"/>
      <c r="AJ186" s="407"/>
      <c r="AK186" s="407"/>
      <c r="AL186" s="407"/>
      <c r="AM186" s="407"/>
      <c r="AN186" s="407"/>
      <c r="AO186" s="407"/>
      <c r="AP186" s="407"/>
      <c r="AQ186" s="407"/>
      <c r="AR186" s="407"/>
      <c r="AS186" s="407"/>
      <c r="AT186" s="407"/>
      <c r="AU186" s="407"/>
      <c r="AV186" s="407"/>
      <c r="AW186" s="407"/>
      <c r="AX186" s="407"/>
      <c r="AY186" s="407"/>
      <c r="AZ186" s="407"/>
      <c r="BA186" s="407"/>
      <c r="BB186" s="385"/>
      <c r="BC186" s="404"/>
    </row>
    <row r="187" spans="1:57" s="124" customFormat="1" x14ac:dyDescent="0.25">
      <c r="A187" s="262" t="s">
        <v>529</v>
      </c>
      <c r="B187" s="185" t="s">
        <v>530</v>
      </c>
      <c r="C187" s="185"/>
      <c r="E187" s="118"/>
      <c r="F187" s="118"/>
      <c r="G187" s="118"/>
      <c r="H187" s="118"/>
      <c r="I187" s="119">
        <f>'BS Raw'!I29/$B$1</f>
        <v>2.8317885459999999</v>
      </c>
      <c r="J187" s="119">
        <f>'BS Raw'!J29/$B$1</f>
        <v>4.8686392310000004</v>
      </c>
      <c r="K187" s="119">
        <f>'BS Raw'!K29/$B$1</f>
        <v>8.2147228979999998</v>
      </c>
      <c r="L187" s="119">
        <f>'BS Raw'!L29/$B$1</f>
        <v>5.3872809090000002</v>
      </c>
      <c r="M187" s="119">
        <f>'BS Raw'!M29/$B$1</f>
        <v>6.1331492560000003</v>
      </c>
      <c r="N187" s="119">
        <f>'BS Raw'!N29/$B$1</f>
        <v>5.9918124590000001</v>
      </c>
      <c r="O187" s="119">
        <f>'BS Raw'!O29/$B$1</f>
        <v>3.2531060169999999</v>
      </c>
      <c r="P187" s="671">
        <f>'BS Raw'!P29/$B$1</f>
        <v>28.970977005999998</v>
      </c>
      <c r="Q187" s="120">
        <f>Q7*Q188</f>
        <v>31.129524653034558</v>
      </c>
      <c r="R187" s="120">
        <f t="shared" ref="R187:Z187" si="140">R7*R188</f>
        <v>32.476093461940934</v>
      </c>
      <c r="S187" s="120">
        <f t="shared" si="140"/>
        <v>41.001262014999526</v>
      </c>
      <c r="T187" s="120">
        <f t="shared" si="140"/>
        <v>43.733551667873904</v>
      </c>
      <c r="U187" s="120">
        <f t="shared" si="140"/>
        <v>46.476289189607428</v>
      </c>
      <c r="V187" s="120">
        <f t="shared" si="140"/>
        <v>48.739055102795845</v>
      </c>
      <c r="W187" s="120">
        <f t="shared" si="140"/>
        <v>51.562448281313685</v>
      </c>
      <c r="X187" s="120">
        <f t="shared" si="140"/>
        <v>53.554010854282566</v>
      </c>
      <c r="Y187" s="120">
        <f t="shared" si="140"/>
        <v>55.709963585524136</v>
      </c>
      <c r="Z187" s="120">
        <f t="shared" si="140"/>
        <v>58.046521872732228</v>
      </c>
      <c r="AA187" s="120"/>
      <c r="AB187" s="121"/>
      <c r="AC187" s="121"/>
      <c r="AD187" s="121"/>
      <c r="AE187" s="121"/>
      <c r="AF187" s="121"/>
      <c r="AG187" s="121"/>
      <c r="AH187" s="121"/>
      <c r="AI187" s="121"/>
      <c r="AJ187" s="121"/>
      <c r="AK187" s="121"/>
      <c r="AL187" s="121"/>
      <c r="AM187" s="121"/>
      <c r="AN187" s="121"/>
      <c r="AO187" s="121"/>
      <c r="AP187" s="121"/>
      <c r="AQ187" s="121"/>
      <c r="AR187" s="121"/>
      <c r="AS187" s="121"/>
      <c r="AT187" s="121"/>
      <c r="AU187" s="121"/>
      <c r="AV187" s="121"/>
      <c r="AW187" s="121"/>
      <c r="AX187" s="121"/>
      <c r="AY187" s="121"/>
      <c r="AZ187" s="121"/>
      <c r="BA187" s="121"/>
      <c r="BB187" s="122"/>
      <c r="BC187" s="123"/>
    </row>
    <row r="188" spans="1:57" s="72" customFormat="1" x14ac:dyDescent="0.25">
      <c r="A188" s="383"/>
      <c r="B188" s="384" t="s">
        <v>404</v>
      </c>
      <c r="C188" s="384"/>
      <c r="D188" s="2059"/>
      <c r="E188" s="2059"/>
      <c r="F188" s="2059"/>
      <c r="G188" s="2059"/>
      <c r="H188" s="2059"/>
      <c r="I188" s="405">
        <f>I187/I7</f>
        <v>1.154946142788456E-3</v>
      </c>
      <c r="J188" s="405">
        <f>J187/J7</f>
        <v>3.9741786449582067E-3</v>
      </c>
      <c r="K188" s="405">
        <f t="shared" ref="K188:P188" si="141">K187/K7</f>
        <v>5.9316282881092522E-3</v>
      </c>
      <c r="L188" s="405">
        <f t="shared" si="141"/>
        <v>3.8806905231678472E-3</v>
      </c>
      <c r="M188" s="405">
        <f t="shared" si="141"/>
        <v>4.3776179933919272E-3</v>
      </c>
      <c r="N188" s="405">
        <f t="shared" si="141"/>
        <v>4.7488900999936162E-3</v>
      </c>
      <c r="O188" s="405">
        <f t="shared" si="141"/>
        <v>2.5880901223063663E-3</v>
      </c>
      <c r="P188" s="1808">
        <f t="shared" si="141"/>
        <v>1.8588961472421728E-2</v>
      </c>
      <c r="Q188" s="406">
        <f>P188</f>
        <v>1.8588961472421728E-2</v>
      </c>
      <c r="R188" s="406">
        <f t="shared" ref="R188:Z188" si="142">Q188</f>
        <v>1.8588961472421728E-2</v>
      </c>
      <c r="S188" s="406">
        <f t="shared" si="142"/>
        <v>1.8588961472421728E-2</v>
      </c>
      <c r="T188" s="406">
        <f t="shared" si="142"/>
        <v>1.8588961472421728E-2</v>
      </c>
      <c r="U188" s="406">
        <f t="shared" si="142"/>
        <v>1.8588961472421728E-2</v>
      </c>
      <c r="V188" s="406">
        <f t="shared" si="142"/>
        <v>1.8588961472421728E-2</v>
      </c>
      <c r="W188" s="406">
        <f t="shared" si="142"/>
        <v>1.8588961472421728E-2</v>
      </c>
      <c r="X188" s="406">
        <f t="shared" si="142"/>
        <v>1.8588961472421728E-2</v>
      </c>
      <c r="Y188" s="406">
        <f t="shared" si="142"/>
        <v>1.8588961472421728E-2</v>
      </c>
      <c r="Z188" s="406">
        <f t="shared" si="142"/>
        <v>1.8588961472421728E-2</v>
      </c>
      <c r="AA188" s="406"/>
      <c r="AB188" s="407"/>
      <c r="AC188" s="407"/>
      <c r="AD188" s="407"/>
      <c r="AE188" s="407"/>
      <c r="AF188" s="407"/>
      <c r="AG188" s="407"/>
      <c r="AH188" s="407"/>
      <c r="AI188" s="407"/>
      <c r="AJ188" s="407"/>
      <c r="AK188" s="407"/>
      <c r="AL188" s="407"/>
      <c r="AM188" s="407"/>
      <c r="AN188" s="407"/>
      <c r="AO188" s="407"/>
      <c r="AP188" s="407"/>
      <c r="AQ188" s="407"/>
      <c r="AR188" s="407"/>
      <c r="AS188" s="407"/>
      <c r="AT188" s="407"/>
      <c r="AU188" s="407"/>
      <c r="AV188" s="407"/>
      <c r="AW188" s="407"/>
      <c r="AX188" s="407"/>
      <c r="AY188" s="407"/>
      <c r="AZ188" s="407"/>
      <c r="BA188" s="407"/>
      <c r="BB188" s="385"/>
      <c r="BC188" s="404"/>
    </row>
    <row r="189" spans="1:57" x14ac:dyDescent="0.25">
      <c r="A189" s="100" t="s">
        <v>531</v>
      </c>
      <c r="B189" s="147" t="s">
        <v>532</v>
      </c>
      <c r="C189" s="147"/>
      <c r="D189" s="2060">
        <f>'BS Raw'!I30/$B$1</f>
        <v>-10.061678084</v>
      </c>
      <c r="E189" s="2060"/>
      <c r="F189" s="2060"/>
      <c r="G189" s="2060"/>
      <c r="H189" s="2060"/>
      <c r="I189" s="220">
        <f>'BS Raw'!I30/$B$1</f>
        <v>-10.061678084</v>
      </c>
      <c r="J189" s="220">
        <f>'BS Raw'!J30/$B$1</f>
        <v>-18.843384395000001</v>
      </c>
      <c r="K189" s="220">
        <f>'BS Raw'!K30/$B$1</f>
        <v>-13.693818614</v>
      </c>
      <c r="L189" s="220">
        <f>'BS Raw'!L30/$B$1</f>
        <v>-11.049439191999999</v>
      </c>
      <c r="M189" s="220">
        <f>'BS Raw'!M30/$B$1</f>
        <v>-12.170144427</v>
      </c>
      <c r="N189" s="220">
        <f>'BS Raw'!N30/$B$1</f>
        <v>-26.717993795999998</v>
      </c>
      <c r="O189" s="220">
        <f>'BS Raw'!O30/$B$1</f>
        <v>-41.006440689999998</v>
      </c>
      <c r="P189" s="1789">
        <f>'BS Raw'!P30/$B$1</f>
        <v>-63.235622564000003</v>
      </c>
      <c r="Q189" s="120">
        <f>-Q183*Q190</f>
        <v>-36.090575482304644</v>
      </c>
      <c r="R189" s="120">
        <f t="shared" ref="R189:Z189" si="143">-R183*R190</f>
        <v>-37.163429125347449</v>
      </c>
      <c r="S189" s="120">
        <f t="shared" si="143"/>
        <v>-49.317567209276021</v>
      </c>
      <c r="T189" s="120">
        <f t="shared" si="143"/>
        <v>-57.460642400048975</v>
      </c>
      <c r="U189" s="120">
        <f t="shared" si="143"/>
        <v>-66.09665678796118</v>
      </c>
      <c r="V189" s="120">
        <f t="shared" si="143"/>
        <v>-71.273161310663397</v>
      </c>
      <c r="W189" s="120">
        <f t="shared" si="143"/>
        <v>-73.447409663459126</v>
      </c>
      <c r="X189" s="120">
        <f t="shared" si="143"/>
        <v>-76.190463449327169</v>
      </c>
      <c r="Y189" s="120">
        <f t="shared" si="143"/>
        <v>-80.424630956925114</v>
      </c>
      <c r="Z189" s="120">
        <f t="shared" si="143"/>
        <v>-87.990951349537141</v>
      </c>
      <c r="AA189" s="120"/>
      <c r="AB189" s="121"/>
      <c r="AC189" s="121"/>
      <c r="AD189" s="121"/>
      <c r="AE189" s="121"/>
      <c r="AF189" s="121"/>
      <c r="AG189" s="121"/>
      <c r="AH189" s="121"/>
      <c r="AI189" s="121"/>
      <c r="AJ189" s="121"/>
      <c r="AK189" s="121"/>
      <c r="AL189" s="121"/>
      <c r="AM189" s="121"/>
      <c r="AN189" s="121"/>
      <c r="AO189" s="121"/>
      <c r="AP189" s="121"/>
      <c r="AQ189" s="121"/>
      <c r="AR189" s="121"/>
      <c r="AS189" s="121"/>
      <c r="AT189" s="121"/>
      <c r="AU189" s="121"/>
      <c r="AV189" s="121"/>
      <c r="AW189" s="121"/>
      <c r="AX189" s="121"/>
      <c r="AY189" s="121"/>
      <c r="AZ189" s="121"/>
      <c r="BA189" s="121"/>
      <c r="BB189" s="230"/>
      <c r="BD189" s="112"/>
      <c r="BE189" s="112"/>
    </row>
    <row r="190" spans="1:57" s="72" customFormat="1" x14ac:dyDescent="0.25">
      <c r="A190" s="383"/>
      <c r="B190" s="384" t="s">
        <v>533</v>
      </c>
      <c r="C190" s="384"/>
      <c r="D190" s="2061"/>
      <c r="E190" s="2062"/>
      <c r="F190" s="2062"/>
      <c r="G190" s="2062"/>
      <c r="H190" s="2062"/>
      <c r="I190" s="405">
        <f>-I189/I183</f>
        <v>4.142511976702893E-2</v>
      </c>
      <c r="J190" s="405">
        <f>-J189/J183</f>
        <v>7.3781579914415432E-2</v>
      </c>
      <c r="K190" s="405">
        <f t="shared" ref="K190:P190" si="144">-K189/K183</f>
        <v>4.2872754500697864E-2</v>
      </c>
      <c r="L190" s="405">
        <f t="shared" si="144"/>
        <v>3.2577881489500908E-2</v>
      </c>
      <c r="M190" s="405">
        <f t="shared" si="144"/>
        <v>3.1965842791214963E-2</v>
      </c>
      <c r="N190" s="405">
        <f t="shared" si="144"/>
        <v>6.560009357394371E-2</v>
      </c>
      <c r="O190" s="405">
        <f t="shared" si="144"/>
        <v>9.9341331531495949E-2</v>
      </c>
      <c r="P190" s="1808">
        <f t="shared" si="144"/>
        <v>0.12734626466142629</v>
      </c>
      <c r="Q190" s="408">
        <f>AVERAGE(J190:P190)</f>
        <v>6.7640821208956439E-2</v>
      </c>
      <c r="R190" s="408">
        <f t="shared" ref="R190:Z190" si="145">AVERAGE(K190:Q190)</f>
        <v>6.6763569965319444E-2</v>
      </c>
      <c r="S190" s="408">
        <f t="shared" si="145"/>
        <v>7.0176543603122518E-2</v>
      </c>
      <c r="T190" s="408">
        <f t="shared" si="145"/>
        <v>7.5547781047925616E-2</v>
      </c>
      <c r="U190" s="408">
        <f t="shared" si="145"/>
        <v>8.1773772227455715E-2</v>
      </c>
      <c r="V190" s="408">
        <f t="shared" si="145"/>
        <v>8.4084297749386E-2</v>
      </c>
      <c r="W190" s="408">
        <f t="shared" si="145"/>
        <v>8.1904721494798868E-2</v>
      </c>
      <c r="X190" s="408">
        <f t="shared" si="145"/>
        <v>7.5413072470994949E-2</v>
      </c>
      <c r="Y190" s="408">
        <f t="shared" si="145"/>
        <v>7.6523394079857573E-2</v>
      </c>
      <c r="Z190" s="408">
        <f t="shared" si="145"/>
        <v>7.7917654667648745E-2</v>
      </c>
      <c r="AA190" s="409"/>
      <c r="AB190" s="407"/>
      <c r="AC190" s="407"/>
      <c r="AD190" s="407"/>
      <c r="AE190" s="407"/>
      <c r="AF190" s="407"/>
      <c r="AG190" s="407"/>
      <c r="AH190" s="407"/>
      <c r="AI190" s="407"/>
      <c r="AJ190" s="407"/>
      <c r="AK190" s="407"/>
      <c r="AL190" s="407"/>
      <c r="AM190" s="407"/>
      <c r="AN190" s="407"/>
      <c r="AO190" s="407"/>
      <c r="AP190" s="407"/>
      <c r="AQ190" s="407"/>
      <c r="AR190" s="407"/>
      <c r="AS190" s="407"/>
      <c r="AT190" s="407"/>
      <c r="AU190" s="407"/>
      <c r="AV190" s="407"/>
      <c r="AW190" s="407"/>
      <c r="AX190" s="407"/>
      <c r="AY190" s="407"/>
      <c r="AZ190" s="407"/>
      <c r="BA190" s="407"/>
      <c r="BB190" s="385"/>
      <c r="BC190" s="404"/>
    </row>
    <row r="191" spans="1:57" x14ac:dyDescent="0.25">
      <c r="A191" s="100" t="s">
        <v>534</v>
      </c>
      <c r="B191" s="147" t="s">
        <v>535</v>
      </c>
      <c r="C191" s="147"/>
      <c r="D191" s="2062"/>
      <c r="E191" s="2062"/>
      <c r="F191" s="2062"/>
      <c r="G191" s="2062"/>
      <c r="H191" s="2062"/>
      <c r="I191" s="242">
        <f>'BS Raw'!I28/$B$1</f>
        <v>0</v>
      </c>
      <c r="J191" s="242">
        <f>'BS Raw'!J28/$B$1</f>
        <v>0.727446288</v>
      </c>
      <c r="K191" s="242">
        <f>'BS Raw'!K28/$B$1</f>
        <v>0.58560878800000005</v>
      </c>
      <c r="L191" s="242">
        <f>'BS Raw'!L28/$B$1</f>
        <v>0</v>
      </c>
      <c r="M191" s="242">
        <f>'BS Raw'!M28/$B$1</f>
        <v>0</v>
      </c>
      <c r="N191" s="242">
        <f>'BS Raw'!N28/$B$1</f>
        <v>0</v>
      </c>
      <c r="O191" s="242">
        <f>'BS Raw'!O28/$B$1</f>
        <v>0</v>
      </c>
      <c r="P191" s="1795">
        <f>'BS Raw'!P28/$B$1</f>
        <v>0</v>
      </c>
      <c r="Q191" s="221">
        <f>P191</f>
        <v>0</v>
      </c>
      <c r="R191" s="221">
        <f t="shared" ref="R191:Z191" si="146">Q191</f>
        <v>0</v>
      </c>
      <c r="S191" s="221">
        <f t="shared" si="146"/>
        <v>0</v>
      </c>
      <c r="T191" s="221">
        <f t="shared" si="146"/>
        <v>0</v>
      </c>
      <c r="U191" s="221">
        <f t="shared" si="146"/>
        <v>0</v>
      </c>
      <c r="V191" s="221">
        <f t="shared" si="146"/>
        <v>0</v>
      </c>
      <c r="W191" s="221">
        <f t="shared" si="146"/>
        <v>0</v>
      </c>
      <c r="X191" s="221">
        <f t="shared" si="146"/>
        <v>0</v>
      </c>
      <c r="Y191" s="221">
        <f t="shared" si="146"/>
        <v>0</v>
      </c>
      <c r="Z191" s="221">
        <f t="shared" si="146"/>
        <v>0</v>
      </c>
      <c r="AA191" s="221"/>
      <c r="AB191" s="222"/>
      <c r="AC191" s="222"/>
      <c r="AD191" s="222"/>
      <c r="AE191" s="222"/>
      <c r="AF191" s="222"/>
      <c r="AG191" s="222"/>
      <c r="AH191" s="222"/>
      <c r="AI191" s="222"/>
      <c r="AJ191" s="222"/>
      <c r="AK191" s="222"/>
      <c r="AL191" s="222"/>
      <c r="AM191" s="222"/>
      <c r="AN191" s="222"/>
      <c r="AO191" s="222"/>
      <c r="AP191" s="222"/>
      <c r="AQ191" s="222"/>
      <c r="AR191" s="222"/>
      <c r="AS191" s="222"/>
      <c r="AT191" s="222"/>
      <c r="AU191" s="222"/>
      <c r="AV191" s="222"/>
      <c r="AW191" s="222"/>
      <c r="AX191" s="222"/>
      <c r="AY191" s="222"/>
      <c r="AZ191" s="222"/>
      <c r="BA191" s="222"/>
      <c r="BB191" s="113"/>
      <c r="BC191" s="410"/>
      <c r="BD191" s="112"/>
      <c r="BE191" s="112"/>
    </row>
    <row r="192" spans="1:57" x14ac:dyDescent="0.25">
      <c r="B192" s="147"/>
      <c r="C192" s="147"/>
      <c r="D192" s="2062"/>
      <c r="E192" s="2062"/>
      <c r="F192" s="2062"/>
      <c r="G192" s="2062"/>
      <c r="H192" s="2062"/>
      <c r="I192" s="2062"/>
      <c r="J192" s="143"/>
      <c r="K192" s="143"/>
      <c r="L192" s="143"/>
      <c r="M192" s="143"/>
      <c r="N192" s="170"/>
      <c r="O192" s="170"/>
      <c r="P192" s="171"/>
      <c r="Q192" s="224"/>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c r="AM192" s="224"/>
      <c r="AN192" s="224"/>
      <c r="AO192" s="224"/>
      <c r="AP192" s="224"/>
      <c r="AQ192" s="224"/>
      <c r="AR192" s="224"/>
      <c r="AS192" s="224"/>
      <c r="AT192" s="224"/>
      <c r="AU192" s="224"/>
      <c r="AV192" s="224"/>
      <c r="AW192" s="224"/>
      <c r="AX192" s="224"/>
      <c r="AY192" s="224"/>
      <c r="AZ192" s="224"/>
      <c r="BA192" s="224"/>
      <c r="BB192" s="113"/>
      <c r="BC192" s="272"/>
      <c r="BD192" s="112"/>
      <c r="BE192" s="112"/>
    </row>
    <row r="193" spans="1:57" x14ac:dyDescent="0.25">
      <c r="A193" s="100" t="s">
        <v>536</v>
      </c>
      <c r="B193" s="147" t="s">
        <v>537</v>
      </c>
      <c r="C193" s="147"/>
      <c r="D193" s="2062"/>
      <c r="E193" s="2062"/>
      <c r="F193" s="2062"/>
      <c r="G193" s="2062"/>
      <c r="H193" s="2062"/>
      <c r="I193" s="242">
        <f>'BS Raw'!I31/$B$1</f>
        <v>0</v>
      </c>
      <c r="J193" s="242">
        <f>'BS Raw'!J31/$B$1</f>
        <v>0</v>
      </c>
      <c r="K193" s="242">
        <f>'BS Raw'!K31/$B$1</f>
        <v>0</v>
      </c>
      <c r="L193" s="242">
        <f>'BS Raw'!L31/$B$1</f>
        <v>0</v>
      </c>
      <c r="M193" s="242">
        <f>'BS Raw'!M31/$B$1</f>
        <v>0</v>
      </c>
      <c r="N193" s="242">
        <f>'BS Raw'!N31/$B$1</f>
        <v>0</v>
      </c>
      <c r="O193" s="242">
        <f>'BS Raw'!O31/$B$1</f>
        <v>0</v>
      </c>
      <c r="P193" s="1795">
        <f>'BS Raw'!P31/$B$1</f>
        <v>0</v>
      </c>
      <c r="Q193" s="221">
        <f>P193</f>
        <v>0</v>
      </c>
      <c r="R193" s="221">
        <f t="shared" ref="R193:Z193" si="147">Q193</f>
        <v>0</v>
      </c>
      <c r="S193" s="221">
        <f t="shared" si="147"/>
        <v>0</v>
      </c>
      <c r="T193" s="221">
        <f t="shared" si="147"/>
        <v>0</v>
      </c>
      <c r="U193" s="221">
        <f t="shared" si="147"/>
        <v>0</v>
      </c>
      <c r="V193" s="221">
        <f t="shared" si="147"/>
        <v>0</v>
      </c>
      <c r="W193" s="221">
        <f t="shared" si="147"/>
        <v>0</v>
      </c>
      <c r="X193" s="221">
        <f t="shared" si="147"/>
        <v>0</v>
      </c>
      <c r="Y193" s="221">
        <f t="shared" si="147"/>
        <v>0</v>
      </c>
      <c r="Z193" s="221">
        <f t="shared" si="147"/>
        <v>0</v>
      </c>
      <c r="AA193" s="221"/>
      <c r="AB193" s="222"/>
      <c r="AC193" s="222"/>
      <c r="AD193" s="222"/>
      <c r="AE193" s="222"/>
      <c r="AF193" s="222"/>
      <c r="AG193" s="222"/>
      <c r="AH193" s="222"/>
      <c r="AI193" s="222"/>
      <c r="AJ193" s="222"/>
      <c r="AK193" s="222"/>
      <c r="AL193" s="222"/>
      <c r="AM193" s="222"/>
      <c r="AN193" s="222"/>
      <c r="AO193" s="222"/>
      <c r="AP193" s="222"/>
      <c r="AQ193" s="222"/>
      <c r="AR193" s="222"/>
      <c r="AS193" s="222"/>
      <c r="AT193" s="222"/>
      <c r="AU193" s="222"/>
      <c r="AV193" s="222"/>
      <c r="AW193" s="222"/>
      <c r="AX193" s="222"/>
      <c r="AY193" s="222"/>
      <c r="AZ193" s="222"/>
      <c r="BA193" s="222"/>
      <c r="BB193" s="113"/>
      <c r="BC193" s="272"/>
      <c r="BD193" s="112"/>
      <c r="BE193" s="112"/>
    </row>
    <row r="194" spans="1:57" x14ac:dyDescent="0.25">
      <c r="B194" s="147"/>
      <c r="C194" s="147"/>
      <c r="D194" s="2063"/>
      <c r="E194" s="2063"/>
      <c r="F194" s="2063"/>
      <c r="G194" s="2063"/>
      <c r="H194" s="2063"/>
      <c r="I194" s="2063"/>
      <c r="J194" s="143"/>
      <c r="K194" s="143"/>
      <c r="L194" s="143"/>
      <c r="M194" s="143"/>
      <c r="N194" s="170"/>
      <c r="O194" s="170"/>
      <c r="P194" s="171"/>
      <c r="Q194" s="224"/>
      <c r="R194" s="224"/>
      <c r="S194" s="224"/>
      <c r="T194" s="224"/>
      <c r="U194" s="224"/>
      <c r="V194" s="224"/>
      <c r="W194" s="224"/>
      <c r="X194" s="224"/>
      <c r="Y194" s="224"/>
      <c r="Z194" s="224"/>
      <c r="AA194" s="224"/>
      <c r="AB194" s="224"/>
      <c r="AC194" s="224"/>
      <c r="AD194" s="224"/>
      <c r="AE194" s="224"/>
      <c r="AF194" s="224"/>
      <c r="AG194" s="224"/>
      <c r="AH194" s="224"/>
      <c r="AI194" s="224"/>
      <c r="AJ194" s="224"/>
      <c r="AK194" s="224"/>
      <c r="AL194" s="224"/>
      <c r="AM194" s="224"/>
      <c r="AN194" s="224"/>
      <c r="AO194" s="224"/>
      <c r="AP194" s="224"/>
      <c r="AQ194" s="224"/>
      <c r="AR194" s="224"/>
      <c r="AS194" s="224"/>
      <c r="AT194" s="224"/>
      <c r="AU194" s="224"/>
      <c r="AV194" s="224"/>
      <c r="AW194" s="224"/>
      <c r="AX194" s="224"/>
      <c r="AY194" s="224"/>
      <c r="AZ194" s="224"/>
      <c r="BA194" s="224"/>
      <c r="BB194" s="113"/>
      <c r="BC194" s="411"/>
      <c r="BD194" s="112"/>
      <c r="BE194" s="112"/>
    </row>
    <row r="195" spans="1:57" s="117" customFormat="1" x14ac:dyDescent="0.25">
      <c r="A195" s="132"/>
      <c r="B195" s="133" t="s">
        <v>538</v>
      </c>
      <c r="C195" s="133"/>
      <c r="D195" s="139"/>
      <c r="E195" s="135"/>
      <c r="F195" s="135"/>
      <c r="G195" s="135"/>
      <c r="H195" s="135"/>
      <c r="I195" s="136">
        <f>IF(ISTEXT('BS Raw'!I11),'BS Raw'!I23/$B$1,Input!I182)</f>
        <v>276.91296378800001</v>
      </c>
      <c r="J195" s="136">
        <f>IF(ISTEXT('BS Raw'!J11),'BS Raw'!J23/$B$1,Input!J182)</f>
        <v>272.48071712900003</v>
      </c>
      <c r="K195" s="136">
        <f>IF(ISTEXT('BS Raw'!K11),'BS Raw'!K23/$B$1,Input!K182)</f>
        <v>372.12791607899999</v>
      </c>
      <c r="L195" s="136">
        <f>IF(ISTEXT('BS Raw'!L11),'BS Raw'!L23/$B$1,Input!L182)</f>
        <v>405.93247588899999</v>
      </c>
      <c r="M195" s="136">
        <f>IF(ISTEXT('BS Raw'!M11),'BS Raw'!M23/$B$1,Input!M182)</f>
        <v>428.87786572300001</v>
      </c>
      <c r="N195" s="136">
        <f>IF(ISTEXT('BS Raw'!N11),'BS Raw'!N23/$B$1,Input!N182)</f>
        <v>445.14765052600001</v>
      </c>
      <c r="O195" s="136">
        <f>IF(ISTEXT('BS Raw'!O11),'BS Raw'!O23/$B$1,Input!O182)</f>
        <v>412.70150758099999</v>
      </c>
      <c r="P195" s="1782">
        <f>IF(ISTEXT('BS Raw'!P11),'BS Raw'!P23/$B$1,Input!P182)</f>
        <v>503.84008486900001</v>
      </c>
      <c r="Q195" s="137">
        <f>IF(ISTEXT('BS Raw'!Q11),'BS Raw'!Q23/$B$1,Input!Q182)</f>
        <v>572.82357689960418</v>
      </c>
      <c r="R195" s="137">
        <f>IF(ISTEXT('BS Raw'!R11),'BS Raw'!R23/$B$1,Input!R182)</f>
        <v>598.14746762461095</v>
      </c>
      <c r="S195" s="137">
        <f>IF(ISTEXT('BS Raw'!S11),'BS Raw'!S23/$B$1,Input!S182)</f>
        <v>752.34990253173862</v>
      </c>
      <c r="T195" s="137">
        <f>IF(ISTEXT('BS Raw'!T11),'BS Raw'!T23/$B$1,Input!T182)</f>
        <v>805.39944420353106</v>
      </c>
      <c r="U195" s="137">
        <f>IF(ISTEXT('BS Raw'!U11),'BS Raw'!U23/$B$1,Input!U182)</f>
        <v>849.39502387910159</v>
      </c>
      <c r="V195" s="137">
        <f>IF(ISTEXT('BS Raw'!V11),'BS Raw'!V23/$B$1,Input!V182)</f>
        <v>888.19070163333072</v>
      </c>
      <c r="W195" s="137">
        <f>IF(ISTEXT('BS Raw'!W11),'BS Raw'!W23/$B$1,Input!W182)</f>
        <v>940.91330541636978</v>
      </c>
      <c r="X195" s="137">
        <f>IF(ISTEXT('BS Raw'!X11),'BS Raw'!X23/$B$1,Input!X182)</f>
        <v>1059.6768423842466</v>
      </c>
      <c r="Y195" s="137">
        <f>IF(ISTEXT('BS Raw'!Y11),'BS Raw'!Y23/$B$1,Input!Y182)</f>
        <v>1097.5668314950244</v>
      </c>
      <c r="Z195" s="137">
        <f>IF(ISTEXT('BS Raw'!Z11),'BS Raw'!Z23/$B$1,Input!Z182)</f>
        <v>1174.3988615060002</v>
      </c>
      <c r="AA195" s="137"/>
      <c r="AB195" s="138"/>
      <c r="AC195" s="138"/>
      <c r="AD195" s="138"/>
      <c r="AE195" s="138"/>
      <c r="AF195" s="138"/>
      <c r="AG195" s="138"/>
      <c r="AH195" s="138"/>
      <c r="AI195" s="138"/>
      <c r="AJ195" s="138"/>
      <c r="AK195" s="138"/>
      <c r="AL195" s="138"/>
      <c r="AM195" s="138"/>
      <c r="AN195" s="138"/>
      <c r="AO195" s="138"/>
      <c r="AP195" s="138"/>
      <c r="AQ195" s="138"/>
      <c r="AR195" s="138"/>
      <c r="AS195" s="138"/>
      <c r="AT195" s="138"/>
      <c r="AU195" s="138"/>
      <c r="AV195" s="138"/>
      <c r="AW195" s="138"/>
      <c r="AX195" s="138"/>
      <c r="AY195" s="138"/>
      <c r="AZ195" s="138"/>
      <c r="BA195" s="138"/>
      <c r="BB195" s="139"/>
      <c r="BC195" s="140"/>
    </row>
    <row r="196" spans="1:57" x14ac:dyDescent="0.25">
      <c r="D196" s="112"/>
      <c r="E196" s="170"/>
      <c r="F196" s="170"/>
      <c r="G196" s="170"/>
      <c r="H196" s="170"/>
      <c r="I196" s="170"/>
      <c r="J196" s="170"/>
      <c r="K196" s="170"/>
      <c r="L196" s="170"/>
      <c r="M196" s="170"/>
      <c r="N196" s="170"/>
      <c r="O196" s="170"/>
      <c r="P196" s="171"/>
      <c r="Q196" s="170"/>
      <c r="R196" s="170"/>
      <c r="S196" s="170"/>
      <c r="T196" s="170"/>
      <c r="U196" s="170"/>
      <c r="V196" s="170"/>
      <c r="W196" s="170"/>
      <c r="X196" s="170"/>
      <c r="Y196" s="170"/>
      <c r="Z196" s="170"/>
      <c r="AA196" s="170"/>
      <c r="AB196" s="170"/>
      <c r="AC196" s="170"/>
      <c r="AD196" s="170"/>
      <c r="AE196" s="170"/>
      <c r="AF196" s="170"/>
      <c r="AG196" s="170"/>
      <c r="AH196" s="170"/>
      <c r="AI196" s="170"/>
      <c r="AJ196" s="170"/>
      <c r="AK196" s="170"/>
      <c r="AL196" s="170"/>
      <c r="AM196" s="170"/>
      <c r="AN196" s="170"/>
      <c r="AO196" s="170"/>
      <c r="AP196" s="170"/>
      <c r="AQ196" s="170"/>
      <c r="AR196" s="170"/>
      <c r="AS196" s="170"/>
      <c r="AT196" s="170"/>
      <c r="AU196" s="170"/>
      <c r="AV196" s="170"/>
      <c r="AW196" s="170"/>
      <c r="AX196" s="170"/>
      <c r="AY196" s="170"/>
      <c r="AZ196" s="170"/>
      <c r="BA196" s="170"/>
      <c r="BB196" s="113"/>
      <c r="BD196" s="112"/>
      <c r="BE196" s="112"/>
    </row>
    <row r="197" spans="1:57" s="122" customFormat="1" x14ac:dyDescent="0.3">
      <c r="A197" s="412">
        <v>5</v>
      </c>
      <c r="B197" s="123" t="s">
        <v>539</v>
      </c>
      <c r="C197" s="123"/>
      <c r="E197" s="157"/>
      <c r="F197" s="157"/>
      <c r="G197" s="157"/>
      <c r="H197" s="157"/>
      <c r="I197" s="158">
        <f>'BS Raw'!I32/$B$1</f>
        <v>324.83474644699999</v>
      </c>
      <c r="J197" s="158">
        <f>'BS Raw'!J32/$B$1</f>
        <v>174.19409459400001</v>
      </c>
      <c r="K197" s="158">
        <f>'BS Raw'!K32/$B$1</f>
        <v>231.11905704200001</v>
      </c>
      <c r="L197" s="158">
        <f>'BS Raw'!L32/$B$1</f>
        <v>289.89675649999998</v>
      </c>
      <c r="M197" s="158">
        <f>'BS Raw'!M32/$B$1</f>
        <v>269.72904185800002</v>
      </c>
      <c r="N197" s="158">
        <f>'BS Raw'!N32/$B$1</f>
        <v>312.96735966799997</v>
      </c>
      <c r="O197" s="158">
        <f>'BS Raw'!O32/$B$1</f>
        <v>214.908006156</v>
      </c>
      <c r="P197" s="1783">
        <f>'BS Raw'!P32/$B$1</f>
        <v>254.08388323599999</v>
      </c>
      <c r="Q197" s="120">
        <f>Q9/(365/Q199)</f>
        <v>279.53627052781201</v>
      </c>
      <c r="R197" s="120">
        <f t="shared" ref="R197:Z197" si="148">R9/(365/R199)</f>
        <v>295.0459279210894</v>
      </c>
      <c r="S197" s="120">
        <f t="shared" si="148"/>
        <v>357.86382579332451</v>
      </c>
      <c r="T197" s="120">
        <f t="shared" si="148"/>
        <v>374.69236941012321</v>
      </c>
      <c r="U197" s="120">
        <f t="shared" si="148"/>
        <v>389.44837566541253</v>
      </c>
      <c r="V197" s="120">
        <f t="shared" si="148"/>
        <v>404.60879143637635</v>
      </c>
      <c r="W197" s="120">
        <f t="shared" si="148"/>
        <v>422.97449415958044</v>
      </c>
      <c r="X197" s="120">
        <f t="shared" si="148"/>
        <v>522.85643576070822</v>
      </c>
      <c r="Y197" s="120">
        <f t="shared" si="148"/>
        <v>543.47876635677051</v>
      </c>
      <c r="Z197" s="120">
        <f t="shared" si="148"/>
        <v>584.62027626658403</v>
      </c>
      <c r="AA197" s="120"/>
      <c r="AB197" s="121"/>
      <c r="AC197" s="121"/>
      <c r="AD197" s="121"/>
      <c r="AE197" s="121"/>
      <c r="AF197" s="121"/>
      <c r="AG197" s="121"/>
      <c r="AH197" s="121"/>
      <c r="AI197" s="121"/>
      <c r="AJ197" s="121"/>
      <c r="AK197" s="121"/>
      <c r="AL197" s="121"/>
      <c r="AM197" s="121"/>
      <c r="AN197" s="121"/>
      <c r="AO197" s="121"/>
      <c r="AP197" s="121"/>
      <c r="AQ197" s="121"/>
      <c r="AR197" s="121"/>
      <c r="AS197" s="121"/>
      <c r="AT197" s="121"/>
      <c r="AU197" s="121"/>
      <c r="AV197" s="121"/>
      <c r="AW197" s="121"/>
      <c r="AX197" s="121"/>
      <c r="AY197" s="121"/>
      <c r="AZ197" s="121"/>
      <c r="BA197" s="121"/>
      <c r="BC197" s="272"/>
    </row>
    <row r="198" spans="1:57" s="270" customFormat="1" x14ac:dyDescent="0.25">
      <c r="A198" s="413"/>
      <c r="B198" s="414" t="s">
        <v>540</v>
      </c>
      <c r="C198" s="414"/>
      <c r="E198" s="157"/>
      <c r="I198" s="415">
        <f>AVERAGE(H197:I197)/I11</f>
        <v>0.15258740884078359</v>
      </c>
      <c r="J198" s="415">
        <f>AVERAGE(I197:J197)/J11</f>
        <v>0.32275497289800448</v>
      </c>
      <c r="K198" s="415">
        <f t="shared" ref="K198:P198" si="149">AVERAGE(J197:K197)/K11</f>
        <v>0.2314217333307271</v>
      </c>
      <c r="L198" s="415">
        <f t="shared" si="149"/>
        <v>0.29024174189003521</v>
      </c>
      <c r="M198" s="415">
        <f t="shared" si="149"/>
        <v>0.28760815026084086</v>
      </c>
      <c r="N198" s="415">
        <f t="shared" si="149"/>
        <v>0.34400380327307872</v>
      </c>
      <c r="O198" s="415">
        <f t="shared" si="149"/>
        <v>0.34465026141699323</v>
      </c>
      <c r="P198" s="1809">
        <f t="shared" si="149"/>
        <v>0.25054626056286178</v>
      </c>
      <c r="Q198" s="416">
        <f t="shared" ref="Q198" si="150">AVERAGE(P197:Q197)/Q11</f>
        <v>0.26348354599597967</v>
      </c>
      <c r="R198" s="416">
        <f t="shared" ref="R198" si="151">AVERAGE(Q197:R197)/R11</f>
        <v>0.26879549407469155</v>
      </c>
      <c r="S198" s="416">
        <f t="shared" ref="S198" si="152">AVERAGE(R197:S197)/S11</f>
        <v>0.25182265510311591</v>
      </c>
      <c r="T198" s="416">
        <f t="shared" ref="T198" si="153">AVERAGE(S197:T197)/T11</f>
        <v>0.2698519367240359</v>
      </c>
      <c r="U198" s="416">
        <f t="shared" ref="U198" si="154">AVERAGE(T197:U197)/U11</f>
        <v>0.27082135291789494</v>
      </c>
      <c r="V198" s="416">
        <f t="shared" ref="V198" si="155">AVERAGE(U197:V197)/V11</f>
        <v>0.27087934937955804</v>
      </c>
      <c r="W198" s="416">
        <f t="shared" ref="W198" si="156">AVERAGE(V197:W197)/W11</f>
        <v>0.27005795439927022</v>
      </c>
      <c r="X198" s="416">
        <f t="shared" ref="X198" si="157">AVERAGE(W197:X197)/X11</f>
        <v>0.29736471876259946</v>
      </c>
      <c r="Y198" s="416">
        <f t="shared" ref="Y198" si="158">AVERAGE(X197:Y197)/Y11</f>
        <v>0.32252958032807749</v>
      </c>
      <c r="Z198" s="416">
        <f t="shared" ref="Z198" si="159">AVERAGE(Y197:Z197)/Z11</f>
        <v>0.32777224962885748</v>
      </c>
      <c r="AA198" s="416"/>
      <c r="AB198" s="287"/>
      <c r="AC198" s="287"/>
      <c r="AD198" s="287"/>
      <c r="AE198" s="287"/>
      <c r="AF198" s="287"/>
      <c r="AG198" s="287"/>
      <c r="AH198" s="287"/>
      <c r="AI198" s="287"/>
      <c r="AJ198" s="287"/>
      <c r="AK198" s="287"/>
      <c r="AL198" s="287"/>
      <c r="AM198" s="287"/>
      <c r="AN198" s="287"/>
      <c r="AO198" s="287"/>
      <c r="AP198" s="287"/>
      <c r="AQ198" s="287"/>
      <c r="AR198" s="287"/>
      <c r="AS198" s="287"/>
      <c r="AT198" s="287"/>
      <c r="AU198" s="287"/>
      <c r="AV198" s="287"/>
      <c r="AW198" s="287"/>
      <c r="AX198" s="287"/>
      <c r="AY198" s="287"/>
      <c r="AZ198" s="287"/>
      <c r="BA198" s="287"/>
      <c r="BB198" s="417"/>
      <c r="BC198" s="418"/>
    </row>
    <row r="199" spans="1:57" s="62" customFormat="1" ht="12.75" customHeight="1" x14ac:dyDescent="0.25">
      <c r="A199" s="54"/>
      <c r="B199" s="419" t="s">
        <v>541</v>
      </c>
      <c r="C199" s="419"/>
      <c r="D199" s="420"/>
      <c r="E199" s="57"/>
      <c r="F199" s="57"/>
      <c r="G199" s="57"/>
      <c r="H199" s="57"/>
      <c r="I199" s="57">
        <f>365/(I11/I207)</f>
        <v>55.694404226886014</v>
      </c>
      <c r="J199" s="57">
        <f>365/(J11/J207)</f>
        <v>82.243878767707542</v>
      </c>
      <c r="K199" s="57">
        <f t="shared" ref="K199:P199" si="160">365/(K11/K207)</f>
        <v>96.332329648048614</v>
      </c>
      <c r="L199" s="57">
        <f t="shared" si="160"/>
        <v>117.88951562153605</v>
      </c>
      <c r="M199" s="57">
        <f t="shared" si="160"/>
        <v>101.19382960981844</v>
      </c>
      <c r="N199" s="57">
        <f t="shared" si="160"/>
        <v>134.87852691941634</v>
      </c>
      <c r="O199" s="57">
        <f t="shared" si="160"/>
        <v>102.42893847159507</v>
      </c>
      <c r="P199" s="1810">
        <f t="shared" si="160"/>
        <v>99.08834422385695</v>
      </c>
      <c r="Q199" s="421">
        <f>AVERAGE(O199:P199)</f>
        <v>100.75864134772601</v>
      </c>
      <c r="R199" s="421">
        <f>Q199</f>
        <v>100.75864134772601</v>
      </c>
      <c r="S199" s="421">
        <f t="shared" ref="S199:Y199" si="161">R199</f>
        <v>100.75864134772601</v>
      </c>
      <c r="T199" s="421">
        <f t="shared" si="161"/>
        <v>100.75864134772601</v>
      </c>
      <c r="U199" s="421">
        <f t="shared" si="161"/>
        <v>100.75864134772601</v>
      </c>
      <c r="V199" s="421">
        <f t="shared" si="161"/>
        <v>100.75864134772601</v>
      </c>
      <c r="W199" s="421">
        <f t="shared" si="161"/>
        <v>100.75864134772601</v>
      </c>
      <c r="X199" s="421">
        <v>120</v>
      </c>
      <c r="Y199" s="421">
        <f t="shared" si="161"/>
        <v>120</v>
      </c>
      <c r="Z199" s="421">
        <f>Y199+4</f>
        <v>124</v>
      </c>
      <c r="AA199" s="421"/>
      <c r="AB199" s="421"/>
      <c r="AC199" s="421"/>
      <c r="AD199" s="421"/>
      <c r="AE199" s="421"/>
      <c r="AF199" s="421"/>
      <c r="AG199" s="421"/>
      <c r="AH199" s="421"/>
      <c r="AI199" s="421"/>
      <c r="AJ199" s="421"/>
      <c r="AK199" s="421"/>
      <c r="AL199" s="421"/>
      <c r="AM199" s="421"/>
      <c r="AN199" s="421"/>
      <c r="AO199" s="421"/>
      <c r="AP199" s="421"/>
      <c r="AQ199" s="421"/>
      <c r="AR199" s="421"/>
      <c r="AS199" s="421"/>
      <c r="AT199" s="421"/>
      <c r="AU199" s="421"/>
      <c r="AV199" s="421"/>
      <c r="AW199" s="421"/>
      <c r="AX199" s="421"/>
      <c r="AY199" s="421"/>
      <c r="AZ199" s="421"/>
      <c r="BA199" s="421"/>
      <c r="BB199" s="420"/>
      <c r="BC199" s="422"/>
      <c r="BD199" s="420"/>
      <c r="BE199" s="420"/>
    </row>
    <row r="200" spans="1:57" s="124" customFormat="1" x14ac:dyDescent="0.25">
      <c r="A200" s="262" t="s">
        <v>542</v>
      </c>
      <c r="B200" s="185" t="s">
        <v>543</v>
      </c>
      <c r="C200" s="185"/>
      <c r="E200" s="157"/>
      <c r="F200" s="157"/>
      <c r="G200" s="157"/>
      <c r="H200" s="157"/>
      <c r="I200" s="157"/>
      <c r="J200" s="157"/>
      <c r="K200" s="157"/>
      <c r="L200" s="157"/>
      <c r="M200" s="157"/>
      <c r="N200" s="157"/>
      <c r="O200" s="157"/>
      <c r="P200" s="300"/>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c r="AM200" s="121"/>
      <c r="AN200" s="121"/>
      <c r="AO200" s="121"/>
      <c r="AP200" s="121"/>
      <c r="AQ200" s="121"/>
      <c r="AR200" s="121"/>
      <c r="AS200" s="121"/>
      <c r="AT200" s="121"/>
      <c r="AU200" s="121"/>
      <c r="AV200" s="121"/>
      <c r="AW200" s="121"/>
      <c r="AX200" s="121"/>
      <c r="AY200" s="121"/>
      <c r="AZ200" s="121"/>
      <c r="BA200" s="121"/>
      <c r="BB200" s="122"/>
      <c r="BC200" s="272"/>
    </row>
    <row r="201" spans="1:57" x14ac:dyDescent="0.25">
      <c r="A201" s="100" t="s">
        <v>544</v>
      </c>
      <c r="B201" s="147" t="s">
        <v>545</v>
      </c>
      <c r="C201" s="147"/>
      <c r="D201" s="112"/>
      <c r="E201" s="157"/>
      <c r="F201" s="157"/>
      <c r="G201" s="157"/>
      <c r="H201" s="157"/>
      <c r="I201" s="157"/>
      <c r="J201" s="157"/>
      <c r="K201" s="157"/>
      <c r="L201" s="157"/>
      <c r="M201" s="157"/>
      <c r="N201" s="170"/>
      <c r="O201" s="170"/>
      <c r="P201" s="171"/>
      <c r="Q201" s="224"/>
      <c r="R201" s="224"/>
      <c r="S201" s="224"/>
      <c r="T201" s="224"/>
      <c r="U201" s="224"/>
      <c r="V201" s="224"/>
      <c r="W201" s="224"/>
      <c r="X201" s="224"/>
      <c r="Y201" s="224"/>
      <c r="Z201" s="224"/>
      <c r="AA201" s="224"/>
      <c r="AB201" s="224"/>
      <c r="AC201" s="224"/>
      <c r="AD201" s="224"/>
      <c r="AE201" s="224"/>
      <c r="AF201" s="224"/>
      <c r="AG201" s="224"/>
      <c r="AH201" s="224"/>
      <c r="AI201" s="224"/>
      <c r="AJ201" s="224"/>
      <c r="AK201" s="224"/>
      <c r="AL201" s="224"/>
      <c r="AM201" s="224"/>
      <c r="AN201" s="224"/>
      <c r="AO201" s="224"/>
      <c r="AP201" s="224"/>
      <c r="AQ201" s="224"/>
      <c r="AR201" s="224"/>
      <c r="AS201" s="224"/>
      <c r="AT201" s="224"/>
      <c r="AU201" s="224"/>
      <c r="AV201" s="224"/>
      <c r="AW201" s="224"/>
      <c r="AX201" s="224"/>
      <c r="AY201" s="224"/>
      <c r="AZ201" s="224"/>
      <c r="BA201" s="224"/>
      <c r="BB201" s="113"/>
      <c r="BC201" s="272"/>
      <c r="BD201" s="112"/>
      <c r="BE201" s="112"/>
    </row>
    <row r="202" spans="1:57" x14ac:dyDescent="0.25">
      <c r="A202" s="100" t="s">
        <v>546</v>
      </c>
      <c r="B202" s="147" t="s">
        <v>547</v>
      </c>
      <c r="C202" s="147"/>
      <c r="D202" s="112"/>
      <c r="E202" s="157"/>
      <c r="F202" s="157"/>
      <c r="G202" s="157"/>
      <c r="H202" s="158"/>
      <c r="I202" s="157"/>
      <c r="J202" s="157"/>
      <c r="K202" s="157"/>
      <c r="L202" s="157"/>
      <c r="M202" s="157"/>
      <c r="N202" s="170"/>
      <c r="O202" s="170"/>
      <c r="P202" s="171"/>
      <c r="Q202" s="224"/>
      <c r="R202" s="224"/>
      <c r="S202" s="224"/>
      <c r="T202" s="224"/>
      <c r="U202" s="224"/>
      <c r="V202" s="224"/>
      <c r="W202" s="224"/>
      <c r="X202" s="224"/>
      <c r="Y202" s="224"/>
      <c r="Z202" s="224"/>
      <c r="AA202" s="224"/>
      <c r="AB202" s="224"/>
      <c r="AC202" s="224"/>
      <c r="AD202" s="224"/>
      <c r="AE202" s="224"/>
      <c r="AF202" s="224"/>
      <c r="AG202" s="224"/>
      <c r="AH202" s="224"/>
      <c r="AI202" s="224"/>
      <c r="AJ202" s="224"/>
      <c r="AK202" s="224"/>
      <c r="AL202" s="224"/>
      <c r="AM202" s="224"/>
      <c r="AN202" s="224"/>
      <c r="AO202" s="224"/>
      <c r="AP202" s="224"/>
      <c r="AQ202" s="224"/>
      <c r="AR202" s="224"/>
      <c r="AS202" s="224"/>
      <c r="AT202" s="224"/>
      <c r="AU202" s="224"/>
      <c r="AV202" s="224"/>
      <c r="AW202" s="224"/>
      <c r="AX202" s="224"/>
      <c r="AY202" s="224"/>
      <c r="AZ202" s="224"/>
      <c r="BA202" s="224"/>
      <c r="BB202" s="113"/>
      <c r="BC202" s="272"/>
      <c r="BD202" s="112"/>
      <c r="BE202" s="112"/>
    </row>
    <row r="203" spans="1:57" x14ac:dyDescent="0.25">
      <c r="A203" s="100" t="s">
        <v>548</v>
      </c>
      <c r="B203" s="147" t="s">
        <v>549</v>
      </c>
      <c r="C203" s="147"/>
      <c r="D203" s="112"/>
      <c r="E203" s="157"/>
      <c r="F203" s="157"/>
      <c r="G203" s="157"/>
      <c r="H203" s="157"/>
      <c r="I203" s="157"/>
      <c r="J203" s="157"/>
      <c r="K203" s="157"/>
      <c r="L203" s="157"/>
      <c r="M203" s="157"/>
      <c r="N203" s="170"/>
      <c r="O203" s="170"/>
      <c r="P203" s="171"/>
      <c r="Q203" s="224"/>
      <c r="R203" s="224"/>
      <c r="S203" s="224"/>
      <c r="T203" s="224"/>
      <c r="U203" s="224"/>
      <c r="V203" s="224"/>
      <c r="W203" s="224"/>
      <c r="X203" s="224"/>
      <c r="Y203" s="224"/>
      <c r="Z203" s="224"/>
      <c r="AA203" s="224"/>
      <c r="AB203" s="224"/>
      <c r="AC203" s="224"/>
      <c r="AD203" s="224"/>
      <c r="AE203" s="224"/>
      <c r="AF203" s="224"/>
      <c r="AG203" s="224"/>
      <c r="AH203" s="224"/>
      <c r="AI203" s="224"/>
      <c r="AJ203" s="224"/>
      <c r="AK203" s="224"/>
      <c r="AL203" s="224"/>
      <c r="AM203" s="224"/>
      <c r="AN203" s="224"/>
      <c r="AO203" s="224"/>
      <c r="AP203" s="224"/>
      <c r="AQ203" s="224"/>
      <c r="AR203" s="224"/>
      <c r="AS203" s="224"/>
      <c r="AT203" s="224"/>
      <c r="AU203" s="224"/>
      <c r="AV203" s="224"/>
      <c r="AW203" s="224"/>
      <c r="AX203" s="224"/>
      <c r="AY203" s="224"/>
      <c r="AZ203" s="224"/>
      <c r="BA203" s="224"/>
      <c r="BB203" s="113"/>
      <c r="BC203" s="272"/>
      <c r="BD203" s="112"/>
      <c r="BE203" s="112"/>
    </row>
    <row r="204" spans="1:57" x14ac:dyDescent="0.25">
      <c r="A204" s="100" t="s">
        <v>550</v>
      </c>
      <c r="B204" s="147" t="s">
        <v>551</v>
      </c>
      <c r="C204" s="147"/>
      <c r="D204" s="112"/>
      <c r="E204" s="157"/>
      <c r="F204" s="157"/>
      <c r="G204" s="157"/>
      <c r="H204" s="157"/>
      <c r="I204" s="157"/>
      <c r="J204" s="157"/>
      <c r="K204" s="157"/>
      <c r="L204" s="157"/>
      <c r="M204" s="157"/>
      <c r="N204" s="170"/>
      <c r="O204" s="170"/>
      <c r="P204" s="171"/>
      <c r="Q204" s="224"/>
      <c r="R204" s="224"/>
      <c r="S204" s="224"/>
      <c r="T204" s="224"/>
      <c r="U204" s="224"/>
      <c r="V204" s="224"/>
      <c r="W204" s="224"/>
      <c r="X204" s="224"/>
      <c r="Y204" s="224"/>
      <c r="Z204" s="224"/>
      <c r="AA204" s="224"/>
      <c r="AB204" s="224"/>
      <c r="AC204" s="224"/>
      <c r="AD204" s="224"/>
      <c r="AE204" s="224"/>
      <c r="AF204" s="224"/>
      <c r="AG204" s="224"/>
      <c r="AH204" s="224"/>
      <c r="AI204" s="224"/>
      <c r="AJ204" s="224"/>
      <c r="AK204" s="224"/>
      <c r="AL204" s="224"/>
      <c r="AM204" s="224"/>
      <c r="AN204" s="224"/>
      <c r="AO204" s="224"/>
      <c r="AP204" s="224"/>
      <c r="AQ204" s="224"/>
      <c r="AR204" s="224"/>
      <c r="AS204" s="224"/>
      <c r="AT204" s="224"/>
      <c r="AU204" s="224"/>
      <c r="AV204" s="224"/>
      <c r="AW204" s="224"/>
      <c r="AX204" s="224"/>
      <c r="AY204" s="224"/>
      <c r="AZ204" s="224"/>
      <c r="BA204" s="224"/>
      <c r="BB204" s="113"/>
      <c r="BC204" s="272"/>
      <c r="BD204" s="112"/>
      <c r="BE204" s="112"/>
    </row>
    <row r="205" spans="1:57" x14ac:dyDescent="0.25">
      <c r="A205" s="100" t="s">
        <v>552</v>
      </c>
      <c r="B205" s="147" t="s">
        <v>440</v>
      </c>
      <c r="C205" s="147"/>
      <c r="D205" s="112"/>
      <c r="E205" s="157"/>
      <c r="F205" s="157"/>
      <c r="G205" s="157"/>
      <c r="H205" s="157"/>
      <c r="I205" s="157"/>
      <c r="J205" s="157"/>
      <c r="K205" s="157"/>
      <c r="L205" s="157"/>
      <c r="M205" s="157"/>
      <c r="N205" s="170"/>
      <c r="O205" s="170"/>
      <c r="P205" s="171"/>
      <c r="Q205" s="224"/>
      <c r="R205" s="224"/>
      <c r="S205" s="224"/>
      <c r="T205" s="224"/>
      <c r="U205" s="224"/>
      <c r="V205" s="224"/>
      <c r="W205" s="224"/>
      <c r="X205" s="224"/>
      <c r="Y205" s="224"/>
      <c r="Z205" s="224"/>
      <c r="AA205" s="224"/>
      <c r="AB205" s="224"/>
      <c r="AC205" s="224"/>
      <c r="AD205" s="224"/>
      <c r="AE205" s="224"/>
      <c r="AF205" s="224"/>
      <c r="AG205" s="224"/>
      <c r="AH205" s="224"/>
      <c r="AI205" s="224"/>
      <c r="AJ205" s="224"/>
      <c r="AK205" s="224"/>
      <c r="AL205" s="224"/>
      <c r="AM205" s="224"/>
      <c r="AN205" s="224"/>
      <c r="AO205" s="224"/>
      <c r="AP205" s="224"/>
      <c r="AQ205" s="224"/>
      <c r="AR205" s="224"/>
      <c r="AS205" s="224"/>
      <c r="AT205" s="224"/>
      <c r="AU205" s="224"/>
      <c r="AV205" s="224"/>
      <c r="AW205" s="224"/>
      <c r="AX205" s="224"/>
      <c r="AY205" s="224"/>
      <c r="AZ205" s="224"/>
      <c r="BA205" s="224"/>
      <c r="BB205" s="113"/>
      <c r="BC205" s="272"/>
      <c r="BD205" s="112"/>
      <c r="BE205" s="112"/>
    </row>
    <row r="206" spans="1:57" x14ac:dyDescent="0.25">
      <c r="A206" s="100" t="s">
        <v>553</v>
      </c>
      <c r="B206" s="147" t="s">
        <v>554</v>
      </c>
      <c r="C206" s="147"/>
      <c r="D206" s="112"/>
      <c r="E206" s="66"/>
      <c r="F206" s="66"/>
      <c r="G206" s="66"/>
      <c r="H206" s="66"/>
      <c r="I206" s="220">
        <f>'BS Raw'!I34/$B$1</f>
        <v>-0.469636779</v>
      </c>
      <c r="J206" s="220">
        <f>'BS Raw'!J34/$B$1</f>
        <v>0</v>
      </c>
      <c r="K206" s="220">
        <f>'BS Raw'!K34/$B$1</f>
        <v>0</v>
      </c>
      <c r="L206" s="220">
        <f>'BS Raw'!L34/$B$1</f>
        <v>0</v>
      </c>
      <c r="M206" s="220">
        <f>'BS Raw'!M34/$B$1</f>
        <v>0</v>
      </c>
      <c r="N206" s="220">
        <f>'BS Raw'!N34/$B$1</f>
        <v>0</v>
      </c>
      <c r="O206" s="220">
        <f>'BS Raw'!O34/$B$1</f>
        <v>0</v>
      </c>
      <c r="P206" s="1789">
        <f>'BS Raw'!P34/$B$1</f>
        <v>0</v>
      </c>
      <c r="Q206" s="208"/>
      <c r="R206" s="208"/>
      <c r="S206" s="208"/>
      <c r="T206" s="208"/>
      <c r="U206" s="208"/>
      <c r="V206" s="208"/>
      <c r="W206" s="208"/>
      <c r="X206" s="208"/>
      <c r="Y206" s="208"/>
      <c r="Z206" s="208"/>
      <c r="AA206" s="208"/>
      <c r="AB206" s="208"/>
      <c r="AC206" s="208"/>
      <c r="AD206" s="208"/>
      <c r="AE206" s="208"/>
      <c r="AF206" s="208"/>
      <c r="AG206" s="208"/>
      <c r="AH206" s="208"/>
      <c r="AI206" s="208"/>
      <c r="AJ206" s="208"/>
      <c r="AK206" s="208"/>
      <c r="AL206" s="208"/>
      <c r="AM206" s="208"/>
      <c r="AN206" s="208"/>
      <c r="AO206" s="208"/>
      <c r="AP206" s="208"/>
      <c r="AQ206" s="208"/>
      <c r="AR206" s="208"/>
      <c r="AS206" s="208"/>
      <c r="AT206" s="208"/>
      <c r="AU206" s="208"/>
      <c r="AV206" s="208"/>
      <c r="AW206" s="208"/>
      <c r="AX206" s="208"/>
      <c r="AY206" s="208"/>
      <c r="AZ206" s="208"/>
      <c r="BA206" s="208"/>
      <c r="BB206" s="112"/>
      <c r="BC206" s="272"/>
      <c r="BD206" s="112"/>
      <c r="BE206" s="112"/>
    </row>
    <row r="207" spans="1:57" s="117" customFormat="1" x14ac:dyDescent="0.25">
      <c r="A207" s="132"/>
      <c r="B207" s="133" t="s">
        <v>555</v>
      </c>
      <c r="C207" s="133"/>
      <c r="D207" s="134"/>
      <c r="E207" s="166"/>
      <c r="F207" s="166"/>
      <c r="G207" s="166"/>
      <c r="H207" s="166"/>
      <c r="I207" s="167">
        <f>IF(ISTEXT('BS Raw'!I11),'BS Raw'!I32/$B$1,Input!I197)</f>
        <v>324.83474644699999</v>
      </c>
      <c r="J207" s="167">
        <f>IF(ISTEXT('BS Raw'!J11),'BS Raw'!J32/$B$1,Input!J197)</f>
        <v>174.19409459400001</v>
      </c>
      <c r="K207" s="167">
        <f>IF(ISTEXT('BS Raw'!K11),'BS Raw'!K32/$B$1,Input!K197)</f>
        <v>231.11905704200001</v>
      </c>
      <c r="L207" s="167">
        <f>IF(ISTEXT('BS Raw'!L11),'BS Raw'!L32/$B$1,Input!L197)</f>
        <v>289.89675649999998</v>
      </c>
      <c r="M207" s="167">
        <f>IF(ISTEXT('BS Raw'!M11),'BS Raw'!M32/$B$1,Input!M197)</f>
        <v>269.72904185800002</v>
      </c>
      <c r="N207" s="167">
        <f>IF(ISTEXT('BS Raw'!N11),'BS Raw'!N32/$B$1,Input!N197)</f>
        <v>312.96735966799997</v>
      </c>
      <c r="O207" s="167">
        <f>IF(ISTEXT('BS Raw'!O11),'BS Raw'!O32/$B$1,Input!O197)</f>
        <v>214.908006156</v>
      </c>
      <c r="P207" s="743">
        <f>IF(ISTEXT('BS Raw'!P11),'BS Raw'!P32/$B$1,Input!P197)</f>
        <v>254.08388323599999</v>
      </c>
      <c r="Q207" s="168">
        <f>IF(ISTEXT('BS Raw'!Q11),'BS Raw'!Q32/$B$1,Input!Q197)</f>
        <v>279.53627052781201</v>
      </c>
      <c r="R207" s="168">
        <f>IF(ISTEXT('BS Raw'!R11),'BS Raw'!R32/$B$1,Input!R197)</f>
        <v>295.0459279210894</v>
      </c>
      <c r="S207" s="168">
        <f>IF(ISTEXT('BS Raw'!S11),'BS Raw'!S32/$B$1,Input!S197)</f>
        <v>357.86382579332451</v>
      </c>
      <c r="T207" s="168">
        <f>IF(ISTEXT('BS Raw'!T11),'BS Raw'!T32/$B$1,Input!T197)</f>
        <v>374.69236941012321</v>
      </c>
      <c r="U207" s="168">
        <f>IF(ISTEXT('BS Raw'!U11),'BS Raw'!U32/$B$1,Input!U197)</f>
        <v>389.44837566541253</v>
      </c>
      <c r="V207" s="168">
        <f>IF(ISTEXT('BS Raw'!V11),'BS Raw'!V32/$B$1,Input!V197)</f>
        <v>404.60879143637635</v>
      </c>
      <c r="W207" s="168">
        <f>IF(ISTEXT('BS Raw'!W11),'BS Raw'!W32/$B$1,Input!W197)</f>
        <v>422.97449415958044</v>
      </c>
      <c r="X207" s="168">
        <f>IF(ISTEXT('BS Raw'!X11),'BS Raw'!X32/$B$1,Input!X197)</f>
        <v>522.85643576070822</v>
      </c>
      <c r="Y207" s="168">
        <f>IF(ISTEXT('BS Raw'!Y11),'BS Raw'!Y32/$B$1,Input!Y197)</f>
        <v>543.47876635677051</v>
      </c>
      <c r="Z207" s="168">
        <f>IF(ISTEXT('BS Raw'!Z11),'BS Raw'!Z32/$B$1,Input!Z197)</f>
        <v>584.62027626658403</v>
      </c>
      <c r="AA207" s="168"/>
      <c r="AB207" s="169"/>
      <c r="AC207" s="169"/>
      <c r="AD207" s="169"/>
      <c r="AE207" s="169"/>
      <c r="AF207" s="169"/>
      <c r="AG207" s="169"/>
      <c r="AH207" s="169"/>
      <c r="AI207" s="169"/>
      <c r="AJ207" s="169"/>
      <c r="AK207" s="169"/>
      <c r="AL207" s="169"/>
      <c r="AM207" s="169"/>
      <c r="AN207" s="169"/>
      <c r="AO207" s="169"/>
      <c r="AP207" s="169"/>
      <c r="AQ207" s="169"/>
      <c r="AR207" s="169"/>
      <c r="AS207" s="169"/>
      <c r="AT207" s="169"/>
      <c r="AU207" s="169"/>
      <c r="AV207" s="169"/>
      <c r="AW207" s="169"/>
      <c r="AX207" s="169"/>
      <c r="AY207" s="169"/>
      <c r="AZ207" s="169"/>
      <c r="BA207" s="169"/>
      <c r="BB207" s="139"/>
      <c r="BC207" s="140"/>
    </row>
    <row r="208" spans="1:57" x14ac:dyDescent="0.25">
      <c r="D208" s="112"/>
      <c r="E208" s="170"/>
      <c r="F208" s="170"/>
      <c r="G208" s="170"/>
      <c r="H208" s="170"/>
      <c r="I208" s="170"/>
      <c r="J208" s="170"/>
      <c r="K208" s="170"/>
      <c r="L208" s="170"/>
      <c r="M208" s="170"/>
      <c r="N208" s="170"/>
      <c r="O208" s="170"/>
      <c r="P208" s="171"/>
      <c r="Q208" s="170"/>
      <c r="R208" s="170"/>
      <c r="S208" s="170"/>
      <c r="T208" s="170"/>
      <c r="U208" s="170"/>
      <c r="V208" s="170"/>
      <c r="W208" s="170"/>
      <c r="X208" s="170"/>
      <c r="Y208" s="170"/>
      <c r="Z208" s="170"/>
      <c r="AA208" s="170"/>
      <c r="AB208" s="170"/>
      <c r="AC208" s="170"/>
      <c r="AD208" s="170"/>
      <c r="AE208" s="170"/>
      <c r="AF208" s="170"/>
      <c r="AG208" s="170"/>
      <c r="AH208" s="170"/>
      <c r="AI208" s="170"/>
      <c r="AJ208" s="170"/>
      <c r="AK208" s="170"/>
      <c r="AL208" s="170"/>
      <c r="AM208" s="170"/>
      <c r="AN208" s="170"/>
      <c r="AO208" s="170"/>
      <c r="AP208" s="170"/>
      <c r="AQ208" s="170"/>
      <c r="AR208" s="170"/>
      <c r="AS208" s="170"/>
      <c r="AT208" s="170"/>
      <c r="AU208" s="170"/>
      <c r="AV208" s="170"/>
      <c r="AW208" s="170"/>
      <c r="AX208" s="170"/>
      <c r="AY208" s="170"/>
      <c r="AZ208" s="170"/>
      <c r="BA208" s="170"/>
      <c r="BB208" s="113"/>
      <c r="BD208" s="112"/>
      <c r="BE208" s="112"/>
    </row>
    <row r="209" spans="1:57" s="124" customFormat="1" x14ac:dyDescent="0.25">
      <c r="A209" s="262">
        <v>6</v>
      </c>
      <c r="B209" s="116" t="s">
        <v>556</v>
      </c>
      <c r="C209" s="116"/>
      <c r="E209" s="118"/>
      <c r="F209" s="118"/>
      <c r="G209" s="118"/>
      <c r="H209" s="118"/>
      <c r="I209" s="119">
        <f>'BS Raw'!I35/$B$1</f>
        <v>26.330682211999999</v>
      </c>
      <c r="J209" s="119">
        <f>'BS Raw'!J35/$B$1</f>
        <v>5.1983805390000004</v>
      </c>
      <c r="K209" s="119">
        <f>'BS Raw'!K35/$B$1</f>
        <v>10.231771902</v>
      </c>
      <c r="L209" s="119">
        <f>'BS Raw'!L35/$B$1</f>
        <v>9.2872817459999997</v>
      </c>
      <c r="M209" s="119">
        <f>'BS Raw'!M35/$B$1</f>
        <v>7.3721254580000002</v>
      </c>
      <c r="N209" s="119">
        <f>'BS Raw'!N35/$B$1</f>
        <v>18.589657922000001</v>
      </c>
      <c r="O209" s="119">
        <f>'BS Raw'!O35/$B$1</f>
        <v>6.1661140559999996</v>
      </c>
      <c r="P209" s="671">
        <f>'BS Raw'!P35/$B$1</f>
        <v>6.7313965429999998</v>
      </c>
      <c r="Q209" s="120">
        <f>Q7*Q210</f>
        <v>7.2329343463726641</v>
      </c>
      <c r="R209" s="120">
        <f t="shared" ref="R209:Z209" si="162">R7*R210</f>
        <v>7.5458091459801038</v>
      </c>
      <c r="S209" s="120">
        <f t="shared" si="162"/>
        <v>9.526629127117296</v>
      </c>
      <c r="T209" s="120">
        <f t="shared" si="162"/>
        <v>10.161475688212704</v>
      </c>
      <c r="U209" s="120">
        <f t="shared" si="162"/>
        <v>10.798749808044072</v>
      </c>
      <c r="V209" s="120">
        <f t="shared" si="162"/>
        <v>11.324502689712517</v>
      </c>
      <c r="W209" s="120">
        <f t="shared" si="162"/>
        <v>11.980517123656828</v>
      </c>
      <c r="X209" s="120">
        <f t="shared" si="162"/>
        <v>12.44325600250356</v>
      </c>
      <c r="Y209" s="120">
        <f t="shared" si="162"/>
        <v>12.944190878084225</v>
      </c>
      <c r="Z209" s="120">
        <f t="shared" si="162"/>
        <v>13.487089392475824</v>
      </c>
      <c r="AA209" s="120"/>
      <c r="AB209" s="121"/>
      <c r="AC209" s="121"/>
      <c r="AD209" s="121"/>
      <c r="AE209" s="121"/>
      <c r="AF209" s="121"/>
      <c r="AG209" s="121"/>
      <c r="AH209" s="121"/>
      <c r="AI209" s="121"/>
      <c r="AJ209" s="121"/>
      <c r="AK209" s="121"/>
      <c r="AL209" s="121"/>
      <c r="AM209" s="121"/>
      <c r="AN209" s="121"/>
      <c r="AO209" s="121"/>
      <c r="AP209" s="121"/>
      <c r="AQ209" s="121"/>
      <c r="AR209" s="121"/>
      <c r="AS209" s="121"/>
      <c r="AT209" s="121"/>
      <c r="AU209" s="121"/>
      <c r="AV209" s="121"/>
      <c r="AW209" s="121"/>
      <c r="AX209" s="121"/>
      <c r="AY209" s="121"/>
      <c r="AZ209" s="121"/>
      <c r="BA209" s="121"/>
      <c r="BB209" s="122"/>
      <c r="BC209" s="123"/>
    </row>
    <row r="210" spans="1:57" s="180" customFormat="1" x14ac:dyDescent="0.25">
      <c r="A210" s="189"/>
      <c r="B210" s="197" t="s">
        <v>404</v>
      </c>
      <c r="C210" s="197"/>
      <c r="E210" s="196"/>
      <c r="F210" s="196"/>
      <c r="G210" s="196"/>
      <c r="H210" s="196"/>
      <c r="I210" s="259">
        <f>IF(I$7,I209/I$7,0)</f>
        <v>1.0738979752105407E-2</v>
      </c>
      <c r="J210" s="259">
        <f>IF(J$7,J209/J$7,0)</f>
        <v>4.2433402735853956E-3</v>
      </c>
      <c r="K210" s="259">
        <f t="shared" ref="K210:P210" si="163">IF(K$7,K209/K$7,0)</f>
        <v>7.3880845897018365E-3</v>
      </c>
      <c r="L210" s="259">
        <f t="shared" si="163"/>
        <v>6.6900291383509766E-3</v>
      </c>
      <c r="M210" s="259">
        <f t="shared" si="163"/>
        <v>5.2619539664572456E-3</v>
      </c>
      <c r="N210" s="259">
        <f t="shared" si="163"/>
        <v>1.4733478905110321E-2</v>
      </c>
      <c r="O210" s="259">
        <f t="shared" si="163"/>
        <v>4.9056067641056666E-3</v>
      </c>
      <c r="P210" s="1244">
        <f t="shared" si="163"/>
        <v>4.3191388045872589E-3</v>
      </c>
      <c r="Q210" s="260">
        <f>P210</f>
        <v>4.3191388045872589E-3</v>
      </c>
      <c r="R210" s="260">
        <f>Q210</f>
        <v>4.3191388045872589E-3</v>
      </c>
      <c r="S210" s="260">
        <f t="shared" ref="S210:Z210" si="164">R210</f>
        <v>4.3191388045872589E-3</v>
      </c>
      <c r="T210" s="260">
        <f t="shared" si="164"/>
        <v>4.3191388045872589E-3</v>
      </c>
      <c r="U210" s="260">
        <f t="shared" si="164"/>
        <v>4.3191388045872589E-3</v>
      </c>
      <c r="V210" s="260">
        <f t="shared" si="164"/>
        <v>4.3191388045872589E-3</v>
      </c>
      <c r="W210" s="260">
        <f t="shared" si="164"/>
        <v>4.3191388045872589E-3</v>
      </c>
      <c r="X210" s="260">
        <f t="shared" si="164"/>
        <v>4.3191388045872589E-3</v>
      </c>
      <c r="Y210" s="260">
        <f t="shared" si="164"/>
        <v>4.3191388045872589E-3</v>
      </c>
      <c r="Z210" s="260">
        <f t="shared" si="164"/>
        <v>4.3191388045872589E-3</v>
      </c>
      <c r="AA210" s="260"/>
      <c r="AB210" s="334"/>
      <c r="AC210" s="334"/>
      <c r="AD210" s="334"/>
      <c r="AE210" s="334"/>
      <c r="AF210" s="334"/>
      <c r="AG210" s="334"/>
      <c r="AH210" s="334"/>
      <c r="AI210" s="334"/>
      <c r="AJ210" s="334"/>
      <c r="AK210" s="334"/>
      <c r="AL210" s="334"/>
      <c r="AM210" s="334"/>
      <c r="AN210" s="334"/>
      <c r="AO210" s="334"/>
      <c r="AP210" s="324"/>
      <c r="AQ210" s="324"/>
      <c r="AR210" s="324"/>
      <c r="AS210" s="324"/>
      <c r="AT210" s="324"/>
      <c r="AU210" s="324"/>
      <c r="AV210" s="324"/>
      <c r="AW210" s="324"/>
      <c r="AX210" s="324"/>
      <c r="AY210" s="324"/>
      <c r="AZ210" s="324"/>
      <c r="BA210" s="324"/>
      <c r="BB210" s="198"/>
      <c r="BC210" s="146"/>
    </row>
    <row r="211" spans="1:57" s="117" customFormat="1" x14ac:dyDescent="0.25">
      <c r="A211" s="132"/>
      <c r="B211" s="133" t="s">
        <v>557</v>
      </c>
      <c r="C211" s="133"/>
      <c r="D211" s="134"/>
      <c r="E211" s="166"/>
      <c r="F211" s="166"/>
      <c r="G211" s="166"/>
      <c r="H211" s="166"/>
      <c r="I211" s="167">
        <f>IF(ISTEXT('BS Raw'!I11),'BS Raw'!I35/$B$1,Input!I209)</f>
        <v>26.330682211999999</v>
      </c>
      <c r="J211" s="167">
        <f>IF(ISTEXT('BS Raw'!J11),'BS Raw'!J35/$B$1,Input!J209)</f>
        <v>5.1983805390000004</v>
      </c>
      <c r="K211" s="167">
        <f>IF(ISTEXT('BS Raw'!K11),'BS Raw'!K35/$B$1,Input!K209)</f>
        <v>10.231771902</v>
      </c>
      <c r="L211" s="167">
        <f>IF(ISTEXT('BS Raw'!L11),'BS Raw'!L35/$B$1,Input!L209)</f>
        <v>9.2872817459999997</v>
      </c>
      <c r="M211" s="167">
        <f>IF(ISTEXT('BS Raw'!M11),'BS Raw'!M35/$B$1,Input!M209)</f>
        <v>7.3721254580000002</v>
      </c>
      <c r="N211" s="167">
        <f>IF(ISTEXT('BS Raw'!N11),'BS Raw'!N35/$B$1,Input!N209)</f>
        <v>18.589657922000001</v>
      </c>
      <c r="O211" s="167">
        <f>IF(ISTEXT('BS Raw'!O11),'BS Raw'!O35/$B$1,Input!O209)</f>
        <v>6.1661140559999996</v>
      </c>
      <c r="P211" s="743">
        <f>IF(ISTEXT('BS Raw'!P11),'BS Raw'!P35/$B$1,Input!P209)</f>
        <v>6.7313965429999998</v>
      </c>
      <c r="Q211" s="168">
        <f>IF(ISTEXT('BS Raw'!Q11),'BS Raw'!Q35/$B$1,Input!Q209)</f>
        <v>7.2329343463726641</v>
      </c>
      <c r="R211" s="168">
        <f>IF(ISTEXT('BS Raw'!R11),'BS Raw'!R35/$B$1,Input!R209)</f>
        <v>7.5458091459801038</v>
      </c>
      <c r="S211" s="168">
        <f>IF(ISTEXT('BS Raw'!S11),'BS Raw'!S35/$B$1,Input!S209)</f>
        <v>9.526629127117296</v>
      </c>
      <c r="T211" s="168">
        <f>IF(ISTEXT('BS Raw'!T11),'BS Raw'!T35/$B$1,Input!T209)</f>
        <v>10.161475688212704</v>
      </c>
      <c r="U211" s="168">
        <f>IF(ISTEXT('BS Raw'!U11),'BS Raw'!U35/$B$1,Input!U209)</f>
        <v>10.798749808044072</v>
      </c>
      <c r="V211" s="168">
        <f>IF(ISTEXT('BS Raw'!V11),'BS Raw'!V35/$B$1,Input!V209)</f>
        <v>11.324502689712517</v>
      </c>
      <c r="W211" s="168">
        <f>IF(ISTEXT('BS Raw'!W11),'BS Raw'!W35/$B$1,Input!W209)</f>
        <v>11.980517123656828</v>
      </c>
      <c r="X211" s="168">
        <f>IF(ISTEXT('BS Raw'!X11),'BS Raw'!X35/$B$1,Input!X209)</f>
        <v>12.44325600250356</v>
      </c>
      <c r="Y211" s="168">
        <f>IF(ISTEXT('BS Raw'!Y11),'BS Raw'!Y35/$B$1,Input!Y209)</f>
        <v>12.944190878084225</v>
      </c>
      <c r="Z211" s="168">
        <f>IF(ISTEXT('BS Raw'!Z11),'BS Raw'!Z35/$B$1,Input!Z209)</f>
        <v>13.487089392475824</v>
      </c>
      <c r="AA211" s="168"/>
      <c r="AB211" s="169"/>
      <c r="AC211" s="169"/>
      <c r="AD211" s="169"/>
      <c r="AE211" s="169"/>
      <c r="AF211" s="169"/>
      <c r="AG211" s="169"/>
      <c r="AH211" s="169"/>
      <c r="AI211" s="169"/>
      <c r="AJ211" s="169"/>
      <c r="AK211" s="169"/>
      <c r="AL211" s="169"/>
      <c r="AM211" s="169"/>
      <c r="AN211" s="169"/>
      <c r="AO211" s="169"/>
      <c r="AP211" s="169"/>
      <c r="AQ211" s="169"/>
      <c r="AR211" s="169"/>
      <c r="AS211" s="169"/>
      <c r="AT211" s="169"/>
      <c r="AU211" s="169"/>
      <c r="AV211" s="169"/>
      <c r="AW211" s="169"/>
      <c r="AX211" s="169"/>
      <c r="AY211" s="169"/>
      <c r="AZ211" s="169"/>
      <c r="BA211" s="169"/>
      <c r="BB211" s="139"/>
      <c r="BC211" s="140"/>
    </row>
    <row r="212" spans="1:57" s="42" customFormat="1" x14ac:dyDescent="0.25">
      <c r="A212" s="41"/>
      <c r="D212" s="181"/>
      <c r="E212" s="182"/>
      <c r="F212" s="182"/>
      <c r="G212" s="182"/>
      <c r="H212" s="182"/>
      <c r="I212" s="182"/>
      <c r="J212" s="182"/>
      <c r="K212" s="182"/>
      <c r="L212" s="182"/>
      <c r="M212" s="182"/>
      <c r="N212" s="153"/>
      <c r="O212" s="153"/>
      <c r="P212" s="154"/>
      <c r="Q212" s="153"/>
      <c r="R212" s="153"/>
      <c r="S212" s="153"/>
      <c r="T212" s="153"/>
      <c r="U212" s="153"/>
      <c r="V212" s="153"/>
      <c r="W212" s="153"/>
      <c r="X212" s="153"/>
      <c r="Y212" s="153"/>
      <c r="Z212" s="153"/>
      <c r="AA212" s="153"/>
      <c r="AB212" s="153"/>
      <c r="AC212" s="153"/>
      <c r="AD212" s="153"/>
      <c r="AE212" s="153"/>
      <c r="AF212" s="153"/>
      <c r="AG212" s="153"/>
      <c r="AH212" s="153"/>
      <c r="AI212" s="153"/>
      <c r="AJ212" s="153"/>
      <c r="AK212" s="153"/>
      <c r="AL212" s="153"/>
      <c r="AM212" s="153"/>
      <c r="AN212" s="153"/>
      <c r="AO212" s="153"/>
      <c r="AP212" s="153"/>
      <c r="AQ212" s="153"/>
      <c r="AR212" s="153"/>
      <c r="AS212" s="153"/>
      <c r="AT212" s="153"/>
      <c r="AU212" s="153"/>
      <c r="AV212" s="153"/>
      <c r="AW212" s="153"/>
      <c r="AX212" s="153"/>
      <c r="AY212" s="153"/>
      <c r="AZ212" s="153"/>
      <c r="BA212" s="153"/>
      <c r="BB212" s="257"/>
      <c r="BC212" s="123"/>
      <c r="BD212" s="181"/>
      <c r="BE212" s="181"/>
    </row>
    <row r="213" spans="1:57" s="124" customFormat="1" x14ac:dyDescent="0.25">
      <c r="A213" s="115"/>
      <c r="B213" s="423" t="s">
        <v>558</v>
      </c>
      <c r="C213" s="423"/>
      <c r="E213" s="157"/>
      <c r="F213" s="157"/>
      <c r="G213" s="157"/>
      <c r="H213" s="157"/>
      <c r="I213" s="158">
        <f>I155+I160+I169+I182+I197+I209</f>
        <v>756.45027704099994</v>
      </c>
      <c r="J213" s="158">
        <f>J155+J160+J169+J182+J197+J209</f>
        <v>772.56635647700011</v>
      </c>
      <c r="K213" s="158">
        <f t="shared" ref="K213:Z213" si="165">K155+K160+K169+K182+K197+K209</f>
        <v>1023.140020557</v>
      </c>
      <c r="L213" s="158">
        <f t="shared" si="165"/>
        <v>1115.4177067109999</v>
      </c>
      <c r="M213" s="158">
        <f t="shared" si="165"/>
        <v>1021.2371517850002</v>
      </c>
      <c r="N213" s="158">
        <f t="shared" si="165"/>
        <v>1028.8082387950001</v>
      </c>
      <c r="O213" s="158">
        <f t="shared" si="165"/>
        <v>835.84573580300003</v>
      </c>
      <c r="P213" s="1783">
        <f t="shared" si="165"/>
        <v>972.31053835599994</v>
      </c>
      <c r="Q213" s="120">
        <f t="shared" ca="1" si="165"/>
        <v>1189.4678558781263</v>
      </c>
      <c r="R213" s="120">
        <f t="shared" ca="1" si="165"/>
        <v>1237.1862680923473</v>
      </c>
      <c r="S213" s="120">
        <f t="shared" ca="1" si="165"/>
        <v>1648.0049201698753</v>
      </c>
      <c r="T213" s="120">
        <f t="shared" ca="1" si="165"/>
        <v>1850.6337101094377</v>
      </c>
      <c r="U213" s="120">
        <f t="shared" ca="1" si="165"/>
        <v>2034.6421624846182</v>
      </c>
      <c r="V213" s="120">
        <f t="shared" ca="1" si="165"/>
        <v>2302.6704973077744</v>
      </c>
      <c r="W213" s="120">
        <f t="shared" ca="1" si="165"/>
        <v>2481.549506376015</v>
      </c>
      <c r="X213" s="120">
        <f t="shared" ca="1" si="165"/>
        <v>2842.0138927678167</v>
      </c>
      <c r="Y213" s="120">
        <f t="shared" ca="1" si="165"/>
        <v>3112.1465760688548</v>
      </c>
      <c r="Z213" s="120">
        <f t="shared" ca="1" si="165"/>
        <v>3396.3525127580356</v>
      </c>
      <c r="AA213" s="120"/>
      <c r="AB213" s="121"/>
      <c r="AC213" s="121"/>
      <c r="AD213" s="121"/>
      <c r="AE213" s="121"/>
      <c r="AF213" s="121"/>
      <c r="AG213" s="121"/>
      <c r="AH213" s="121"/>
      <c r="AI213" s="121"/>
      <c r="AJ213" s="121"/>
      <c r="AK213" s="121"/>
      <c r="AL213" s="121"/>
      <c r="AM213" s="121"/>
      <c r="AN213" s="121"/>
      <c r="AO213" s="121"/>
      <c r="AP213" s="121"/>
      <c r="AQ213" s="121"/>
      <c r="AR213" s="121"/>
      <c r="AS213" s="121"/>
      <c r="AT213" s="121"/>
      <c r="AU213" s="121"/>
      <c r="AV213" s="121"/>
      <c r="AW213" s="121"/>
      <c r="AX213" s="121"/>
      <c r="AY213" s="121"/>
      <c r="AZ213" s="121"/>
      <c r="BA213" s="121"/>
      <c r="BB213" s="122"/>
      <c r="BC213" s="123"/>
    </row>
    <row r="214" spans="1:57" s="117" customFormat="1" x14ac:dyDescent="0.25">
      <c r="A214" s="132"/>
      <c r="B214" s="133" t="s">
        <v>559</v>
      </c>
      <c r="C214" s="133"/>
      <c r="D214" s="134"/>
      <c r="E214" s="166"/>
      <c r="F214" s="166"/>
      <c r="G214" s="166"/>
      <c r="H214" s="166"/>
      <c r="I214" s="167">
        <f>I158+I166+I176+I195+I207+I211</f>
        <v>756.45027704099994</v>
      </c>
      <c r="J214" s="167">
        <f>J158+J166+J176+J195+J207+J211</f>
        <v>772.56635647700011</v>
      </c>
      <c r="K214" s="167">
        <f t="shared" ref="K214:Z214" si="166">K158+K166+K176+K195+K207+K211</f>
        <v>1023.140020557</v>
      </c>
      <c r="L214" s="167">
        <f t="shared" si="166"/>
        <v>1115.4177067109999</v>
      </c>
      <c r="M214" s="167">
        <f t="shared" si="166"/>
        <v>1021.2371517850002</v>
      </c>
      <c r="N214" s="167">
        <f t="shared" si="166"/>
        <v>1028.8082387950001</v>
      </c>
      <c r="O214" s="167">
        <f t="shared" si="166"/>
        <v>835.84573580300003</v>
      </c>
      <c r="P214" s="743">
        <f t="shared" si="166"/>
        <v>972.31053835599994</v>
      </c>
      <c r="Q214" s="168">
        <f t="shared" ca="1" si="166"/>
        <v>1189.4678558781263</v>
      </c>
      <c r="R214" s="168">
        <f t="shared" ca="1" si="166"/>
        <v>1237.1862680923473</v>
      </c>
      <c r="S214" s="168">
        <f t="shared" ca="1" si="166"/>
        <v>1648.0049201698753</v>
      </c>
      <c r="T214" s="168">
        <f t="shared" ca="1" si="166"/>
        <v>1850.6337101094377</v>
      </c>
      <c r="U214" s="168">
        <f t="shared" ca="1" si="166"/>
        <v>2034.6421624846182</v>
      </c>
      <c r="V214" s="168">
        <f t="shared" ca="1" si="166"/>
        <v>2302.6704973077744</v>
      </c>
      <c r="W214" s="168">
        <f t="shared" ca="1" si="166"/>
        <v>2481.549506376015</v>
      </c>
      <c r="X214" s="168">
        <f t="shared" ca="1" si="166"/>
        <v>2842.0138927678167</v>
      </c>
      <c r="Y214" s="168">
        <f t="shared" ca="1" si="166"/>
        <v>3112.1465760688548</v>
      </c>
      <c r="Z214" s="168">
        <f t="shared" ca="1" si="166"/>
        <v>3396.3525127580356</v>
      </c>
      <c r="AA214" s="168"/>
      <c r="AB214" s="169"/>
      <c r="AC214" s="169"/>
      <c r="AD214" s="169"/>
      <c r="AE214" s="169"/>
      <c r="AF214" s="169"/>
      <c r="AG214" s="169"/>
      <c r="AH214" s="169"/>
      <c r="AI214" s="169"/>
      <c r="AJ214" s="169"/>
      <c r="AK214" s="169"/>
      <c r="AL214" s="169"/>
      <c r="AM214" s="169"/>
      <c r="AN214" s="169"/>
      <c r="AO214" s="169"/>
      <c r="AP214" s="169"/>
      <c r="AQ214" s="169"/>
      <c r="AR214" s="169"/>
      <c r="AS214" s="169"/>
      <c r="AT214" s="169"/>
      <c r="AU214" s="169"/>
      <c r="AV214" s="169"/>
      <c r="AW214" s="169"/>
      <c r="AX214" s="169"/>
      <c r="AY214" s="169"/>
      <c r="AZ214" s="169"/>
      <c r="BA214" s="169"/>
      <c r="BB214" s="134"/>
      <c r="BC214" s="424"/>
    </row>
    <row r="215" spans="1:57" s="426" customFormat="1" x14ac:dyDescent="0.25">
      <c r="A215" s="425"/>
      <c r="B215" s="426" t="s">
        <v>468</v>
      </c>
      <c r="D215" s="427"/>
      <c r="E215" s="428"/>
      <c r="F215" s="428"/>
      <c r="G215" s="428"/>
      <c r="H215" s="428"/>
      <c r="I215" s="429">
        <f>IF(ISTEXT('BS Raw'!I11),I214-'BS Raw'!I15/Input!$B$1,"Chưa có BCTC")</f>
        <v>-1.1368683772161603E-13</v>
      </c>
      <c r="J215" s="429">
        <f>IF(ISTEXT('BS Raw'!J11),J214-'BS Raw'!J15/Input!$B$1,"Chưa có BCTC")</f>
        <v>1.1368683772161603E-13</v>
      </c>
      <c r="K215" s="429">
        <f>IF(ISTEXT('BS Raw'!K11),K214-'BS Raw'!K15/Input!$B$1,"Chưa có BCTC")</f>
        <v>0</v>
      </c>
      <c r="L215" s="429">
        <f>IF(ISTEXT('BS Raw'!L11),L214-'BS Raw'!L15/Input!$B$1,"Chưa có BCTC")</f>
        <v>0</v>
      </c>
      <c r="M215" s="429">
        <f>IF(ISTEXT('BS Raw'!M11),M214-'BS Raw'!M15/Input!$B$1,"Chưa có BCTC")</f>
        <v>1.1368683772161603E-13</v>
      </c>
      <c r="N215" s="429">
        <f>IF(ISTEXT('BS Raw'!N11),N214-'BS Raw'!N15/Input!$B$1,"Chưa có BCTC")</f>
        <v>0</v>
      </c>
      <c r="O215" s="429">
        <f>IF(ISTEXT('BS Raw'!O11),O214-'BS Raw'!O15/Input!$B$1,"Chưa có BCTC")</f>
        <v>0</v>
      </c>
      <c r="P215" s="786">
        <f>IF(ISTEXT('BS Raw'!P11),P214-'BS Raw'!P15/Input!$B$1,"Chưa có BCTC")</f>
        <v>-1.1368683772161603E-13</v>
      </c>
      <c r="Q215" s="429" t="str">
        <f>IF(ISTEXT('BS Raw'!Q11),Q214-'BS Raw'!Q15/Input!$B$1,"Chưa có BCTC")</f>
        <v>Chưa có BCTC</v>
      </c>
      <c r="R215" s="429" t="str">
        <f>IF(ISTEXT('BS Raw'!R11),R214-'BS Raw'!R15/Input!$B$1,"Chưa có BCTC")</f>
        <v>Chưa có BCTC</v>
      </c>
      <c r="S215" s="429" t="str">
        <f>IF(ISTEXT('BS Raw'!S11),S214-'BS Raw'!S15/Input!$B$1,"Chưa có BCTC")</f>
        <v>Chưa có BCTC</v>
      </c>
      <c r="T215" s="429" t="str">
        <f>IF(ISTEXT('BS Raw'!T11),T214-'BS Raw'!T15/Input!$B$1,"Chưa có BCTC")</f>
        <v>Chưa có BCTC</v>
      </c>
      <c r="U215" s="429" t="str">
        <f>IF(ISTEXT('BS Raw'!U11),U214-'BS Raw'!U15/Input!$B$1,"Chưa có BCTC")</f>
        <v>Chưa có BCTC</v>
      </c>
      <c r="V215" s="429" t="str">
        <f>IF(ISTEXT('BS Raw'!V11),V214-'BS Raw'!V15/Input!$B$1,"Chưa có BCTC")</f>
        <v>Chưa có BCTC</v>
      </c>
      <c r="W215" s="429" t="str">
        <f>IF(ISTEXT('BS Raw'!W11),W214-'BS Raw'!W15/Input!$B$1,"Chưa có BCTC")</f>
        <v>Chưa có BCTC</v>
      </c>
      <c r="X215" s="429" t="str">
        <f>IF(ISTEXT('BS Raw'!X11),X214-'BS Raw'!X15/Input!$B$1,"Chưa có BCTC")</f>
        <v>Chưa có BCTC</v>
      </c>
      <c r="Y215" s="429" t="str">
        <f>IF(ISTEXT('BS Raw'!Y11),Y214-'BS Raw'!Y15/Input!$B$1,"Chưa có BCTC")</f>
        <v>Chưa có BCTC</v>
      </c>
      <c r="Z215" s="429" t="str">
        <f>IF(ISTEXT('BS Raw'!Z11),Z214-'BS Raw'!Z15/Input!$B$1,"Chưa có BCTC")</f>
        <v>Chưa có BCTC</v>
      </c>
      <c r="AA215" s="428"/>
      <c r="AB215" s="428"/>
      <c r="AC215" s="428"/>
      <c r="AD215" s="428"/>
      <c r="AE215" s="428"/>
      <c r="AF215" s="428"/>
      <c r="AG215" s="428"/>
      <c r="AH215" s="428"/>
      <c r="AI215" s="428"/>
      <c r="AJ215" s="428"/>
      <c r="AK215" s="428"/>
      <c r="AL215" s="428"/>
      <c r="AM215" s="428"/>
      <c r="AN215" s="428"/>
      <c r="AO215" s="428"/>
      <c r="AP215" s="428"/>
      <c r="AQ215" s="428"/>
      <c r="AR215" s="428"/>
      <c r="AS215" s="428"/>
      <c r="AT215" s="428"/>
      <c r="AU215" s="428"/>
      <c r="AV215" s="428"/>
      <c r="AW215" s="428"/>
      <c r="AX215" s="428"/>
      <c r="AY215" s="428"/>
      <c r="AZ215" s="428"/>
      <c r="BA215" s="428"/>
      <c r="BB215" s="427"/>
      <c r="BC215" s="430"/>
      <c r="BD215" s="427"/>
      <c r="BE215" s="427"/>
    </row>
    <row r="216" spans="1:57" x14ac:dyDescent="0.25">
      <c r="A216" s="64"/>
      <c r="D216" s="112"/>
      <c r="E216" s="113"/>
      <c r="F216" s="113"/>
      <c r="G216" s="113"/>
      <c r="H216" s="113"/>
      <c r="I216" s="113"/>
      <c r="J216" s="113"/>
      <c r="K216" s="113"/>
      <c r="L216" s="113"/>
      <c r="M216" s="113"/>
      <c r="N216" s="113"/>
      <c r="O216" s="113"/>
      <c r="P216" s="299"/>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c r="AO216" s="113"/>
      <c r="AP216" s="113"/>
      <c r="AQ216" s="113"/>
      <c r="AR216" s="113"/>
      <c r="AS216" s="113"/>
      <c r="AT216" s="113"/>
      <c r="AU216" s="113"/>
      <c r="AV216" s="113"/>
      <c r="AW216" s="113"/>
      <c r="AX216" s="113"/>
      <c r="AY216" s="113"/>
      <c r="AZ216" s="113"/>
      <c r="BA216" s="113"/>
      <c r="BB216" s="113"/>
      <c r="BD216" s="112"/>
      <c r="BE216" s="112"/>
    </row>
    <row r="217" spans="1:57" ht="13.5" customHeight="1" x14ac:dyDescent="0.25">
      <c r="A217" s="64">
        <v>7</v>
      </c>
      <c r="B217" s="29" t="s">
        <v>560</v>
      </c>
      <c r="D217" s="112"/>
      <c r="E217" s="66"/>
      <c r="F217" s="66"/>
      <c r="G217" s="66"/>
      <c r="H217" s="66"/>
      <c r="I217" s="220">
        <f>'BS Raw'!I42/$B$1</f>
        <v>3.6021565500000001</v>
      </c>
      <c r="J217" s="220">
        <f>'BS Raw'!J42/$B$1</f>
        <v>0</v>
      </c>
      <c r="K217" s="220">
        <f>'BS Raw'!K42/$B$1</f>
        <v>0</v>
      </c>
      <c r="L217" s="220">
        <f>'BS Raw'!L42/$B$1</f>
        <v>0</v>
      </c>
      <c r="M217" s="220">
        <f>'BS Raw'!M42/$B$1</f>
        <v>0</v>
      </c>
      <c r="N217" s="220">
        <f>'BS Raw'!N42/$B$1</f>
        <v>0</v>
      </c>
      <c r="O217" s="220">
        <f>'BS Raw'!O42/$B$1</f>
        <v>0</v>
      </c>
      <c r="P217" s="1789">
        <f>'BS Raw'!P42/$B$1</f>
        <v>0</v>
      </c>
      <c r="Q217" s="120">
        <f>Q218*Q5</f>
        <v>0</v>
      </c>
      <c r="R217" s="120">
        <f t="shared" ref="R217:Z217" si="167">R218*R5</f>
        <v>0</v>
      </c>
      <c r="S217" s="120">
        <f t="shared" si="167"/>
        <v>0</v>
      </c>
      <c r="T217" s="120">
        <f t="shared" si="167"/>
        <v>0</v>
      </c>
      <c r="U217" s="120">
        <f t="shared" si="167"/>
        <v>0</v>
      </c>
      <c r="V217" s="120">
        <f t="shared" si="167"/>
        <v>0</v>
      </c>
      <c r="W217" s="120">
        <f t="shared" si="167"/>
        <v>0</v>
      </c>
      <c r="X217" s="120">
        <f t="shared" si="167"/>
        <v>0</v>
      </c>
      <c r="Y217" s="120">
        <f t="shared" si="167"/>
        <v>0</v>
      </c>
      <c r="Z217" s="120">
        <f t="shared" si="167"/>
        <v>0</v>
      </c>
      <c r="AA217" s="120"/>
      <c r="AB217" s="121"/>
      <c r="AC217" s="121"/>
      <c r="AD217" s="121"/>
      <c r="AE217" s="121"/>
      <c r="AF217" s="121"/>
      <c r="AG217" s="121"/>
      <c r="AH217" s="121"/>
      <c r="AI217" s="121"/>
      <c r="AJ217" s="121"/>
      <c r="AK217" s="121"/>
      <c r="AL217" s="121"/>
      <c r="AM217" s="121"/>
      <c r="AN217" s="121"/>
      <c r="AO217" s="121"/>
      <c r="AP217" s="121"/>
      <c r="AQ217" s="121"/>
      <c r="AR217" s="121"/>
      <c r="AS217" s="121"/>
      <c r="AT217" s="121"/>
      <c r="AU217" s="121"/>
      <c r="AV217" s="121"/>
      <c r="AW217" s="121"/>
      <c r="AX217" s="121"/>
      <c r="AY217" s="121"/>
      <c r="AZ217" s="121"/>
      <c r="BA217" s="121"/>
      <c r="BB217" s="230"/>
      <c r="BC217" s="123"/>
      <c r="BD217" s="112"/>
      <c r="BE217" s="112"/>
    </row>
    <row r="218" spans="1:57" s="180" customFormat="1" x14ac:dyDescent="0.25">
      <c r="A218" s="189"/>
      <c r="B218" s="175" t="s">
        <v>404</v>
      </c>
      <c r="C218" s="175"/>
      <c r="I218" s="259">
        <f>IFERROR(I220/I7," ")</f>
        <v>1.4691410554009184E-3</v>
      </c>
      <c r="J218" s="259">
        <f>IFERROR(J220/J7," ")</f>
        <v>0</v>
      </c>
      <c r="K218" s="259">
        <f t="shared" ref="K218:P218" si="168">IFERROR(K220/K7," ")</f>
        <v>0</v>
      </c>
      <c r="L218" s="259">
        <f t="shared" si="168"/>
        <v>0</v>
      </c>
      <c r="M218" s="259">
        <f t="shared" si="168"/>
        <v>0</v>
      </c>
      <c r="N218" s="259">
        <f t="shared" si="168"/>
        <v>0</v>
      </c>
      <c r="O218" s="259">
        <f t="shared" si="168"/>
        <v>0</v>
      </c>
      <c r="P218" s="1244">
        <f t="shared" si="168"/>
        <v>0</v>
      </c>
      <c r="Q218" s="260">
        <f>P218</f>
        <v>0</v>
      </c>
      <c r="R218" s="260">
        <f t="shared" ref="R218:Z218" si="169">Q218</f>
        <v>0</v>
      </c>
      <c r="S218" s="260">
        <f t="shared" si="169"/>
        <v>0</v>
      </c>
      <c r="T218" s="260">
        <f t="shared" si="169"/>
        <v>0</v>
      </c>
      <c r="U218" s="260">
        <f t="shared" si="169"/>
        <v>0</v>
      </c>
      <c r="V218" s="260">
        <f t="shared" si="169"/>
        <v>0</v>
      </c>
      <c r="W218" s="260">
        <f t="shared" si="169"/>
        <v>0</v>
      </c>
      <c r="X218" s="260">
        <f t="shared" si="169"/>
        <v>0</v>
      </c>
      <c r="Y218" s="260">
        <f t="shared" si="169"/>
        <v>0</v>
      </c>
      <c r="Z218" s="260">
        <f t="shared" si="169"/>
        <v>0</v>
      </c>
      <c r="AA218" s="260"/>
      <c r="AB218" s="324"/>
      <c r="AC218" s="324"/>
      <c r="AD218" s="324"/>
      <c r="AE218" s="324"/>
      <c r="AF218" s="324"/>
      <c r="AG218" s="324"/>
      <c r="AH218" s="324"/>
      <c r="AI218" s="324"/>
      <c r="AJ218" s="324"/>
      <c r="AK218" s="324"/>
      <c r="AL218" s="324"/>
      <c r="AM218" s="324"/>
      <c r="AN218" s="324"/>
      <c r="AO218" s="324"/>
      <c r="AP218" s="324"/>
      <c r="AQ218" s="324"/>
      <c r="AR218" s="324"/>
      <c r="AS218" s="324"/>
      <c r="AT218" s="324"/>
      <c r="AU218" s="324"/>
      <c r="AV218" s="324"/>
      <c r="AW218" s="324"/>
      <c r="AX218" s="324"/>
      <c r="AY218" s="324"/>
      <c r="AZ218" s="324"/>
      <c r="BA218" s="324"/>
      <c r="BB218" s="198"/>
      <c r="BC218" s="146"/>
    </row>
    <row r="219" spans="1:57" s="432" customFormat="1" x14ac:dyDescent="0.25">
      <c r="A219" s="431"/>
      <c r="B219" s="175" t="s">
        <v>512</v>
      </c>
      <c r="C219" s="175"/>
      <c r="M219" s="433"/>
      <c r="N219" s="434"/>
      <c r="O219" s="434"/>
      <c r="P219" s="435"/>
      <c r="Q219" s="436"/>
      <c r="R219" s="436"/>
      <c r="S219" s="436"/>
      <c r="T219" s="436"/>
      <c r="U219" s="436"/>
      <c r="V219" s="436"/>
      <c r="W219" s="436"/>
      <c r="X219" s="436"/>
      <c r="Y219" s="436"/>
      <c r="Z219" s="436"/>
      <c r="AA219" s="436"/>
      <c r="AB219" s="436"/>
      <c r="AC219" s="436"/>
      <c r="AD219" s="436"/>
      <c r="AE219" s="436"/>
      <c r="AF219" s="436"/>
      <c r="AG219" s="436"/>
      <c r="AH219" s="436"/>
      <c r="AI219" s="436"/>
      <c r="AJ219" s="436"/>
      <c r="AK219" s="436"/>
      <c r="AL219" s="436"/>
      <c r="AM219" s="436"/>
      <c r="AN219" s="436"/>
      <c r="AO219" s="436"/>
      <c r="AP219" s="436"/>
      <c r="AQ219" s="436"/>
      <c r="AR219" s="436"/>
      <c r="AS219" s="436"/>
      <c r="AT219" s="436"/>
      <c r="AU219" s="436"/>
      <c r="AV219" s="436"/>
      <c r="AW219" s="436"/>
      <c r="AX219" s="436"/>
      <c r="AY219" s="436"/>
      <c r="AZ219" s="436"/>
      <c r="BA219" s="436"/>
      <c r="BB219" s="434"/>
      <c r="BC219" s="146"/>
    </row>
    <row r="220" spans="1:57" s="117" customFormat="1" x14ac:dyDescent="0.25">
      <c r="A220" s="132"/>
      <c r="B220" s="133" t="s">
        <v>560</v>
      </c>
      <c r="C220" s="133"/>
      <c r="D220" s="134"/>
      <c r="E220" s="166"/>
      <c r="F220" s="166"/>
      <c r="G220" s="166"/>
      <c r="H220" s="166"/>
      <c r="I220" s="167">
        <f>IF(ISTEXT('BS Raw'!I11),'BS Raw'!I42/$B$1,Input!I217)</f>
        <v>3.6021565500000001</v>
      </c>
      <c r="J220" s="167">
        <f>IF(ISTEXT('BS Raw'!J11),'BS Raw'!J42/$B$1,Input!J217)</f>
        <v>0</v>
      </c>
      <c r="K220" s="167">
        <f>IF(ISTEXT('BS Raw'!K11),'BS Raw'!K42/$B$1,Input!K217)</f>
        <v>0</v>
      </c>
      <c r="L220" s="167">
        <f>IF(ISTEXT('BS Raw'!L11),'BS Raw'!L42/$B$1,Input!L217)</f>
        <v>0</v>
      </c>
      <c r="M220" s="167">
        <f>IF(ISTEXT('BS Raw'!M11),'BS Raw'!M42/$B$1,Input!M217)</f>
        <v>0</v>
      </c>
      <c r="N220" s="167">
        <f>IF(ISTEXT('BS Raw'!N11),'BS Raw'!N42/$B$1,Input!N217)</f>
        <v>0</v>
      </c>
      <c r="O220" s="167">
        <f>IF(ISTEXT('BS Raw'!O11),'BS Raw'!O42/$B$1,Input!O217)</f>
        <v>0</v>
      </c>
      <c r="P220" s="743">
        <f>IF(ISTEXT('BS Raw'!P11),'BS Raw'!P42/$B$1,Input!P217)</f>
        <v>0</v>
      </c>
      <c r="Q220" s="168">
        <f>IF(ISTEXT('BS Raw'!Q11),'BS Raw'!Q42/$B$1,Input!Q217)</f>
        <v>0</v>
      </c>
      <c r="R220" s="168">
        <f>IF(ISTEXT('BS Raw'!R11),'BS Raw'!R42/$B$1,Input!R217)</f>
        <v>0</v>
      </c>
      <c r="S220" s="168">
        <f>IF(ISTEXT('BS Raw'!S11),'BS Raw'!S42/$B$1,Input!S217)</f>
        <v>0</v>
      </c>
      <c r="T220" s="168">
        <f>IF(ISTEXT('BS Raw'!T11),'BS Raw'!T42/$B$1,Input!T217)</f>
        <v>0</v>
      </c>
      <c r="U220" s="168">
        <f>IF(ISTEXT('BS Raw'!U11),'BS Raw'!U42/$B$1,Input!U217)</f>
        <v>0</v>
      </c>
      <c r="V220" s="168">
        <f>IF(ISTEXT('BS Raw'!V11),'BS Raw'!V42/$B$1,Input!V217)</f>
        <v>0</v>
      </c>
      <c r="W220" s="168">
        <f>IF(ISTEXT('BS Raw'!W11),'BS Raw'!W42/$B$1,Input!W217)</f>
        <v>0</v>
      </c>
      <c r="X220" s="168">
        <f>IF(ISTEXT('BS Raw'!X11),'BS Raw'!X42/$B$1,Input!X217)</f>
        <v>0</v>
      </c>
      <c r="Y220" s="168">
        <f>IF(ISTEXT('BS Raw'!Y11),'BS Raw'!Y42/$B$1,Input!Y217)</f>
        <v>0</v>
      </c>
      <c r="Z220" s="168">
        <f>IF(ISTEXT('BS Raw'!Z11),'BS Raw'!Z42/$B$1,Input!Z217)</f>
        <v>0</v>
      </c>
      <c r="AA220" s="168"/>
      <c r="AB220" s="169"/>
      <c r="AC220" s="169"/>
      <c r="AD220" s="169"/>
      <c r="AE220" s="169"/>
      <c r="AF220" s="169"/>
      <c r="AG220" s="169"/>
      <c r="AH220" s="169"/>
      <c r="AI220" s="169"/>
      <c r="AJ220" s="169"/>
      <c r="AK220" s="169"/>
      <c r="AL220" s="169"/>
      <c r="AM220" s="169"/>
      <c r="AN220" s="169"/>
      <c r="AO220" s="169"/>
      <c r="AP220" s="169"/>
      <c r="AQ220" s="169"/>
      <c r="AR220" s="169"/>
      <c r="AS220" s="169"/>
      <c r="AT220" s="169"/>
      <c r="AU220" s="169"/>
      <c r="AV220" s="169"/>
      <c r="AW220" s="169"/>
      <c r="AX220" s="169"/>
      <c r="AY220" s="169"/>
      <c r="AZ220" s="169"/>
      <c r="BA220" s="169"/>
      <c r="BB220" s="139"/>
      <c r="BC220" s="424"/>
    </row>
    <row r="221" spans="1:57" x14ac:dyDescent="0.25">
      <c r="A221" s="64"/>
      <c r="D221" s="112"/>
      <c r="E221" s="170"/>
      <c r="F221" s="170"/>
      <c r="G221" s="170"/>
      <c r="H221" s="170"/>
      <c r="I221" s="170"/>
      <c r="J221" s="170"/>
      <c r="K221" s="170"/>
      <c r="L221" s="170"/>
      <c r="M221" s="170"/>
      <c r="N221" s="170"/>
      <c r="O221" s="170"/>
      <c r="P221" s="171"/>
      <c r="Q221" s="170"/>
      <c r="R221" s="170"/>
      <c r="S221" s="170"/>
      <c r="T221" s="170"/>
      <c r="U221" s="170"/>
      <c r="V221" s="170"/>
      <c r="W221" s="170"/>
      <c r="X221" s="170"/>
      <c r="Y221" s="170"/>
      <c r="Z221" s="170"/>
      <c r="AA221" s="170"/>
      <c r="AB221" s="170"/>
      <c r="AC221" s="170"/>
      <c r="AD221" s="170"/>
      <c r="AE221" s="170"/>
      <c r="AF221" s="170"/>
      <c r="AG221" s="170"/>
      <c r="AH221" s="170"/>
      <c r="AI221" s="170"/>
      <c r="AJ221" s="170"/>
      <c r="AK221" s="170"/>
      <c r="AL221" s="170"/>
      <c r="AM221" s="170"/>
      <c r="AN221" s="170"/>
      <c r="AO221" s="170"/>
      <c r="AP221" s="170"/>
      <c r="AQ221" s="170"/>
      <c r="AR221" s="170"/>
      <c r="AS221" s="170"/>
      <c r="AT221" s="170"/>
      <c r="AU221" s="170"/>
      <c r="AV221" s="170"/>
      <c r="AW221" s="170"/>
      <c r="AX221" s="170"/>
      <c r="AY221" s="170"/>
      <c r="AZ221" s="170"/>
      <c r="BA221" s="170"/>
      <c r="BB221" s="113"/>
      <c r="BD221" s="112"/>
      <c r="BE221" s="112"/>
    </row>
    <row r="222" spans="1:57" s="124" customFormat="1" x14ac:dyDescent="0.25">
      <c r="A222" s="115">
        <v>8</v>
      </c>
      <c r="B222" s="116" t="s">
        <v>561</v>
      </c>
      <c r="C222" s="116"/>
      <c r="E222" s="118"/>
      <c r="F222" s="118"/>
      <c r="G222" s="118"/>
      <c r="H222" s="118"/>
      <c r="I222" s="119">
        <f>'BS Raw'!I51/$B$1</f>
        <v>282.51646337599999</v>
      </c>
      <c r="J222" s="119">
        <f>'BS Raw'!J51/$B$1</f>
        <v>125.594233461</v>
      </c>
      <c r="K222" s="119">
        <f>'BS Raw'!K51/$B$1</f>
        <v>182.48230903199999</v>
      </c>
      <c r="L222" s="119">
        <f>'BS Raw'!L51/$B$1</f>
        <v>194.57393710100001</v>
      </c>
      <c r="M222" s="119">
        <f>'BS Raw'!M51/$B$1</f>
        <v>167.89683991199999</v>
      </c>
      <c r="N222" s="119">
        <f>'BS Raw'!N51/$B$1</f>
        <v>180.25860729600001</v>
      </c>
      <c r="O222" s="119">
        <f>'BS Raw'!O51/$B$1</f>
        <v>186.89107758700001</v>
      </c>
      <c r="P222" s="671">
        <f>'BS Raw'!P51/$B$1</f>
        <v>186.673965065</v>
      </c>
      <c r="Q222" s="120">
        <f>'LT. Asset'!Q41</f>
        <v>485.92606025099178</v>
      </c>
      <c r="R222" s="120">
        <f>'LT. Asset'!R41</f>
        <v>668.83970554198891</v>
      </c>
      <c r="S222" s="120">
        <f>'LT. Asset'!S41</f>
        <v>601.97647248121837</v>
      </c>
      <c r="T222" s="120">
        <f>'LT. Asset'!T41</f>
        <v>585.25042115631379</v>
      </c>
      <c r="U222" s="120">
        <f>'LT. Asset'!U41</f>
        <v>572.00304492844487</v>
      </c>
      <c r="V222" s="120">
        <f>'LT. Asset'!V41</f>
        <v>556.18033294453448</v>
      </c>
      <c r="W222" s="120">
        <f>'LT. Asset'!W41</f>
        <v>538.8206111294719</v>
      </c>
      <c r="X222" s="120">
        <f>'LT. Asset'!X41</f>
        <v>500.60122966151357</v>
      </c>
      <c r="Y222" s="120">
        <f>'LT. Asset'!Y41</f>
        <v>457.28720100496798</v>
      </c>
      <c r="Z222" s="120">
        <f>'LT. Asset'!Z41</f>
        <v>408.8170617873343</v>
      </c>
      <c r="AA222" s="120"/>
      <c r="AB222" s="121"/>
      <c r="AC222" s="121"/>
      <c r="AD222" s="121"/>
      <c r="AE222" s="121"/>
      <c r="AF222" s="121"/>
      <c r="AG222" s="121"/>
      <c r="AH222" s="121"/>
      <c r="AI222" s="121"/>
      <c r="AJ222" s="121"/>
      <c r="AK222" s="121"/>
      <c r="AL222" s="121"/>
      <c r="AM222" s="121"/>
      <c r="AN222" s="121"/>
      <c r="AO222" s="121"/>
      <c r="AP222" s="121"/>
      <c r="AQ222" s="121"/>
      <c r="AR222" s="121"/>
      <c r="AS222" s="121"/>
      <c r="AT222" s="121"/>
      <c r="AU222" s="121"/>
      <c r="AV222" s="121"/>
      <c r="AW222" s="121"/>
      <c r="AX222" s="121"/>
      <c r="AY222" s="121"/>
      <c r="AZ222" s="121"/>
      <c r="BA222" s="121"/>
      <c r="BB222" s="122"/>
      <c r="BC222" s="123"/>
    </row>
    <row r="223" spans="1:57" x14ac:dyDescent="0.25">
      <c r="A223" s="64"/>
      <c r="B223" s="147" t="s">
        <v>562</v>
      </c>
      <c r="C223" s="147"/>
      <c r="D223" s="112"/>
      <c r="E223" s="66"/>
      <c r="F223" s="66"/>
      <c r="G223" s="66"/>
      <c r="H223" s="66"/>
      <c r="I223" s="66"/>
      <c r="J223" s="66"/>
      <c r="K223" s="66"/>
      <c r="L223" s="66"/>
      <c r="M223" s="66"/>
      <c r="N223" s="157"/>
      <c r="O223" s="157"/>
      <c r="P223" s="300"/>
      <c r="Q223" s="120">
        <f>'LT. Asset'!Q24+'LT. Asset'!Q25</f>
        <v>397.94205948665763</v>
      </c>
      <c r="R223" s="120">
        <f>'LT. Asset'!R24+'LT. Asset'!R25</f>
        <v>312.89170222851436</v>
      </c>
      <c r="S223" s="120">
        <f>'LT. Asset'!S24+'LT. Asset'!S25</f>
        <v>70.127582085273986</v>
      </c>
      <c r="T223" s="120">
        <f>'LT. Asset'!T24+'LT. Asset'!T25</f>
        <v>79.287698040155476</v>
      </c>
      <c r="U223" s="120">
        <f>'LT. Asset'!U24+'LT. Asset'!U25</f>
        <v>80.863919951323581</v>
      </c>
      <c r="V223" s="120">
        <f>'LT. Asset'!V24+'LT. Asset'!V25</f>
        <v>86.987315772535766</v>
      </c>
      <c r="W223" s="120">
        <f>'LT. Asset'!W24+'LT. Asset'!W25</f>
        <v>94.944784379314981</v>
      </c>
      <c r="X223" s="120">
        <f>'LT. Asset'!X24+'LT. Asset'!X25</f>
        <v>82.316805251576881</v>
      </c>
      <c r="Y223" s="120">
        <f>'LT. Asset'!Y24+'LT. Asset'!Y25</f>
        <v>85.802397847766358</v>
      </c>
      <c r="Z223" s="120">
        <f>'LT. Asset'!Z24+'LT. Asset'!Z25</f>
        <v>89.606985874086902</v>
      </c>
      <c r="AA223" s="120"/>
      <c r="AB223" s="121"/>
      <c r="AC223" s="121"/>
      <c r="AD223" s="121"/>
      <c r="AE223" s="121"/>
      <c r="AF223" s="121"/>
      <c r="AG223" s="121"/>
      <c r="AH223" s="121"/>
      <c r="AI223" s="121"/>
      <c r="AJ223" s="121"/>
      <c r="AK223" s="121"/>
      <c r="AL223" s="121"/>
      <c r="AM223" s="121"/>
      <c r="AN223" s="121"/>
      <c r="AO223" s="121"/>
      <c r="AP223" s="121"/>
      <c r="AQ223" s="121"/>
      <c r="AR223" s="121"/>
      <c r="AS223" s="121"/>
      <c r="AT223" s="121"/>
      <c r="AU223" s="121"/>
      <c r="AV223" s="121"/>
      <c r="AW223" s="121"/>
      <c r="AX223" s="121"/>
      <c r="AY223" s="121"/>
      <c r="AZ223" s="121"/>
      <c r="BA223" s="121"/>
      <c r="BB223" s="230"/>
      <c r="BC223" s="123"/>
      <c r="BD223" s="112"/>
      <c r="BE223" s="112"/>
    </row>
    <row r="224" spans="1:57" s="72" customFormat="1" x14ac:dyDescent="0.25">
      <c r="A224" s="383"/>
      <c r="B224" s="384" t="s">
        <v>404</v>
      </c>
      <c r="C224" s="384"/>
      <c r="E224" s="437"/>
      <c r="F224" s="437"/>
      <c r="G224" s="437"/>
      <c r="H224" s="437"/>
      <c r="I224" s="437">
        <f>IF(I$7,I223/I$7,0)</f>
        <v>0</v>
      </c>
      <c r="J224" s="437">
        <f>IF(J$7,J223/J$7,0)</f>
        <v>0</v>
      </c>
      <c r="K224" s="437">
        <f t="shared" ref="K224:P224" si="170">IF(K$7,K223/K$7,0)</f>
        <v>0</v>
      </c>
      <c r="L224" s="437">
        <f t="shared" si="170"/>
        <v>0</v>
      </c>
      <c r="M224" s="437">
        <f t="shared" si="170"/>
        <v>0</v>
      </c>
      <c r="N224" s="437">
        <f t="shared" si="170"/>
        <v>0</v>
      </c>
      <c r="O224" s="437">
        <f t="shared" si="170"/>
        <v>0</v>
      </c>
      <c r="P224" s="1811">
        <f t="shared" si="170"/>
        <v>0</v>
      </c>
      <c r="Q224" s="438">
        <f>IF(Q$7,Q223/Q$7,0)</f>
        <v>0.23763066395980223</v>
      </c>
      <c r="R224" s="438">
        <f t="shared" ref="R224:Z224" si="171">IF(R$7,R223/R$7,0)</f>
        <v>0.1790957956375672</v>
      </c>
      <c r="S224" s="438">
        <f t="shared" si="171"/>
        <v>3.1794116997187878E-2</v>
      </c>
      <c r="T224" s="438">
        <f t="shared" si="171"/>
        <v>3.370126385568973E-2</v>
      </c>
      <c r="U224" s="438">
        <f t="shared" si="171"/>
        <v>3.2342863827869335E-2</v>
      </c>
      <c r="V224" s="438">
        <f t="shared" si="171"/>
        <v>3.3176758516853005E-2</v>
      </c>
      <c r="W224" s="438">
        <f t="shared" si="171"/>
        <v>3.4228881631171229E-2</v>
      </c>
      <c r="X224" s="438">
        <f t="shared" si="171"/>
        <v>2.8572723068640914E-2</v>
      </c>
      <c r="Y224" s="438">
        <f t="shared" si="171"/>
        <v>2.8630021726454229E-2</v>
      </c>
      <c r="Z224" s="438">
        <f t="shared" si="171"/>
        <v>2.8695962382127058E-2</v>
      </c>
      <c r="AA224" s="438"/>
      <c r="AB224" s="439"/>
      <c r="AC224" s="439"/>
      <c r="AD224" s="439"/>
      <c r="AE224" s="439"/>
      <c r="AF224" s="439"/>
      <c r="AG224" s="439"/>
      <c r="AH224" s="439"/>
      <c r="AI224" s="439"/>
      <c r="AJ224" s="439"/>
      <c r="AK224" s="439"/>
      <c r="AL224" s="439"/>
      <c r="AM224" s="439"/>
      <c r="AN224" s="439"/>
      <c r="AO224" s="439"/>
      <c r="AP224" s="439"/>
      <c r="AQ224" s="439"/>
      <c r="AR224" s="439"/>
      <c r="AS224" s="439"/>
      <c r="AT224" s="439"/>
      <c r="AU224" s="439"/>
      <c r="AV224" s="439"/>
      <c r="AW224" s="439"/>
      <c r="AX224" s="439"/>
      <c r="AY224" s="439"/>
      <c r="AZ224" s="439"/>
      <c r="BA224" s="439"/>
      <c r="BC224" s="404"/>
    </row>
    <row r="225" spans="1:57" x14ac:dyDescent="0.25">
      <c r="A225" s="64"/>
      <c r="B225" s="147" t="s">
        <v>563</v>
      </c>
      <c r="C225" s="147"/>
      <c r="D225" s="112"/>
      <c r="E225" s="66"/>
      <c r="F225" s="66"/>
      <c r="G225" s="66"/>
      <c r="H225" s="66"/>
      <c r="I225" s="66"/>
      <c r="J225" s="66"/>
      <c r="K225" s="66"/>
      <c r="L225" s="66"/>
      <c r="M225" s="66"/>
      <c r="N225" s="66"/>
      <c r="O225" s="66"/>
      <c r="P225" s="303"/>
      <c r="Q225" s="207">
        <f>'LT. Asset'!Q35+'LT. Asset'!Q36</f>
        <v>98.688886714665756</v>
      </c>
      <c r="R225" s="207">
        <f>'LT. Asset'!R35+'LT. Asset'!R36</f>
        <v>129.97805693751718</v>
      </c>
      <c r="S225" s="207">
        <f>'LT. Asset'!S35+'LT. Asset'!S36</f>
        <v>136.99081514604458</v>
      </c>
      <c r="T225" s="207">
        <f>'LT. Asset'!T35+'LT. Asset'!T36</f>
        <v>96.013749365060036</v>
      </c>
      <c r="U225" s="207">
        <f>'LT. Asset'!U35+'LT. Asset'!U36</f>
        <v>94.111296179192507</v>
      </c>
      <c r="V225" s="207">
        <f>'LT. Asset'!V35+'LT. Asset'!V36</f>
        <v>102.81002775644609</v>
      </c>
      <c r="W225" s="207">
        <f>'LT. Asset'!W35+'LT. Asset'!W36</f>
        <v>112.30450619437758</v>
      </c>
      <c r="X225" s="207">
        <f>'LT. Asset'!X35+'LT. Asset'!X36</f>
        <v>120.53618671953527</v>
      </c>
      <c r="Y225" s="207">
        <f>'LT. Asset'!Y35+'LT. Asset'!Y36</f>
        <v>129.1164265043119</v>
      </c>
      <c r="Z225" s="207">
        <f>'LT. Asset'!Z35+'LT. Asset'!Z36</f>
        <v>138.0771250917206</v>
      </c>
      <c r="AA225" s="207"/>
      <c r="AB225" s="208"/>
      <c r="AC225" s="208"/>
      <c r="AD225" s="208"/>
      <c r="AE225" s="208"/>
      <c r="AF225" s="208"/>
      <c r="AG225" s="208"/>
      <c r="AH225" s="208"/>
      <c r="AI225" s="208"/>
      <c r="AJ225" s="208"/>
      <c r="AK225" s="208"/>
      <c r="AL225" s="208"/>
      <c r="AM225" s="208"/>
      <c r="AN225" s="208"/>
      <c r="AO225" s="208"/>
      <c r="AP225" s="208"/>
      <c r="AQ225" s="208"/>
      <c r="AR225" s="208"/>
      <c r="AS225" s="208"/>
      <c r="AT225" s="208"/>
      <c r="AU225" s="208"/>
      <c r="AV225" s="208"/>
      <c r="AW225" s="208"/>
      <c r="AX225" s="208"/>
      <c r="AY225" s="208"/>
      <c r="AZ225" s="208"/>
      <c r="BA225" s="208"/>
      <c r="BB225" s="113"/>
      <c r="BD225" s="112"/>
      <c r="BE225" s="112"/>
    </row>
    <row r="226" spans="1:57" s="117" customFormat="1" x14ac:dyDescent="0.25">
      <c r="A226" s="132"/>
      <c r="B226" s="133" t="s">
        <v>564</v>
      </c>
      <c r="C226" s="133"/>
      <c r="D226" s="134"/>
      <c r="E226" s="166"/>
      <c r="F226" s="166"/>
      <c r="G226" s="166"/>
      <c r="H226" s="166"/>
      <c r="I226" s="167">
        <f>IF(ISTEXT('BS Raw'!I11),'BS Raw'!I51/Input!$B$1,Input!I222)</f>
        <v>282.51646337599999</v>
      </c>
      <c r="J226" s="167">
        <f>IF(ISTEXT('BS Raw'!J11),'BS Raw'!J51/Input!$B$1,Input!J222)</f>
        <v>125.594233461</v>
      </c>
      <c r="K226" s="167">
        <f>IF(ISTEXT('BS Raw'!K11),'BS Raw'!K51/Input!$B$1,Input!K222)</f>
        <v>182.48230903199999</v>
      </c>
      <c r="L226" s="167">
        <f>IF(ISTEXT('BS Raw'!L11),'BS Raw'!L51/Input!$B$1,Input!L222)</f>
        <v>194.57393710100001</v>
      </c>
      <c r="M226" s="167">
        <f>IF(ISTEXT('BS Raw'!M11),'BS Raw'!M51/Input!$B$1,Input!M222)</f>
        <v>167.89683991199999</v>
      </c>
      <c r="N226" s="167">
        <f>IF(ISTEXT('BS Raw'!N11),'BS Raw'!N51/Input!$B$1,Input!N222)</f>
        <v>180.25860729600001</v>
      </c>
      <c r="O226" s="167">
        <f>IF(ISTEXT('BS Raw'!O11),'BS Raw'!O51/Input!$B$1,Input!O222)</f>
        <v>186.89107758700001</v>
      </c>
      <c r="P226" s="743">
        <f>IF(ISTEXT('BS Raw'!P11),'BS Raw'!P51/Input!$B$1,Input!P222)</f>
        <v>186.673965065</v>
      </c>
      <c r="Q226" s="168">
        <f>IF(ISTEXT('BS Raw'!Q11),'BS Raw'!Q51/Input!$B$1,Input!Q222)</f>
        <v>485.92606025099178</v>
      </c>
      <c r="R226" s="168">
        <f>IF(ISTEXT('BS Raw'!R11),'BS Raw'!R51/Input!$B$1,Input!R222)</f>
        <v>668.83970554198891</v>
      </c>
      <c r="S226" s="168">
        <f>IF(ISTEXT('BS Raw'!S11),'BS Raw'!S51/Input!$B$1,Input!S222)</f>
        <v>601.97647248121837</v>
      </c>
      <c r="T226" s="168">
        <f>IF(ISTEXT('BS Raw'!T11),'BS Raw'!T51/Input!$B$1,Input!T222)</f>
        <v>585.25042115631379</v>
      </c>
      <c r="U226" s="168">
        <f>IF(ISTEXT('BS Raw'!U11),'BS Raw'!U51/Input!$B$1,Input!U222)</f>
        <v>572.00304492844487</v>
      </c>
      <c r="V226" s="168">
        <f>IF(ISTEXT('BS Raw'!V11),'BS Raw'!V51/Input!$B$1,Input!V222)</f>
        <v>556.18033294453448</v>
      </c>
      <c r="W226" s="168">
        <f>IF(ISTEXT('BS Raw'!W11),'BS Raw'!W51/Input!$B$1,Input!W222)</f>
        <v>538.8206111294719</v>
      </c>
      <c r="X226" s="168">
        <f>IF(ISTEXT('BS Raw'!X11),'BS Raw'!X51/Input!$B$1,Input!X222)</f>
        <v>500.60122966151357</v>
      </c>
      <c r="Y226" s="168">
        <f>IF(ISTEXT('BS Raw'!Y11),'BS Raw'!Y51/Input!$B$1,Input!Y222)</f>
        <v>457.28720100496798</v>
      </c>
      <c r="Z226" s="168">
        <f>IF(ISTEXT('BS Raw'!Z11),'BS Raw'!Z51/Input!$B$1,Input!Z222)</f>
        <v>408.8170617873343</v>
      </c>
      <c r="AA226" s="168"/>
      <c r="AB226" s="169"/>
      <c r="AC226" s="169"/>
      <c r="AD226" s="169"/>
      <c r="AE226" s="169"/>
      <c r="AF226" s="169"/>
      <c r="AG226" s="169"/>
      <c r="AH226" s="169"/>
      <c r="AI226" s="169"/>
      <c r="AJ226" s="169"/>
      <c r="AK226" s="169"/>
      <c r="AL226" s="169"/>
      <c r="AM226" s="169"/>
      <c r="AN226" s="169"/>
      <c r="AO226" s="169"/>
      <c r="AP226" s="169"/>
      <c r="AQ226" s="169"/>
      <c r="AR226" s="169"/>
      <c r="AS226" s="169"/>
      <c r="AT226" s="169"/>
      <c r="AU226" s="169"/>
      <c r="AV226" s="169"/>
      <c r="AW226" s="169"/>
      <c r="AX226" s="169"/>
      <c r="AY226" s="169"/>
      <c r="AZ226" s="169"/>
      <c r="BA226" s="169"/>
      <c r="BB226" s="139"/>
      <c r="BC226" s="140"/>
    </row>
    <row r="227" spans="1:57" x14ac:dyDescent="0.25">
      <c r="A227" s="64"/>
      <c r="B227" s="147"/>
      <c r="C227" s="147"/>
      <c r="D227" s="112"/>
      <c r="E227" s="170"/>
      <c r="F227" s="170"/>
      <c r="G227" s="170"/>
      <c r="H227" s="170"/>
      <c r="I227" s="170"/>
      <c r="J227" s="170"/>
      <c r="K227" s="170"/>
      <c r="L227" s="170"/>
      <c r="M227" s="170"/>
      <c r="N227" s="170"/>
      <c r="O227" s="170"/>
      <c r="P227" s="171"/>
      <c r="Q227" s="170"/>
      <c r="R227" s="170"/>
      <c r="S227" s="170"/>
      <c r="T227" s="170"/>
      <c r="U227" s="170"/>
      <c r="V227" s="170"/>
      <c r="W227" s="170"/>
      <c r="X227" s="170"/>
      <c r="Y227" s="170"/>
      <c r="Z227" s="170"/>
      <c r="AA227" s="170"/>
      <c r="AB227" s="170"/>
      <c r="AC227" s="170"/>
      <c r="AD227" s="170"/>
      <c r="AE227" s="170"/>
      <c r="AF227" s="170"/>
      <c r="AG227" s="170"/>
      <c r="AH227" s="170"/>
      <c r="AI227" s="170"/>
      <c r="AJ227" s="170"/>
      <c r="AK227" s="170"/>
      <c r="AL227" s="170"/>
      <c r="AM227" s="170"/>
      <c r="AN227" s="170"/>
      <c r="AO227" s="170"/>
      <c r="AP227" s="170"/>
      <c r="AQ227" s="170"/>
      <c r="AR227" s="170"/>
      <c r="AS227" s="170"/>
      <c r="AT227" s="170"/>
      <c r="AU227" s="170"/>
      <c r="AV227" s="170"/>
      <c r="AW227" s="170"/>
      <c r="AX227" s="170"/>
      <c r="AY227" s="170"/>
      <c r="AZ227" s="170"/>
      <c r="BA227" s="170"/>
      <c r="BB227" s="113"/>
      <c r="BD227" s="112"/>
      <c r="BE227" s="112"/>
    </row>
    <row r="228" spans="1:57" x14ac:dyDescent="0.25">
      <c r="A228" s="64">
        <v>9</v>
      </c>
      <c r="B228" s="29" t="s">
        <v>565</v>
      </c>
      <c r="D228" s="112"/>
      <c r="E228" s="66"/>
      <c r="F228" s="66"/>
      <c r="G228" s="66"/>
      <c r="H228" s="66"/>
      <c r="I228" s="220">
        <f>'BS Raw'!I57/$B$1</f>
        <v>8.8595820219999997</v>
      </c>
      <c r="J228" s="220">
        <f>'BS Raw'!J57/$B$1</f>
        <v>42.673317292999997</v>
      </c>
      <c r="K228" s="220">
        <f>'BS Raw'!K57/$B$1</f>
        <v>53.282406113</v>
      </c>
      <c r="L228" s="220">
        <f>'BS Raw'!L57/$B$1</f>
        <v>52.352153712000003</v>
      </c>
      <c r="M228" s="220">
        <f>'BS Raw'!M57/$B$1</f>
        <v>50.964732112999997</v>
      </c>
      <c r="N228" s="220">
        <f>'BS Raw'!N57/$B$1</f>
        <v>56.413717118999998</v>
      </c>
      <c r="O228" s="220">
        <f>'BS Raw'!O57/$B$1</f>
        <v>61.731483842000003</v>
      </c>
      <c r="P228" s="1789">
        <f>'BS Raw'!P57/$B$1</f>
        <v>60.411372448999998</v>
      </c>
      <c r="Q228" s="228">
        <f>'LT. Asset'!Q108</f>
        <v>81.448290950933796</v>
      </c>
      <c r="R228" s="228">
        <f>'LT. Asset'!R108</f>
        <v>96.751574144388812</v>
      </c>
      <c r="S228" s="228">
        <f>'LT. Asset'!S108</f>
        <v>97.244012274527918</v>
      </c>
      <c r="T228" s="228">
        <f>'LT. Asset'!T108</f>
        <v>98.140489437499582</v>
      </c>
      <c r="U228" s="228">
        <f>'LT. Asset'!U108</f>
        <v>98.724828121450685</v>
      </c>
      <c r="V228" s="228">
        <f>'LT. Asset'!V108</f>
        <v>99.515047181474415</v>
      </c>
      <c r="W228" s="228">
        <f>'LT. Asset'!W108</f>
        <v>100.60700538177393</v>
      </c>
      <c r="X228" s="228">
        <f>'LT. Asset'!X108</f>
        <v>100.77989720398247</v>
      </c>
      <c r="Y228" s="228">
        <f>'LT. Asset'!Y108</f>
        <v>101.00141777118925</v>
      </c>
      <c r="Z228" s="228">
        <f>'LT. Asset'!Z108</f>
        <v>101.28366593084871</v>
      </c>
      <c r="AA228" s="228"/>
      <c r="AB228" s="224"/>
      <c r="AC228" s="224"/>
      <c r="AD228" s="224"/>
      <c r="AE228" s="224"/>
      <c r="AF228" s="224"/>
      <c r="AG228" s="224"/>
      <c r="AH228" s="224"/>
      <c r="AI228" s="224"/>
      <c r="AJ228" s="224"/>
      <c r="AK228" s="224"/>
      <c r="AL228" s="224"/>
      <c r="AM228" s="224"/>
      <c r="AN228" s="224"/>
      <c r="AO228" s="224"/>
      <c r="AP228" s="224"/>
      <c r="AQ228" s="224"/>
      <c r="AR228" s="224"/>
      <c r="AS228" s="224"/>
      <c r="AT228" s="224"/>
      <c r="AU228" s="224"/>
      <c r="AV228" s="224"/>
      <c r="AW228" s="224"/>
      <c r="AX228" s="224"/>
      <c r="AY228" s="224"/>
      <c r="AZ228" s="224"/>
      <c r="BA228" s="224"/>
      <c r="BB228" s="113"/>
      <c r="BC228" s="123"/>
      <c r="BD228" s="112"/>
      <c r="BE228" s="112"/>
    </row>
    <row r="229" spans="1:57" x14ac:dyDescent="0.25">
      <c r="A229" s="64"/>
      <c r="B229" s="147" t="s">
        <v>562</v>
      </c>
      <c r="C229" s="147"/>
      <c r="D229" s="112"/>
      <c r="E229" s="66"/>
      <c r="F229" s="66"/>
      <c r="G229" s="66"/>
      <c r="H229" s="66"/>
      <c r="I229" s="66"/>
      <c r="J229" s="66"/>
      <c r="K229" s="66"/>
      <c r="L229" s="66"/>
      <c r="M229" s="66"/>
      <c r="N229" s="170"/>
      <c r="O229" s="170"/>
      <c r="P229" s="171"/>
      <c r="Q229" s="228">
        <f>'LT. Asset'!Q92+'LT. Asset'!Q93</f>
        <v>24.060923762512303</v>
      </c>
      <c r="R229" s="228">
        <f>'LT. Asset'!R92+'LT. Asset'!R93</f>
        <v>18.918491307389445</v>
      </c>
      <c r="S229" s="228">
        <f>'LT. Asset'!S92+'LT. Asset'!S93</f>
        <v>4.2401509616242885</v>
      </c>
      <c r="T229" s="228">
        <f>'LT. Asset'!T92+'LT. Asset'!T93</f>
        <v>4.7940025749231978</v>
      </c>
      <c r="U229" s="228">
        <f>'LT. Asset'!U92+'LT. Asset'!U93</f>
        <v>4.8893062864392425</v>
      </c>
      <c r="V229" s="228">
        <f>'LT. Asset'!V92+'LT. Asset'!V93</f>
        <v>5.2595475225929009</v>
      </c>
      <c r="W229" s="228">
        <f>'LT. Asset'!W92+'LT. Asset'!W93</f>
        <v>5.7406830068322074</v>
      </c>
      <c r="X229" s="228">
        <f>'LT. Asset'!X92+'LT. Asset'!X93</f>
        <v>4.9771526490231945</v>
      </c>
      <c r="Y229" s="228">
        <f>'LT. Asset'!Y92+'LT. Asset'!Y93</f>
        <v>5.187903374473728</v>
      </c>
      <c r="Z229" s="228">
        <f>'LT. Asset'!Z92+'LT. Asset'!Z93</f>
        <v>5.4179416432788754</v>
      </c>
      <c r="AA229" s="228"/>
      <c r="AB229" s="224"/>
      <c r="AC229" s="224"/>
      <c r="AD229" s="224"/>
      <c r="AE229" s="224"/>
      <c r="AF229" s="224"/>
      <c r="AG229" s="224"/>
      <c r="AH229" s="224"/>
      <c r="AI229" s="224"/>
      <c r="AJ229" s="224"/>
      <c r="AK229" s="224"/>
      <c r="AL229" s="224"/>
      <c r="AM229" s="224"/>
      <c r="AN229" s="224"/>
      <c r="AO229" s="224"/>
      <c r="AP229" s="224"/>
      <c r="AQ229" s="224"/>
      <c r="AR229" s="224"/>
      <c r="AS229" s="224"/>
      <c r="AT229" s="224"/>
      <c r="AU229" s="224"/>
      <c r="AV229" s="224"/>
      <c r="AW229" s="224"/>
      <c r="AX229" s="224"/>
      <c r="AY229" s="224"/>
      <c r="AZ229" s="224"/>
      <c r="BA229" s="224"/>
      <c r="BB229" s="113"/>
      <c r="BC229" s="123"/>
      <c r="BD229" s="112"/>
      <c r="BE229" s="112"/>
    </row>
    <row r="230" spans="1:57" x14ac:dyDescent="0.25">
      <c r="A230" s="64"/>
      <c r="B230" s="384" t="s">
        <v>404</v>
      </c>
      <c r="C230" s="384"/>
      <c r="D230" s="112"/>
      <c r="E230" s="66"/>
      <c r="F230" s="66"/>
      <c r="G230" s="66"/>
      <c r="H230" s="66"/>
      <c r="I230" s="66"/>
      <c r="J230" s="66"/>
      <c r="K230" s="66"/>
      <c r="L230" s="66"/>
      <c r="M230" s="66"/>
      <c r="N230" s="170"/>
      <c r="O230" s="170"/>
      <c r="P230" s="171"/>
      <c r="Q230" s="224"/>
      <c r="R230" s="224"/>
      <c r="S230" s="224"/>
      <c r="T230" s="224"/>
      <c r="U230" s="224"/>
      <c r="V230" s="224"/>
      <c r="W230" s="224"/>
      <c r="X230" s="224"/>
      <c r="Y230" s="224"/>
      <c r="Z230" s="224"/>
      <c r="AA230" s="224"/>
      <c r="AB230" s="224"/>
      <c r="AC230" s="224"/>
      <c r="AD230" s="224"/>
      <c r="AE230" s="224"/>
      <c r="AF230" s="224"/>
      <c r="AG230" s="224"/>
      <c r="AH230" s="224"/>
      <c r="AI230" s="224"/>
      <c r="AJ230" s="224"/>
      <c r="AK230" s="224"/>
      <c r="AL230" s="224"/>
      <c r="AM230" s="224"/>
      <c r="AN230" s="224"/>
      <c r="AO230" s="224"/>
      <c r="AP230" s="224"/>
      <c r="AQ230" s="224"/>
      <c r="AR230" s="224"/>
      <c r="AS230" s="224"/>
      <c r="AT230" s="224"/>
      <c r="AU230" s="224"/>
      <c r="AV230" s="224"/>
      <c r="AW230" s="224"/>
      <c r="AX230" s="224"/>
      <c r="AY230" s="224"/>
      <c r="AZ230" s="224"/>
      <c r="BA230" s="224"/>
      <c r="BB230" s="113"/>
      <c r="BC230" s="123"/>
      <c r="BD230" s="112"/>
      <c r="BE230" s="112"/>
    </row>
    <row r="231" spans="1:57" x14ac:dyDescent="0.25">
      <c r="A231" s="64"/>
      <c r="B231" s="147" t="s">
        <v>566</v>
      </c>
      <c r="C231" s="147"/>
      <c r="D231" s="112"/>
      <c r="E231" s="157"/>
      <c r="F231" s="157"/>
      <c r="G231" s="157"/>
      <c r="H231" s="157"/>
      <c r="I231" s="157"/>
      <c r="J231" s="157"/>
      <c r="K231" s="157"/>
      <c r="L231" s="157"/>
      <c r="M231" s="157"/>
      <c r="N231" s="170"/>
      <c r="O231" s="170"/>
      <c r="P231" s="440"/>
      <c r="Q231" s="228">
        <f>'LT. Asset'!Q102+'LT. Asset'!Q103</f>
        <v>3.0240052605785093</v>
      </c>
      <c r="R231" s="228">
        <f>'LT. Asset'!R102+'LT. Asset'!R103</f>
        <v>3.6152081139344294</v>
      </c>
      <c r="S231" s="228">
        <f>'LT. Asset'!S102+'LT. Asset'!S103</f>
        <v>3.7477128314851886</v>
      </c>
      <c r="T231" s="228">
        <f>'LT. Asset'!T102+'LT. Asset'!T103</f>
        <v>3.8975254119515386</v>
      </c>
      <c r="U231" s="228">
        <f>'LT. Asset'!U102+'LT. Asset'!U103</f>
        <v>4.3049676024881425</v>
      </c>
      <c r="V231" s="228">
        <f>'LT. Asset'!V102+'LT. Asset'!V103</f>
        <v>4.4693284625691705</v>
      </c>
      <c r="W231" s="228">
        <f>'LT. Asset'!W102+'LT. Asset'!W103</f>
        <v>4.6487248065326767</v>
      </c>
      <c r="X231" s="228">
        <f>'LT. Asset'!X102+'LT. Asset'!X103</f>
        <v>4.8042608268146516</v>
      </c>
      <c r="Y231" s="228">
        <f>'LT. Asset'!Y102+'LT. Asset'!Y103</f>
        <v>4.9663828072669558</v>
      </c>
      <c r="Z231" s="228">
        <f>'LT. Asset'!Z102+'LT. Asset'!Z103</f>
        <v>5.1356934836194208</v>
      </c>
      <c r="AA231" s="228"/>
      <c r="AB231" s="224"/>
      <c r="AC231" s="224"/>
      <c r="AD231" s="224"/>
      <c r="AE231" s="224"/>
      <c r="AF231" s="224"/>
      <c r="AG231" s="224"/>
      <c r="AH231" s="224"/>
      <c r="AI231" s="224"/>
      <c r="AJ231" s="224"/>
      <c r="AK231" s="224"/>
      <c r="AL231" s="224"/>
      <c r="AM231" s="224"/>
      <c r="AN231" s="224"/>
      <c r="AO231" s="224"/>
      <c r="AP231" s="224"/>
      <c r="AQ231" s="224"/>
      <c r="AR231" s="224"/>
      <c r="AS231" s="224"/>
      <c r="AT231" s="224"/>
      <c r="AU231" s="224"/>
      <c r="AV231" s="224"/>
      <c r="AW231" s="224"/>
      <c r="AX231" s="224"/>
      <c r="AY231" s="224"/>
      <c r="AZ231" s="224"/>
      <c r="BA231" s="224"/>
      <c r="BB231" s="113"/>
      <c r="BD231" s="112"/>
      <c r="BE231" s="112"/>
    </row>
    <row r="232" spans="1:57" s="117" customFormat="1" x14ac:dyDescent="0.25">
      <c r="A232" s="132"/>
      <c r="B232" s="133" t="s">
        <v>567</v>
      </c>
      <c r="C232" s="133"/>
      <c r="D232" s="134"/>
      <c r="E232" s="166"/>
      <c r="F232" s="166"/>
      <c r="G232" s="166"/>
      <c r="H232" s="166"/>
      <c r="I232" s="167">
        <f>IF(ISTEXT('BS Raw'!I11),'BS Raw'!I57/Input!$B$1,Input!I228)</f>
        <v>8.8595820219999997</v>
      </c>
      <c r="J232" s="167">
        <f>IF(ISTEXT('BS Raw'!J11),'BS Raw'!J57/Input!$B$1,Input!J228)</f>
        <v>42.673317292999997</v>
      </c>
      <c r="K232" s="167">
        <f>IF(ISTEXT('BS Raw'!K11),'BS Raw'!K57/Input!$B$1,Input!K228)</f>
        <v>53.282406113</v>
      </c>
      <c r="L232" s="167">
        <f>IF(ISTEXT('BS Raw'!L11),'BS Raw'!L57/Input!$B$1,Input!L228)</f>
        <v>52.352153712000003</v>
      </c>
      <c r="M232" s="167">
        <f>IF(ISTEXT('BS Raw'!M11),'BS Raw'!M57/Input!$B$1,Input!M228)</f>
        <v>50.964732112999997</v>
      </c>
      <c r="N232" s="167">
        <f>IF(ISTEXT('BS Raw'!N11),'BS Raw'!N57/Input!$B$1,Input!N228)</f>
        <v>56.413717118999998</v>
      </c>
      <c r="O232" s="167">
        <f>IF(ISTEXT('BS Raw'!O11),'BS Raw'!O57/Input!$B$1,Input!O228)</f>
        <v>61.731483842000003</v>
      </c>
      <c r="P232" s="743">
        <f>IF(ISTEXT('BS Raw'!P11),'BS Raw'!P57/Input!$B$1,Input!P228)</f>
        <v>60.411372448999998</v>
      </c>
      <c r="Q232" s="168">
        <f>IF(ISTEXT('BS Raw'!Q11),'BS Raw'!Q57/Input!$B$1,Input!Q228)</f>
        <v>81.448290950933796</v>
      </c>
      <c r="R232" s="168">
        <f>IF(ISTEXT('BS Raw'!R11),'BS Raw'!R57/Input!$B$1,Input!R228)</f>
        <v>96.751574144388812</v>
      </c>
      <c r="S232" s="168">
        <f>IF(ISTEXT('BS Raw'!S11),'BS Raw'!S57/Input!$B$1,Input!S228)</f>
        <v>97.244012274527918</v>
      </c>
      <c r="T232" s="168">
        <f>IF(ISTEXT('BS Raw'!T11),'BS Raw'!T57/Input!$B$1,Input!T228)</f>
        <v>98.140489437499582</v>
      </c>
      <c r="U232" s="168">
        <f>IF(ISTEXT('BS Raw'!U11),'BS Raw'!U57/Input!$B$1,Input!U228)</f>
        <v>98.724828121450685</v>
      </c>
      <c r="V232" s="168">
        <f>IF(ISTEXT('BS Raw'!V11),'BS Raw'!V57/Input!$B$1,Input!V228)</f>
        <v>99.515047181474415</v>
      </c>
      <c r="W232" s="168">
        <f>IF(ISTEXT('BS Raw'!W11),'BS Raw'!W57/Input!$B$1,Input!W228)</f>
        <v>100.60700538177393</v>
      </c>
      <c r="X232" s="168">
        <f>IF(ISTEXT('BS Raw'!X11),'BS Raw'!X57/Input!$B$1,Input!X228)</f>
        <v>100.77989720398247</v>
      </c>
      <c r="Y232" s="168">
        <f>IF(ISTEXT('BS Raw'!Y11),'BS Raw'!Y57/Input!$B$1,Input!Y228)</f>
        <v>101.00141777118925</v>
      </c>
      <c r="Z232" s="168">
        <f>IF(ISTEXT('BS Raw'!Z11),'BS Raw'!Z57/Input!$B$1,Input!Z228)</f>
        <v>101.28366593084871</v>
      </c>
      <c r="AA232" s="168"/>
      <c r="AB232" s="169"/>
      <c r="AC232" s="169"/>
      <c r="AD232" s="169"/>
      <c r="AE232" s="169"/>
      <c r="AF232" s="169"/>
      <c r="AG232" s="169"/>
      <c r="AH232" s="169"/>
      <c r="AI232" s="169"/>
      <c r="AJ232" s="169"/>
      <c r="AK232" s="169"/>
      <c r="AL232" s="169"/>
      <c r="AM232" s="169"/>
      <c r="AN232" s="169"/>
      <c r="AO232" s="169"/>
      <c r="AP232" s="169"/>
      <c r="AQ232" s="169"/>
      <c r="AR232" s="169"/>
      <c r="AS232" s="169"/>
      <c r="AT232" s="169"/>
      <c r="AU232" s="169"/>
      <c r="AV232" s="169"/>
      <c r="AW232" s="169"/>
      <c r="AX232" s="169"/>
      <c r="AY232" s="169"/>
      <c r="AZ232" s="169"/>
      <c r="BA232" s="169"/>
      <c r="BB232" s="139"/>
      <c r="BC232" s="140"/>
    </row>
    <row r="233" spans="1:57" x14ac:dyDescent="0.25">
      <c r="A233" s="64"/>
      <c r="D233" s="112"/>
      <c r="E233" s="170"/>
      <c r="F233" s="170"/>
      <c r="G233" s="170"/>
      <c r="H233" s="170"/>
      <c r="I233" s="170"/>
      <c r="J233" s="170"/>
      <c r="K233" s="170"/>
      <c r="L233" s="170"/>
      <c r="M233" s="170"/>
      <c r="N233" s="170"/>
      <c r="O233" s="170"/>
      <c r="P233" s="171"/>
      <c r="Q233" s="170"/>
      <c r="R233" s="170"/>
      <c r="S233" s="170"/>
      <c r="T233" s="170"/>
      <c r="U233" s="170"/>
      <c r="V233" s="170"/>
      <c r="W233" s="170"/>
      <c r="X233" s="170"/>
      <c r="Y233" s="170"/>
      <c r="Z233" s="170"/>
      <c r="AA233" s="170"/>
      <c r="AB233" s="170"/>
      <c r="AC233" s="170"/>
      <c r="AD233" s="170"/>
      <c r="AE233" s="170"/>
      <c r="AF233" s="170"/>
      <c r="AG233" s="170"/>
      <c r="AH233" s="170"/>
      <c r="AI233" s="170"/>
      <c r="AJ233" s="170"/>
      <c r="AK233" s="170"/>
      <c r="AL233" s="170"/>
      <c r="AM233" s="170"/>
      <c r="AN233" s="170"/>
      <c r="AO233" s="170"/>
      <c r="AP233" s="170"/>
      <c r="AQ233" s="170"/>
      <c r="AR233" s="170"/>
      <c r="AS233" s="170"/>
      <c r="AT233" s="170"/>
      <c r="AU233" s="170"/>
      <c r="AV233" s="170"/>
      <c r="AW233" s="170"/>
      <c r="AX233" s="170"/>
      <c r="AY233" s="170"/>
      <c r="AZ233" s="170"/>
      <c r="BA233" s="170"/>
      <c r="BB233" s="113"/>
      <c r="BD233" s="112"/>
      <c r="BE233" s="112"/>
    </row>
    <row r="234" spans="1:57" x14ac:dyDescent="0.25">
      <c r="A234" s="64">
        <v>10</v>
      </c>
      <c r="B234" s="29" t="s">
        <v>568</v>
      </c>
      <c r="D234" s="112"/>
      <c r="E234" s="66"/>
      <c r="F234" s="66"/>
      <c r="G234" s="66"/>
      <c r="H234" s="66"/>
      <c r="I234" s="220">
        <f>'BS Raw'!I54/$B$1</f>
        <v>0</v>
      </c>
      <c r="J234" s="220">
        <f>'BS Raw'!J54/$B$1</f>
        <v>0</v>
      </c>
      <c r="K234" s="220">
        <f>'BS Raw'!K54/$B$1</f>
        <v>0</v>
      </c>
      <c r="L234" s="220">
        <f>'BS Raw'!L54/$B$1</f>
        <v>0</v>
      </c>
      <c r="M234" s="220">
        <f>'BS Raw'!M54/$B$1</f>
        <v>0</v>
      </c>
      <c r="N234" s="220">
        <f>'BS Raw'!N54/$B$1</f>
        <v>0</v>
      </c>
      <c r="O234" s="220">
        <f>'BS Raw'!O54/$B$1</f>
        <v>0</v>
      </c>
      <c r="P234" s="1789">
        <f>'BS Raw'!P54/$B$1</f>
        <v>0</v>
      </c>
      <c r="Q234" s="207">
        <f>'LT. Asset'!Q75</f>
        <v>0</v>
      </c>
      <c r="R234" s="207">
        <f>'LT. Asset'!R75</f>
        <v>0</v>
      </c>
      <c r="S234" s="207">
        <f>'LT. Asset'!S75</f>
        <v>0</v>
      </c>
      <c r="T234" s="207">
        <f>'LT. Asset'!T75</f>
        <v>0</v>
      </c>
      <c r="U234" s="207">
        <f>'LT. Asset'!U75</f>
        <v>0</v>
      </c>
      <c r="V234" s="207">
        <f>'LT. Asset'!V75</f>
        <v>0</v>
      </c>
      <c r="W234" s="207">
        <f>'LT. Asset'!W75</f>
        <v>0</v>
      </c>
      <c r="X234" s="207">
        <f>'LT. Asset'!X75</f>
        <v>0</v>
      </c>
      <c r="Y234" s="207">
        <f>'LT. Asset'!Y75</f>
        <v>0</v>
      </c>
      <c r="Z234" s="207">
        <f>'LT. Asset'!Z75</f>
        <v>0</v>
      </c>
      <c r="AA234" s="207"/>
      <c r="AB234" s="208"/>
      <c r="AC234" s="208"/>
      <c r="AD234" s="208"/>
      <c r="AE234" s="208"/>
      <c r="AF234" s="208"/>
      <c r="AG234" s="208"/>
      <c r="AH234" s="208"/>
      <c r="AI234" s="208"/>
      <c r="AJ234" s="208"/>
      <c r="AK234" s="208"/>
      <c r="AL234" s="208"/>
      <c r="AM234" s="208"/>
      <c r="AN234" s="208"/>
      <c r="AO234" s="208"/>
      <c r="AP234" s="208"/>
      <c r="AQ234" s="208"/>
      <c r="AR234" s="208"/>
      <c r="AS234" s="208"/>
      <c r="AT234" s="208"/>
      <c r="AU234" s="208"/>
      <c r="AV234" s="208"/>
      <c r="AW234" s="208"/>
      <c r="AX234" s="208"/>
      <c r="AY234" s="208"/>
      <c r="AZ234" s="208"/>
      <c r="BA234" s="208"/>
      <c r="BB234" s="113"/>
      <c r="BC234" s="123"/>
      <c r="BD234" s="112"/>
      <c r="BE234" s="112"/>
    </row>
    <row r="235" spans="1:57" ht="13.8" x14ac:dyDescent="0.25">
      <c r="A235" s="64"/>
      <c r="B235" s="147" t="s">
        <v>562</v>
      </c>
      <c r="C235" s="147"/>
      <c r="D235" s="112"/>
      <c r="E235" s="66"/>
      <c r="F235" s="66"/>
      <c r="G235" s="66"/>
      <c r="H235" s="66"/>
      <c r="I235" s="66"/>
      <c r="J235" s="66"/>
      <c r="K235" s="66"/>
      <c r="L235" s="66"/>
      <c r="M235" s="66"/>
      <c r="N235" s="441"/>
      <c r="O235" s="441"/>
      <c r="P235" s="442"/>
      <c r="Q235" s="443">
        <f>'LT. Asset'!Q59+'LT. Asset'!Q60</f>
        <v>0</v>
      </c>
      <c r="R235" s="443">
        <f>'LT. Asset'!R59+'LT. Asset'!R60</f>
        <v>0</v>
      </c>
      <c r="S235" s="443">
        <f>'LT. Asset'!S59+'LT. Asset'!S60</f>
        <v>0</v>
      </c>
      <c r="T235" s="443">
        <f>'LT. Asset'!T59+'LT. Asset'!T60</f>
        <v>0</v>
      </c>
      <c r="U235" s="443">
        <f>'LT. Asset'!U59+'LT. Asset'!U60</f>
        <v>0</v>
      </c>
      <c r="V235" s="443">
        <f>'LT. Asset'!V59+'LT. Asset'!V60</f>
        <v>0</v>
      </c>
      <c r="W235" s="443">
        <f>'LT. Asset'!W59+'LT. Asset'!W60</f>
        <v>0</v>
      </c>
      <c r="X235" s="443">
        <f>'LT. Asset'!X59+'LT. Asset'!X60</f>
        <v>0</v>
      </c>
      <c r="Y235" s="443">
        <f>'LT. Asset'!Y59+'LT. Asset'!Y60</f>
        <v>0</v>
      </c>
      <c r="Z235" s="443">
        <f>'LT. Asset'!Z59+'LT. Asset'!Z60</f>
        <v>0</v>
      </c>
      <c r="AA235" s="443"/>
      <c r="AB235" s="444"/>
      <c r="AC235" s="444"/>
      <c r="AD235" s="444"/>
      <c r="AE235" s="444"/>
      <c r="AF235" s="444"/>
      <c r="AG235" s="444"/>
      <c r="AH235" s="444"/>
      <c r="AI235" s="444"/>
      <c r="AJ235" s="444"/>
      <c r="AK235" s="444"/>
      <c r="AL235" s="444"/>
      <c r="AM235" s="444"/>
      <c r="AN235" s="444"/>
      <c r="AO235" s="444"/>
      <c r="AP235" s="444"/>
      <c r="AQ235" s="444"/>
      <c r="AR235" s="444"/>
      <c r="AS235" s="444"/>
      <c r="AT235" s="444"/>
      <c r="AU235" s="444"/>
      <c r="AV235" s="444"/>
      <c r="AW235" s="444"/>
      <c r="AX235" s="444"/>
      <c r="AY235" s="444"/>
      <c r="AZ235" s="444"/>
      <c r="BA235" s="444"/>
      <c r="BB235" s="113"/>
      <c r="BC235" s="123"/>
      <c r="BD235" s="112"/>
      <c r="BE235" s="112"/>
    </row>
    <row r="236" spans="1:57" x14ac:dyDescent="0.25">
      <c r="A236" s="64"/>
      <c r="B236" s="384" t="s">
        <v>404</v>
      </c>
      <c r="C236" s="384"/>
      <c r="D236" s="112"/>
      <c r="E236" s="66"/>
      <c r="F236" s="66"/>
      <c r="G236" s="66"/>
      <c r="H236" s="66"/>
      <c r="I236" s="66"/>
      <c r="J236" s="66"/>
      <c r="K236" s="66"/>
      <c r="L236" s="66"/>
      <c r="M236" s="66"/>
      <c r="N236" s="66"/>
      <c r="O236" s="66"/>
      <c r="P236" s="303"/>
      <c r="Q236" s="208"/>
      <c r="R236" s="208"/>
      <c r="S236" s="208"/>
      <c r="T236" s="208"/>
      <c r="U236" s="208"/>
      <c r="V236" s="208"/>
      <c r="W236" s="208"/>
      <c r="X236" s="208"/>
      <c r="Y236" s="208"/>
      <c r="Z236" s="208"/>
      <c r="AA236" s="208"/>
      <c r="AB236" s="208"/>
      <c r="AC236" s="208"/>
      <c r="AD236" s="208"/>
      <c r="AE236" s="208"/>
      <c r="AF236" s="208"/>
      <c r="AG236" s="208"/>
      <c r="AH236" s="208"/>
      <c r="AI236" s="208"/>
      <c r="AJ236" s="208"/>
      <c r="AK236" s="208"/>
      <c r="AL236" s="208"/>
      <c r="AM236" s="208"/>
      <c r="AN236" s="208"/>
      <c r="AO236" s="208"/>
      <c r="AP236" s="208"/>
      <c r="AQ236" s="208"/>
      <c r="AR236" s="208"/>
      <c r="AS236" s="208"/>
      <c r="AT236" s="208"/>
      <c r="AU236" s="208"/>
      <c r="AV236" s="208"/>
      <c r="AW236" s="208"/>
      <c r="AX236" s="208"/>
      <c r="AY236" s="208"/>
      <c r="AZ236" s="208"/>
      <c r="BA236" s="208"/>
      <c r="BB236" s="113"/>
      <c r="BC236" s="123"/>
      <c r="BD236" s="112"/>
      <c r="BE236" s="112"/>
    </row>
    <row r="237" spans="1:57" x14ac:dyDescent="0.25">
      <c r="A237" s="64"/>
      <c r="B237" s="147" t="s">
        <v>569</v>
      </c>
      <c r="C237" s="147"/>
      <c r="D237" s="112"/>
      <c r="E237" s="157"/>
      <c r="F237" s="157"/>
      <c r="G237" s="157"/>
      <c r="H237" s="157"/>
      <c r="I237" s="157"/>
      <c r="J237" s="157"/>
      <c r="K237" s="157"/>
      <c r="L237" s="157"/>
      <c r="M237" s="157"/>
      <c r="N237" s="170"/>
      <c r="O237" s="170"/>
      <c r="P237" s="171"/>
      <c r="Q237" s="228">
        <f>'LT. Asset'!Q69+'LT. Asset'!Q70</f>
        <v>0</v>
      </c>
      <c r="R237" s="228">
        <f>'LT. Asset'!R69+'LT. Asset'!R70</f>
        <v>0</v>
      </c>
      <c r="S237" s="228">
        <f>'LT. Asset'!S69+'LT. Asset'!S70</f>
        <v>0</v>
      </c>
      <c r="T237" s="228">
        <f>'LT. Asset'!T69+'LT. Asset'!T70</f>
        <v>0</v>
      </c>
      <c r="U237" s="228">
        <f>'LT. Asset'!U69+'LT. Asset'!U70</f>
        <v>0</v>
      </c>
      <c r="V237" s="228">
        <f>'LT. Asset'!V69+'LT. Asset'!V70</f>
        <v>0</v>
      </c>
      <c r="W237" s="228">
        <f>'LT. Asset'!W69+'LT. Asset'!W70</f>
        <v>0</v>
      </c>
      <c r="X237" s="228">
        <f>'LT. Asset'!X69+'LT. Asset'!X70</f>
        <v>0</v>
      </c>
      <c r="Y237" s="228">
        <f>'LT. Asset'!Y69+'LT. Asset'!Y70</f>
        <v>0</v>
      </c>
      <c r="Z237" s="228">
        <f>'LT. Asset'!Z69+'LT. Asset'!Z70</f>
        <v>0</v>
      </c>
      <c r="AA237" s="228"/>
      <c r="AB237" s="224"/>
      <c r="AC237" s="224"/>
      <c r="AD237" s="224"/>
      <c r="AE237" s="224"/>
      <c r="AF237" s="224"/>
      <c r="AG237" s="224"/>
      <c r="AH237" s="224"/>
      <c r="AI237" s="224"/>
      <c r="AJ237" s="224"/>
      <c r="AK237" s="224"/>
      <c r="AL237" s="224"/>
      <c r="AM237" s="224"/>
      <c r="AN237" s="224"/>
      <c r="AO237" s="224"/>
      <c r="AP237" s="224"/>
      <c r="AQ237" s="224"/>
      <c r="AR237" s="224"/>
      <c r="AS237" s="224"/>
      <c r="AT237" s="224"/>
      <c r="AU237" s="224"/>
      <c r="AV237" s="224"/>
      <c r="AW237" s="224"/>
      <c r="AX237" s="224"/>
      <c r="AY237" s="224"/>
      <c r="AZ237" s="224"/>
      <c r="BA237" s="224"/>
      <c r="BB237" s="113"/>
      <c r="BD237" s="112"/>
      <c r="BE237" s="112"/>
    </row>
    <row r="238" spans="1:57" s="117" customFormat="1" x14ac:dyDescent="0.25">
      <c r="A238" s="132"/>
      <c r="B238" s="133" t="s">
        <v>570</v>
      </c>
      <c r="C238" s="133"/>
      <c r="D238" s="134"/>
      <c r="E238" s="166"/>
      <c r="F238" s="166"/>
      <c r="G238" s="166"/>
      <c r="H238" s="166"/>
      <c r="I238" s="167">
        <f>IF(ISTEXT('BS Raw'!I11),'BS Raw'!I54/Input!$B$1,Input!I234)</f>
        <v>0</v>
      </c>
      <c r="J238" s="167">
        <f>IF(ISTEXT('BS Raw'!J11),'BS Raw'!J54/Input!$B$1,Input!J234)</f>
        <v>0</v>
      </c>
      <c r="K238" s="167">
        <f>IF(ISTEXT('BS Raw'!K11),'BS Raw'!K54/Input!$B$1,Input!K234)</f>
        <v>0</v>
      </c>
      <c r="L238" s="167">
        <f>IF(ISTEXT('BS Raw'!L11),'BS Raw'!L54/Input!$B$1,Input!L234)</f>
        <v>0</v>
      </c>
      <c r="M238" s="167">
        <f>IF(ISTEXT('BS Raw'!M11),'BS Raw'!M54/Input!$B$1,Input!M234)</f>
        <v>0</v>
      </c>
      <c r="N238" s="167">
        <f>IF(ISTEXT('BS Raw'!N11),'BS Raw'!N54/Input!$B$1,Input!N234)</f>
        <v>0</v>
      </c>
      <c r="O238" s="167">
        <f>IF(ISTEXT('BS Raw'!O11),'BS Raw'!O54/Input!$B$1,Input!O234)</f>
        <v>0</v>
      </c>
      <c r="P238" s="743">
        <f>IF(ISTEXT('BS Raw'!P11),'BS Raw'!P54/Input!$B$1,Input!P234)</f>
        <v>0</v>
      </c>
      <c r="Q238" s="168">
        <f>IF(ISTEXT('BS Raw'!Q11),'BS Raw'!Q54/Input!$B$1,Input!Q234)</f>
        <v>0</v>
      </c>
      <c r="R238" s="168">
        <f>IF(ISTEXT('BS Raw'!R11),'BS Raw'!R54/Input!$B$1,Input!R234)</f>
        <v>0</v>
      </c>
      <c r="S238" s="168">
        <f>IF(ISTEXT('BS Raw'!S11),'BS Raw'!S54/Input!$B$1,Input!S234)</f>
        <v>0</v>
      </c>
      <c r="T238" s="168">
        <f>IF(ISTEXT('BS Raw'!T11),'BS Raw'!T54/Input!$B$1,Input!T234)</f>
        <v>0</v>
      </c>
      <c r="U238" s="168">
        <f>IF(ISTEXT('BS Raw'!U11),'BS Raw'!U54/Input!$B$1,Input!U234)</f>
        <v>0</v>
      </c>
      <c r="V238" s="168">
        <f>IF(ISTEXT('BS Raw'!V11),'BS Raw'!V54/Input!$B$1,Input!V234)</f>
        <v>0</v>
      </c>
      <c r="W238" s="168">
        <f>IF(ISTEXT('BS Raw'!W11),'BS Raw'!W54/Input!$B$1,Input!W234)</f>
        <v>0</v>
      </c>
      <c r="X238" s="168">
        <f>IF(ISTEXT('BS Raw'!X11),'BS Raw'!X54/Input!$B$1,Input!X234)</f>
        <v>0</v>
      </c>
      <c r="Y238" s="168">
        <f>IF(ISTEXT('BS Raw'!Y11),'BS Raw'!Y54/Input!$B$1,Input!Y234)</f>
        <v>0</v>
      </c>
      <c r="Z238" s="168">
        <f>IF(ISTEXT('BS Raw'!Z11),'BS Raw'!Z54/Input!$B$1,Input!Z234)</f>
        <v>0</v>
      </c>
      <c r="AA238" s="168"/>
      <c r="AB238" s="169"/>
      <c r="AC238" s="169"/>
      <c r="AD238" s="169"/>
      <c r="AE238" s="169"/>
      <c r="AF238" s="169"/>
      <c r="AG238" s="169"/>
      <c r="AH238" s="169"/>
      <c r="AI238" s="169"/>
      <c r="AJ238" s="169"/>
      <c r="AK238" s="169"/>
      <c r="AL238" s="169"/>
      <c r="AM238" s="169"/>
      <c r="AN238" s="169"/>
      <c r="AO238" s="169"/>
      <c r="AP238" s="169"/>
      <c r="AQ238" s="169"/>
      <c r="AR238" s="169"/>
      <c r="AS238" s="169"/>
      <c r="AT238" s="169"/>
      <c r="AU238" s="169"/>
      <c r="AV238" s="169"/>
      <c r="AW238" s="169"/>
      <c r="AX238" s="169"/>
      <c r="AY238" s="169"/>
      <c r="AZ238" s="169"/>
      <c r="BA238" s="169"/>
      <c r="BB238" s="139"/>
      <c r="BC238" s="140"/>
    </row>
    <row r="239" spans="1:57" x14ac:dyDescent="0.25">
      <c r="A239" s="64"/>
      <c r="D239" s="112"/>
      <c r="E239" s="170"/>
      <c r="F239" s="170"/>
      <c r="G239" s="170"/>
      <c r="H239" s="170"/>
      <c r="I239" s="170"/>
      <c r="J239" s="170"/>
      <c r="K239" s="170"/>
      <c r="L239" s="170"/>
      <c r="M239" s="170"/>
      <c r="N239" s="170"/>
      <c r="O239" s="170"/>
      <c r="P239" s="171"/>
      <c r="Q239" s="170"/>
      <c r="R239" s="170"/>
      <c r="S239" s="170"/>
      <c r="T239" s="170"/>
      <c r="U239" s="170"/>
      <c r="V239" s="170"/>
      <c r="W239" s="170"/>
      <c r="X239" s="170"/>
      <c r="Y239" s="170"/>
      <c r="Z239" s="170"/>
      <c r="AA239" s="170"/>
      <c r="AB239" s="170"/>
      <c r="AC239" s="170"/>
      <c r="AD239" s="170"/>
      <c r="AE239" s="170"/>
      <c r="AF239" s="170"/>
      <c r="AG239" s="170"/>
      <c r="AH239" s="170"/>
      <c r="AI239" s="170"/>
      <c r="AJ239" s="170"/>
      <c r="AK239" s="170"/>
      <c r="AL239" s="170"/>
      <c r="AM239" s="170"/>
      <c r="AN239" s="170"/>
      <c r="AO239" s="170"/>
      <c r="AP239" s="170"/>
      <c r="AQ239" s="170"/>
      <c r="AR239" s="170"/>
      <c r="AS239" s="170"/>
      <c r="AT239" s="170"/>
      <c r="AU239" s="170"/>
      <c r="AV239" s="170"/>
      <c r="AW239" s="170"/>
      <c r="AX239" s="170"/>
      <c r="AY239" s="170"/>
      <c r="AZ239" s="170"/>
      <c r="BA239" s="170"/>
      <c r="BB239" s="113"/>
      <c r="BD239" s="112"/>
      <c r="BE239" s="112"/>
    </row>
    <row r="240" spans="1:57" x14ac:dyDescent="0.25">
      <c r="A240" s="64">
        <v>11</v>
      </c>
      <c r="B240" s="29" t="s">
        <v>571</v>
      </c>
      <c r="D240" s="112"/>
      <c r="E240" s="66"/>
      <c r="F240" s="66"/>
      <c r="G240" s="66"/>
      <c r="H240" s="66"/>
      <c r="I240" s="220">
        <f>'BS Raw'!I61/Input!$B$1</f>
        <v>0</v>
      </c>
      <c r="J240" s="220">
        <f>'BS Raw'!J61/Input!$B$1</f>
        <v>0</v>
      </c>
      <c r="K240" s="220">
        <f>'BS Raw'!K61/Input!$B$1</f>
        <v>0</v>
      </c>
      <c r="L240" s="220">
        <f>'BS Raw'!L61/Input!$B$1</f>
        <v>0</v>
      </c>
      <c r="M240" s="220">
        <f>'BS Raw'!M61/Input!$B$1</f>
        <v>0</v>
      </c>
      <c r="N240" s="220">
        <f>'BS Raw'!N61/Input!$B$1</f>
        <v>0</v>
      </c>
      <c r="O240" s="220">
        <f>'BS Raw'!O61/Input!$B$1</f>
        <v>0</v>
      </c>
      <c r="P240" s="1789">
        <f>'BS Raw'!P61/Input!$B$1</f>
        <v>0</v>
      </c>
      <c r="Q240" s="228">
        <f>'LT. Asset'!Q142</f>
        <v>0</v>
      </c>
      <c r="R240" s="228">
        <f>'LT. Asset'!R142</f>
        <v>0</v>
      </c>
      <c r="S240" s="228">
        <f>'LT. Asset'!S142</f>
        <v>0</v>
      </c>
      <c r="T240" s="228">
        <f>'LT. Asset'!T142</f>
        <v>0</v>
      </c>
      <c r="U240" s="228">
        <f>'LT. Asset'!U142</f>
        <v>0</v>
      </c>
      <c r="V240" s="228">
        <f>'LT. Asset'!V142</f>
        <v>0</v>
      </c>
      <c r="W240" s="228">
        <f>'LT. Asset'!W142</f>
        <v>0</v>
      </c>
      <c r="X240" s="228">
        <f>'LT. Asset'!X142</f>
        <v>0</v>
      </c>
      <c r="Y240" s="228">
        <f>'LT. Asset'!Y142</f>
        <v>0</v>
      </c>
      <c r="Z240" s="228">
        <f>'LT. Asset'!Z142</f>
        <v>0</v>
      </c>
      <c r="AA240" s="228"/>
      <c r="AB240" s="224"/>
      <c r="AC240" s="224"/>
      <c r="AD240" s="224"/>
      <c r="AE240" s="224"/>
      <c r="AF240" s="224"/>
      <c r="AG240" s="224"/>
      <c r="AH240" s="224"/>
      <c r="AI240" s="224"/>
      <c r="AJ240" s="224"/>
      <c r="AK240" s="224"/>
      <c r="AL240" s="224"/>
      <c r="AM240" s="224"/>
      <c r="AN240" s="224"/>
      <c r="AO240" s="224"/>
      <c r="AP240" s="224"/>
      <c r="AQ240" s="224"/>
      <c r="AR240" s="224"/>
      <c r="AS240" s="224"/>
      <c r="AT240" s="224"/>
      <c r="AU240" s="224"/>
      <c r="AV240" s="224"/>
      <c r="AW240" s="224"/>
      <c r="AX240" s="224"/>
      <c r="AY240" s="224"/>
      <c r="AZ240" s="224"/>
      <c r="BA240" s="224"/>
      <c r="BB240" s="113"/>
      <c r="BC240" s="123"/>
      <c r="BD240" s="112"/>
      <c r="BE240" s="112"/>
    </row>
    <row r="241" spans="1:57" ht="13.8" x14ac:dyDescent="0.25">
      <c r="A241" s="64"/>
      <c r="B241" s="147" t="s">
        <v>562</v>
      </c>
      <c r="C241" s="147"/>
      <c r="D241" s="112"/>
      <c r="E241" s="66"/>
      <c r="F241" s="66"/>
      <c r="G241" s="66"/>
      <c r="H241" s="66"/>
      <c r="I241" s="66"/>
      <c r="J241" s="66"/>
      <c r="K241" s="66"/>
      <c r="L241" s="66"/>
      <c r="M241" s="66"/>
      <c r="N241" s="441"/>
      <c r="O241" s="441"/>
      <c r="P241" s="442"/>
      <c r="Q241" s="443">
        <f>'LT. Asset'!Q126</f>
        <v>0</v>
      </c>
      <c r="R241" s="443">
        <f>'LT. Asset'!R126</f>
        <v>0</v>
      </c>
      <c r="S241" s="443">
        <f>'LT. Asset'!S126</f>
        <v>0</v>
      </c>
      <c r="T241" s="443">
        <f>'LT. Asset'!T126</f>
        <v>0</v>
      </c>
      <c r="U241" s="443">
        <f>'LT. Asset'!U126</f>
        <v>0</v>
      </c>
      <c r="V241" s="443">
        <f>'LT. Asset'!V126</f>
        <v>0</v>
      </c>
      <c r="W241" s="443">
        <f>'LT. Asset'!W126</f>
        <v>0</v>
      </c>
      <c r="X241" s="443">
        <f>'LT. Asset'!X126</f>
        <v>0</v>
      </c>
      <c r="Y241" s="443">
        <f>'LT. Asset'!Y126</f>
        <v>0</v>
      </c>
      <c r="Z241" s="443">
        <f>'LT. Asset'!Z126</f>
        <v>0</v>
      </c>
      <c r="AA241" s="443"/>
      <c r="AB241" s="444"/>
      <c r="AC241" s="444"/>
      <c r="AD241" s="444"/>
      <c r="AE241" s="444"/>
      <c r="AF241" s="444"/>
      <c r="AG241" s="444"/>
      <c r="AH241" s="444"/>
      <c r="AI241" s="444"/>
      <c r="AJ241" s="444"/>
      <c r="AK241" s="444"/>
      <c r="AL241" s="444"/>
      <c r="AM241" s="444"/>
      <c r="AN241" s="444"/>
      <c r="AO241" s="444"/>
      <c r="AP241" s="444"/>
      <c r="AQ241" s="444"/>
      <c r="AR241" s="444"/>
      <c r="AS241" s="444"/>
      <c r="AT241" s="444"/>
      <c r="AU241" s="444"/>
      <c r="AV241" s="444"/>
      <c r="AW241" s="444"/>
      <c r="AX241" s="444"/>
      <c r="AY241" s="444"/>
      <c r="AZ241" s="444"/>
      <c r="BA241" s="444"/>
      <c r="BB241" s="113"/>
      <c r="BC241" s="123"/>
      <c r="BD241" s="112"/>
      <c r="BE241" s="112"/>
    </row>
    <row r="242" spans="1:57" x14ac:dyDescent="0.25">
      <c r="A242" s="64"/>
      <c r="B242" s="384" t="s">
        <v>404</v>
      </c>
      <c r="C242" s="384"/>
      <c r="D242" s="112"/>
      <c r="E242" s="66"/>
      <c r="F242" s="66"/>
      <c r="G242" s="66"/>
      <c r="H242" s="66"/>
      <c r="I242" s="66"/>
      <c r="J242" s="66"/>
      <c r="K242" s="66"/>
      <c r="L242" s="66"/>
      <c r="M242" s="66"/>
      <c r="N242" s="66"/>
      <c r="O242" s="170"/>
      <c r="P242" s="171"/>
      <c r="Q242" s="224"/>
      <c r="R242" s="224"/>
      <c r="S242" s="224"/>
      <c r="T242" s="224"/>
      <c r="U242" s="224"/>
      <c r="V242" s="224"/>
      <c r="W242" s="224"/>
      <c r="X242" s="224"/>
      <c r="Y242" s="224"/>
      <c r="Z242" s="224"/>
      <c r="AA242" s="224"/>
      <c r="AB242" s="224"/>
      <c r="AC242" s="224"/>
      <c r="AD242" s="224"/>
      <c r="AE242" s="224"/>
      <c r="AF242" s="224"/>
      <c r="AG242" s="224"/>
      <c r="AH242" s="224"/>
      <c r="AI242" s="224"/>
      <c r="AJ242" s="224"/>
      <c r="AK242" s="224"/>
      <c r="AL242" s="224"/>
      <c r="AM242" s="224"/>
      <c r="AN242" s="224"/>
      <c r="AO242" s="224"/>
      <c r="AP242" s="224"/>
      <c r="AQ242" s="224"/>
      <c r="AR242" s="224"/>
      <c r="AS242" s="224"/>
      <c r="AT242" s="224"/>
      <c r="AU242" s="224"/>
      <c r="AV242" s="224"/>
      <c r="AW242" s="224"/>
      <c r="AX242" s="224"/>
      <c r="AY242" s="224"/>
      <c r="AZ242" s="224"/>
      <c r="BA242" s="224"/>
      <c r="BB242" s="113"/>
      <c r="BC242" s="123"/>
      <c r="BD242" s="112"/>
      <c r="BE242" s="112"/>
    </row>
    <row r="243" spans="1:57" x14ac:dyDescent="0.25">
      <c r="A243" s="64"/>
      <c r="B243" s="147" t="s">
        <v>569</v>
      </c>
      <c r="C243" s="147"/>
      <c r="D243" s="112"/>
      <c r="E243" s="157"/>
      <c r="F243" s="157"/>
      <c r="G243" s="157"/>
      <c r="H243" s="157"/>
      <c r="I243" s="157"/>
      <c r="J243" s="157"/>
      <c r="K243" s="157"/>
      <c r="L243" s="157"/>
      <c r="M243" s="157"/>
      <c r="N243" s="170"/>
      <c r="O243" s="170"/>
      <c r="P243" s="171"/>
      <c r="Q243" s="228">
        <f>'LT. Asset'!Q136</f>
        <v>0</v>
      </c>
      <c r="R243" s="228">
        <f>'LT. Asset'!R136</f>
        <v>0</v>
      </c>
      <c r="S243" s="228">
        <f>'LT. Asset'!S136</f>
        <v>0</v>
      </c>
      <c r="T243" s="228">
        <f>'LT. Asset'!T136</f>
        <v>0</v>
      </c>
      <c r="U243" s="228">
        <f>'LT. Asset'!U136</f>
        <v>0</v>
      </c>
      <c r="V243" s="228">
        <f>'LT. Asset'!V136</f>
        <v>0</v>
      </c>
      <c r="W243" s="228">
        <f>'LT. Asset'!W136</f>
        <v>0</v>
      </c>
      <c r="X243" s="228">
        <f>'LT. Asset'!X136</f>
        <v>0</v>
      </c>
      <c r="Y243" s="228">
        <f>'LT. Asset'!Y136</f>
        <v>0</v>
      </c>
      <c r="Z243" s="228">
        <f>'LT. Asset'!Z136</f>
        <v>0</v>
      </c>
      <c r="AA243" s="228"/>
      <c r="AB243" s="224"/>
      <c r="AC243" s="224"/>
      <c r="AD243" s="224"/>
      <c r="AE243" s="224"/>
      <c r="AF243" s="224"/>
      <c r="AG243" s="224"/>
      <c r="AH243" s="224"/>
      <c r="AI243" s="224"/>
      <c r="AJ243" s="224"/>
      <c r="AK243" s="224"/>
      <c r="AL243" s="224"/>
      <c r="AM243" s="224"/>
      <c r="AN243" s="224"/>
      <c r="AO243" s="224"/>
      <c r="AP243" s="224"/>
      <c r="AQ243" s="224"/>
      <c r="AR243" s="224"/>
      <c r="AS243" s="224"/>
      <c r="AT243" s="224"/>
      <c r="AU243" s="224"/>
      <c r="AV243" s="224"/>
      <c r="AW243" s="224"/>
      <c r="AX243" s="224"/>
      <c r="AY243" s="224"/>
      <c r="AZ243" s="224"/>
      <c r="BA243" s="224"/>
      <c r="BB243" s="113"/>
      <c r="BD243" s="112"/>
      <c r="BE243" s="112"/>
    </row>
    <row r="244" spans="1:57" s="117" customFormat="1" x14ac:dyDescent="0.25">
      <c r="A244" s="132"/>
      <c r="B244" s="133" t="s">
        <v>572</v>
      </c>
      <c r="C244" s="133"/>
      <c r="D244" s="134"/>
      <c r="E244" s="166"/>
      <c r="F244" s="166"/>
      <c r="G244" s="166"/>
      <c r="H244" s="166"/>
      <c r="I244" s="167">
        <f>IF(ISTEXT('BS Raw'!I11),'BS Raw'!I61/Input!$B$1,Input!I240)</f>
        <v>0</v>
      </c>
      <c r="J244" s="167">
        <f>IF(ISTEXT('BS Raw'!J11),'BS Raw'!J61/Input!$B$1,Input!J240)</f>
        <v>0</v>
      </c>
      <c r="K244" s="167">
        <f>IF(ISTEXT('BS Raw'!K11),'BS Raw'!K61/Input!$B$1,Input!K240)</f>
        <v>0</v>
      </c>
      <c r="L244" s="167">
        <f>IF(ISTEXT('BS Raw'!L11),'BS Raw'!L61/Input!$B$1,Input!L240)</f>
        <v>0</v>
      </c>
      <c r="M244" s="167">
        <f>IF(ISTEXT('BS Raw'!M11),'BS Raw'!M61/Input!$B$1,Input!M240)</f>
        <v>0</v>
      </c>
      <c r="N244" s="167">
        <f>IF(ISTEXT('BS Raw'!N11),'BS Raw'!N61/Input!$B$1,Input!N240)</f>
        <v>0</v>
      </c>
      <c r="O244" s="167">
        <f>IF(ISTEXT('BS Raw'!O11),'BS Raw'!O61/Input!$B$1,Input!O240)</f>
        <v>0</v>
      </c>
      <c r="P244" s="743">
        <f>IF(ISTEXT('BS Raw'!P11),'BS Raw'!P61/Input!$B$1,Input!P240)</f>
        <v>0</v>
      </c>
      <c r="Q244" s="168">
        <f>IF(ISTEXT('BS Raw'!Q11),'BS Raw'!Q61/Input!$B$1,Input!Q240)</f>
        <v>0</v>
      </c>
      <c r="R244" s="168">
        <f>IF(ISTEXT('BS Raw'!R11),'BS Raw'!R61/Input!$B$1,Input!R240)</f>
        <v>0</v>
      </c>
      <c r="S244" s="168">
        <f>IF(ISTEXT('BS Raw'!S11),'BS Raw'!S61/Input!$B$1,Input!S240)</f>
        <v>0</v>
      </c>
      <c r="T244" s="168">
        <f>IF(ISTEXT('BS Raw'!T11),'BS Raw'!T61/Input!$B$1,Input!T240)</f>
        <v>0</v>
      </c>
      <c r="U244" s="168">
        <f>IF(ISTEXT('BS Raw'!U11),'BS Raw'!U61/Input!$B$1,Input!U240)</f>
        <v>0</v>
      </c>
      <c r="V244" s="168">
        <f>IF(ISTEXT('BS Raw'!V11),'BS Raw'!V61/Input!$B$1,Input!V240)</f>
        <v>0</v>
      </c>
      <c r="W244" s="168">
        <f>IF(ISTEXT('BS Raw'!W11),'BS Raw'!W61/Input!$B$1,Input!W240)</f>
        <v>0</v>
      </c>
      <c r="X244" s="168">
        <f>IF(ISTEXT('BS Raw'!X11),'BS Raw'!X61/Input!$B$1,Input!X240)</f>
        <v>0</v>
      </c>
      <c r="Y244" s="168">
        <f>IF(ISTEXT('BS Raw'!Y11),'BS Raw'!Y61/Input!$B$1,Input!Y240)</f>
        <v>0</v>
      </c>
      <c r="Z244" s="168">
        <f>IF(ISTEXT('BS Raw'!Z11),'BS Raw'!Z61/Input!$B$1,Input!Z240)</f>
        <v>0</v>
      </c>
      <c r="AA244" s="168"/>
      <c r="AB244" s="169"/>
      <c r="AC244" s="169"/>
      <c r="AD244" s="169"/>
      <c r="AE244" s="169"/>
      <c r="AF244" s="169"/>
      <c r="AG244" s="169"/>
      <c r="AH244" s="169"/>
      <c r="AI244" s="169"/>
      <c r="AJ244" s="169"/>
      <c r="AK244" s="169"/>
      <c r="AL244" s="169"/>
      <c r="AM244" s="169"/>
      <c r="AN244" s="169"/>
      <c r="AO244" s="169"/>
      <c r="AP244" s="169"/>
      <c r="AQ244" s="169"/>
      <c r="AR244" s="169"/>
      <c r="AS244" s="169"/>
      <c r="AT244" s="169"/>
      <c r="AU244" s="169"/>
      <c r="AV244" s="169"/>
      <c r="AW244" s="169"/>
      <c r="AX244" s="169"/>
      <c r="AY244" s="169"/>
      <c r="AZ244" s="169"/>
      <c r="BA244" s="169"/>
      <c r="BB244" s="139"/>
      <c r="BC244" s="140"/>
    </row>
    <row r="245" spans="1:57" x14ac:dyDescent="0.25">
      <c r="A245" s="64"/>
      <c r="D245" s="112"/>
      <c r="E245" s="170"/>
      <c r="F245" s="170"/>
      <c r="G245" s="170"/>
      <c r="H245" s="170"/>
      <c r="I245" s="170"/>
      <c r="J245" s="170"/>
      <c r="K245" s="170"/>
      <c r="L245" s="170"/>
      <c r="M245" s="170"/>
      <c r="N245" s="170"/>
      <c r="O245" s="170"/>
      <c r="P245" s="171"/>
      <c r="Q245" s="170"/>
      <c r="R245" s="170"/>
      <c r="S245" s="170"/>
      <c r="T245" s="170"/>
      <c r="U245" s="170"/>
      <c r="V245" s="170"/>
      <c r="W245" s="170"/>
      <c r="X245" s="170"/>
      <c r="Y245" s="170"/>
      <c r="Z245" s="170"/>
      <c r="AA245" s="170"/>
      <c r="AB245" s="170"/>
      <c r="AC245" s="170"/>
      <c r="AD245" s="170"/>
      <c r="AE245" s="170"/>
      <c r="AF245" s="170"/>
      <c r="AG245" s="170"/>
      <c r="AH245" s="170"/>
      <c r="AI245" s="170"/>
      <c r="AJ245" s="170"/>
      <c r="AK245" s="170"/>
      <c r="AL245" s="170"/>
      <c r="AM245" s="170"/>
      <c r="AN245" s="170"/>
      <c r="AO245" s="170"/>
      <c r="AP245" s="170"/>
      <c r="AQ245" s="170"/>
      <c r="AR245" s="170"/>
      <c r="AS245" s="170"/>
      <c r="AT245" s="170"/>
      <c r="AU245" s="170"/>
      <c r="AV245" s="170"/>
      <c r="AW245" s="170"/>
      <c r="AX245" s="170"/>
      <c r="AY245" s="170"/>
      <c r="AZ245" s="170"/>
      <c r="BA245" s="170"/>
      <c r="BB245" s="113"/>
      <c r="BD245" s="112"/>
      <c r="BE245" s="112"/>
    </row>
    <row r="246" spans="1:57" x14ac:dyDescent="0.25">
      <c r="A246" s="64">
        <v>12</v>
      </c>
      <c r="B246" s="29" t="s">
        <v>573</v>
      </c>
      <c r="D246" s="112"/>
      <c r="E246" s="66"/>
      <c r="F246" s="66"/>
      <c r="G246" s="66"/>
      <c r="H246" s="66"/>
      <c r="I246" s="220">
        <f>'BS Raw'!I64/$B$1</f>
        <v>29.992621136</v>
      </c>
      <c r="J246" s="220">
        <f>'BS Raw'!J64/$B$1</f>
        <v>21.415993584999999</v>
      </c>
      <c r="K246" s="220">
        <f>'BS Raw'!K64/$B$1</f>
        <v>31.104990451999999</v>
      </c>
      <c r="L246" s="220">
        <f>'BS Raw'!L64/$B$1</f>
        <v>11.268113916000001</v>
      </c>
      <c r="M246" s="220">
        <f>'BS Raw'!M64/$B$1</f>
        <v>25.129864154</v>
      </c>
      <c r="N246" s="220">
        <f>'BS Raw'!N64/$B$1</f>
        <v>164.76199041800001</v>
      </c>
      <c r="O246" s="220">
        <f>'BS Raw'!O64/$B$1</f>
        <v>170.57785144900001</v>
      </c>
      <c r="P246" s="1789">
        <f>'BS Raw'!P64/$B$1</f>
        <v>159.58735877699999</v>
      </c>
      <c r="Q246" s="228">
        <f>'LT. Asset'!Q216</f>
        <v>188.6132290947628</v>
      </c>
      <c r="R246" s="228">
        <f>'LT. Asset'!R216</f>
        <v>211.43553137692058</v>
      </c>
      <c r="S246" s="228">
        <f>'LT. Asset'!S216</f>
        <v>216.55063307270822</v>
      </c>
      <c r="T246" s="228">
        <f>'LT. Asset'!T216</f>
        <v>222.33387308527756</v>
      </c>
      <c r="U246" s="228">
        <f>'LT. Asset'!U216</f>
        <v>228.23208263096086</v>
      </c>
      <c r="V246" s="228">
        <f>'LT. Asset'!V216</f>
        <v>234.57693230621507</v>
      </c>
      <c r="W246" s="228">
        <f>'LT. Asset'!W216</f>
        <v>241.50219927170494</v>
      </c>
      <c r="X246" s="228">
        <f>'LT. Asset'!X216</f>
        <v>247.50638218538592</v>
      </c>
      <c r="Y246" s="228">
        <f>'LT. Asset'!Y216</f>
        <v>253.76480401718493</v>
      </c>
      <c r="Z246" s="228">
        <f>'LT. Asset'!Z216</f>
        <v>260.30073227493688</v>
      </c>
      <c r="AA246" s="228"/>
      <c r="AB246" s="224"/>
      <c r="AC246" s="224"/>
      <c r="AD246" s="224"/>
      <c r="AE246" s="224"/>
      <c r="AF246" s="224"/>
      <c r="AG246" s="224"/>
      <c r="AH246" s="224"/>
      <c r="AI246" s="224"/>
      <c r="AJ246" s="224"/>
      <c r="AK246" s="224"/>
      <c r="AL246" s="224"/>
      <c r="AM246" s="224"/>
      <c r="AN246" s="224"/>
      <c r="AO246" s="224"/>
      <c r="AP246" s="224"/>
      <c r="AQ246" s="224"/>
      <c r="AR246" s="224"/>
      <c r="AS246" s="224"/>
      <c r="AT246" s="224"/>
      <c r="AU246" s="224"/>
      <c r="AV246" s="224"/>
      <c r="AW246" s="224"/>
      <c r="AX246" s="224"/>
      <c r="AY246" s="224"/>
      <c r="AZ246" s="224"/>
      <c r="BA246" s="224"/>
      <c r="BB246" s="113"/>
      <c r="BC246" s="123"/>
      <c r="BD246" s="112"/>
      <c r="BE246" s="112"/>
    </row>
    <row r="247" spans="1:57" x14ac:dyDescent="0.25">
      <c r="A247" s="64"/>
      <c r="B247" s="141"/>
      <c r="C247" s="141"/>
      <c r="D247" s="112"/>
      <c r="E247" s="157"/>
      <c r="F247" s="157"/>
      <c r="G247" s="157"/>
      <c r="H247" s="157"/>
      <c r="I247" s="157"/>
      <c r="J247" s="157"/>
      <c r="K247" s="157"/>
      <c r="L247" s="157"/>
      <c r="M247" s="157"/>
      <c r="N247" s="170"/>
      <c r="O247" s="170"/>
      <c r="P247" s="171"/>
      <c r="Q247" s="224"/>
      <c r="R247" s="224"/>
      <c r="S247" s="224"/>
      <c r="T247" s="224"/>
      <c r="U247" s="224"/>
      <c r="V247" s="224"/>
      <c r="W247" s="224"/>
      <c r="X247" s="224"/>
      <c r="Y247" s="224"/>
      <c r="Z247" s="224"/>
      <c r="AA247" s="224"/>
      <c r="AB247" s="224"/>
      <c r="AC247" s="224"/>
      <c r="AD247" s="224"/>
      <c r="AE247" s="224"/>
      <c r="AF247" s="224"/>
      <c r="AG247" s="224"/>
      <c r="AH247" s="224"/>
      <c r="AI247" s="224"/>
      <c r="AJ247" s="224"/>
      <c r="AK247" s="224"/>
      <c r="AL247" s="224"/>
      <c r="AM247" s="224"/>
      <c r="AN247" s="224"/>
      <c r="AO247" s="224"/>
      <c r="AP247" s="224"/>
      <c r="AQ247" s="224"/>
      <c r="AR247" s="224"/>
      <c r="AS247" s="224"/>
      <c r="AT247" s="224"/>
      <c r="AU247" s="224"/>
      <c r="AV247" s="224"/>
      <c r="AW247" s="224"/>
      <c r="AX247" s="224"/>
      <c r="AY247" s="224"/>
      <c r="AZ247" s="224"/>
      <c r="BA247" s="224"/>
      <c r="BB247" s="113"/>
      <c r="BD247" s="112"/>
      <c r="BE247" s="112"/>
    </row>
    <row r="248" spans="1:57" x14ac:dyDescent="0.25">
      <c r="A248" s="64"/>
      <c r="B248" s="141"/>
      <c r="C248" s="141"/>
      <c r="D248" s="112"/>
      <c r="E248" s="66"/>
      <c r="F248" s="66"/>
      <c r="G248" s="66"/>
      <c r="H248" s="66"/>
      <c r="I248" s="66"/>
      <c r="J248" s="66"/>
      <c r="K248" s="66"/>
      <c r="L248" s="66"/>
      <c r="M248" s="66"/>
      <c r="N248" s="170"/>
      <c r="O248" s="170"/>
      <c r="P248" s="171"/>
      <c r="Q248" s="224"/>
      <c r="R248" s="224"/>
      <c r="S248" s="224"/>
      <c r="T248" s="224"/>
      <c r="U248" s="224"/>
      <c r="V248" s="224"/>
      <c r="W248" s="224"/>
      <c r="X248" s="224"/>
      <c r="Y248" s="224"/>
      <c r="Z248" s="224"/>
      <c r="AA248" s="224"/>
      <c r="AB248" s="224"/>
      <c r="AC248" s="224"/>
      <c r="AD248" s="224"/>
      <c r="AE248" s="224"/>
      <c r="AF248" s="224"/>
      <c r="AG248" s="224"/>
      <c r="AH248" s="224"/>
      <c r="AI248" s="224"/>
      <c r="AJ248" s="224"/>
      <c r="AK248" s="224"/>
      <c r="AL248" s="224"/>
      <c r="AM248" s="224"/>
      <c r="AN248" s="224"/>
      <c r="AO248" s="224"/>
      <c r="AP248" s="224"/>
      <c r="AQ248" s="224"/>
      <c r="AR248" s="224"/>
      <c r="AS248" s="224"/>
      <c r="AT248" s="224"/>
      <c r="AU248" s="224"/>
      <c r="AV248" s="224"/>
      <c r="AW248" s="224"/>
      <c r="AX248" s="224"/>
      <c r="AY248" s="224"/>
      <c r="AZ248" s="224"/>
      <c r="BA248" s="224"/>
      <c r="BB248" s="113"/>
      <c r="BD248" s="112"/>
      <c r="BE248" s="112"/>
    </row>
    <row r="249" spans="1:57" s="117" customFormat="1" x14ac:dyDescent="0.25">
      <c r="A249" s="132"/>
      <c r="B249" s="133" t="s">
        <v>120</v>
      </c>
      <c r="C249" s="133"/>
      <c r="D249" s="134"/>
      <c r="E249" s="166"/>
      <c r="F249" s="166"/>
      <c r="G249" s="166"/>
      <c r="H249" s="166"/>
      <c r="I249" s="167">
        <f>IF(ISTEXT('BS Raw'!I11),'BS Raw'!I64/Input!$B$1,Input!I246)</f>
        <v>29.992621136</v>
      </c>
      <c r="J249" s="167">
        <f>IF(ISTEXT('BS Raw'!J11),'BS Raw'!J64/Input!$B$1,Input!J246)</f>
        <v>21.415993584999999</v>
      </c>
      <c r="K249" s="167">
        <f>IF(ISTEXT('BS Raw'!K11),'BS Raw'!K64/Input!$B$1,Input!K246)</f>
        <v>31.104990451999999</v>
      </c>
      <c r="L249" s="167">
        <f>IF(ISTEXT('BS Raw'!L11),'BS Raw'!L64/Input!$B$1,Input!L246)</f>
        <v>11.268113916000001</v>
      </c>
      <c r="M249" s="167">
        <f>IF(ISTEXT('BS Raw'!M11),'BS Raw'!M64/Input!$B$1,Input!M246)</f>
        <v>25.129864154</v>
      </c>
      <c r="N249" s="167">
        <f>IF(ISTEXT('BS Raw'!N11),'BS Raw'!N64/Input!$B$1,Input!N246)</f>
        <v>164.76199041800001</v>
      </c>
      <c r="O249" s="167">
        <f>IF(ISTEXT('BS Raw'!O11),'BS Raw'!O64/Input!$B$1,Input!O246)</f>
        <v>170.57785144900001</v>
      </c>
      <c r="P249" s="743">
        <f>IF(ISTEXT('BS Raw'!P11),'BS Raw'!P64/Input!$B$1,Input!P246)</f>
        <v>159.58735877699999</v>
      </c>
      <c r="Q249" s="168">
        <f>IF(ISTEXT('BS Raw'!Q11),'BS Raw'!Q64/Input!$B$1,Input!Q246)</f>
        <v>188.6132290947628</v>
      </c>
      <c r="R249" s="168">
        <f>IF(ISTEXT('BS Raw'!R11),'BS Raw'!R64/Input!$B$1,Input!R246)</f>
        <v>211.43553137692058</v>
      </c>
      <c r="S249" s="168">
        <f>IF(ISTEXT('BS Raw'!S11),'BS Raw'!S64/Input!$B$1,Input!S246)</f>
        <v>216.55063307270822</v>
      </c>
      <c r="T249" s="168">
        <f>IF(ISTEXT('BS Raw'!T11),'BS Raw'!T64/Input!$B$1,Input!T246)</f>
        <v>222.33387308527756</v>
      </c>
      <c r="U249" s="168">
        <f>IF(ISTEXT('BS Raw'!U11),'BS Raw'!U64/Input!$B$1,Input!U246)</f>
        <v>228.23208263096086</v>
      </c>
      <c r="V249" s="168">
        <f>IF(ISTEXT('BS Raw'!V11),'BS Raw'!V64/Input!$B$1,Input!V246)</f>
        <v>234.57693230621507</v>
      </c>
      <c r="W249" s="168">
        <f>IF(ISTEXT('BS Raw'!W11),'BS Raw'!W64/Input!$B$1,Input!W246)</f>
        <v>241.50219927170494</v>
      </c>
      <c r="X249" s="168">
        <f>IF(ISTEXT('BS Raw'!X11),'BS Raw'!X64/Input!$B$1,Input!X246)</f>
        <v>247.50638218538592</v>
      </c>
      <c r="Y249" s="168">
        <f>IF(ISTEXT('BS Raw'!Y11),'BS Raw'!Y64/Input!$B$1,Input!Y246)</f>
        <v>253.76480401718493</v>
      </c>
      <c r="Z249" s="168">
        <f>IF(ISTEXT('BS Raw'!Z11),'BS Raw'!Z64/Input!$B$1,Input!Z246)</f>
        <v>260.30073227493688</v>
      </c>
      <c r="AA249" s="168"/>
      <c r="AB249" s="169"/>
      <c r="AC249" s="169"/>
      <c r="AD249" s="169"/>
      <c r="AE249" s="169"/>
      <c r="AF249" s="169"/>
      <c r="AG249" s="169"/>
      <c r="AH249" s="169"/>
      <c r="AI249" s="169"/>
      <c r="AJ249" s="169"/>
      <c r="AK249" s="169"/>
      <c r="AL249" s="169"/>
      <c r="AM249" s="169"/>
      <c r="AN249" s="169"/>
      <c r="AO249" s="169"/>
      <c r="AP249" s="169"/>
      <c r="AQ249" s="169"/>
      <c r="AR249" s="169"/>
      <c r="AS249" s="169"/>
      <c r="AT249" s="169"/>
      <c r="AU249" s="169"/>
      <c r="AV249" s="169"/>
      <c r="AW249" s="169"/>
      <c r="AX249" s="169"/>
      <c r="AY249" s="169"/>
      <c r="AZ249" s="169"/>
      <c r="BA249" s="169"/>
      <c r="BB249" s="139"/>
      <c r="BC249" s="140"/>
    </row>
    <row r="250" spans="1:57" x14ac:dyDescent="0.25">
      <c r="A250" s="64"/>
      <c r="D250" s="112"/>
      <c r="E250" s="170"/>
      <c r="F250" s="170"/>
      <c r="G250" s="170"/>
      <c r="H250" s="170"/>
      <c r="I250" s="170"/>
      <c r="J250" s="170"/>
      <c r="K250" s="170"/>
      <c r="L250" s="170"/>
      <c r="M250" s="170"/>
      <c r="N250" s="170"/>
      <c r="O250" s="170"/>
      <c r="P250" s="171"/>
      <c r="Q250" s="170"/>
      <c r="R250" s="170"/>
      <c r="S250" s="170"/>
      <c r="T250" s="170"/>
      <c r="U250" s="170"/>
      <c r="V250" s="170"/>
      <c r="W250" s="170"/>
      <c r="X250" s="170"/>
      <c r="Y250" s="170"/>
      <c r="Z250" s="170"/>
      <c r="AA250" s="170"/>
      <c r="AB250" s="170"/>
      <c r="AC250" s="170"/>
      <c r="AD250" s="170"/>
      <c r="AE250" s="170"/>
      <c r="AF250" s="170"/>
      <c r="AG250" s="170"/>
      <c r="AH250" s="170"/>
      <c r="AI250" s="170"/>
      <c r="AJ250" s="170"/>
      <c r="AK250" s="170"/>
      <c r="AL250" s="170"/>
      <c r="AM250" s="170"/>
      <c r="AN250" s="170"/>
      <c r="AO250" s="170"/>
      <c r="AP250" s="170"/>
      <c r="AQ250" s="170"/>
      <c r="AR250" s="170"/>
      <c r="AS250" s="170"/>
      <c r="AT250" s="170"/>
      <c r="AU250" s="170"/>
      <c r="AV250" s="170"/>
      <c r="AW250" s="170"/>
      <c r="AX250" s="170"/>
      <c r="AY250" s="170"/>
      <c r="AZ250" s="170"/>
      <c r="BA250" s="170"/>
      <c r="BB250" s="113"/>
      <c r="BD250" s="112"/>
      <c r="BE250" s="112"/>
    </row>
    <row r="251" spans="1:57" x14ac:dyDescent="0.25">
      <c r="A251" s="64">
        <v>13</v>
      </c>
      <c r="B251" s="29" t="s">
        <v>574</v>
      </c>
      <c r="D251" s="112"/>
      <c r="E251" s="66"/>
      <c r="F251" s="66"/>
      <c r="G251" s="66"/>
      <c r="H251" s="66"/>
      <c r="I251" s="220">
        <f>'BS Raw'!I67/$B$1</f>
        <v>0</v>
      </c>
      <c r="J251" s="220">
        <f>'BS Raw'!J67/$B$1</f>
        <v>102.066301514</v>
      </c>
      <c r="K251" s="220">
        <f>'BS Raw'!K67/$B$1</f>
        <v>132.06153973299999</v>
      </c>
      <c r="L251" s="220">
        <f>'BS Raw'!L67/$B$1</f>
        <v>140.09167586000001</v>
      </c>
      <c r="M251" s="220">
        <f>'BS Raw'!M67/$B$1</f>
        <v>143.52605559899999</v>
      </c>
      <c r="N251" s="220">
        <f>'BS Raw'!N67/$B$1</f>
        <v>149.78481101099999</v>
      </c>
      <c r="O251" s="220">
        <f>'BS Raw'!O67/$B$1</f>
        <v>141.60357330100001</v>
      </c>
      <c r="P251" s="1789">
        <f>'BS Raw'!P67/$B$1</f>
        <v>140.10113354500001</v>
      </c>
      <c r="Q251" s="221">
        <f>P251</f>
        <v>140.10113354500001</v>
      </c>
      <c r="R251" s="221">
        <f t="shared" ref="R251:Z251" si="172">Q251</f>
        <v>140.10113354500001</v>
      </c>
      <c r="S251" s="221">
        <f t="shared" si="172"/>
        <v>140.10113354500001</v>
      </c>
      <c r="T251" s="221">
        <f t="shared" si="172"/>
        <v>140.10113354500001</v>
      </c>
      <c r="U251" s="221">
        <f t="shared" si="172"/>
        <v>140.10113354500001</v>
      </c>
      <c r="V251" s="221">
        <f t="shared" si="172"/>
        <v>140.10113354500001</v>
      </c>
      <c r="W251" s="221">
        <f t="shared" si="172"/>
        <v>140.10113354500001</v>
      </c>
      <c r="X251" s="221">
        <f t="shared" si="172"/>
        <v>140.10113354500001</v>
      </c>
      <c r="Y251" s="221">
        <f t="shared" si="172"/>
        <v>140.10113354500001</v>
      </c>
      <c r="Z251" s="221">
        <f t="shared" si="172"/>
        <v>140.10113354500001</v>
      </c>
      <c r="AA251" s="221"/>
      <c r="AB251" s="222"/>
      <c r="AC251" s="222"/>
      <c r="AD251" s="222"/>
      <c r="AE251" s="222"/>
      <c r="AF251" s="222"/>
      <c r="AG251" s="222"/>
      <c r="AH251" s="222"/>
      <c r="AI251" s="222"/>
      <c r="AJ251" s="222"/>
      <c r="AK251" s="222"/>
      <c r="AL251" s="222"/>
      <c r="AM251" s="222"/>
      <c r="AN251" s="222"/>
      <c r="AO251" s="222"/>
      <c r="AP251" s="222"/>
      <c r="AQ251" s="222"/>
      <c r="AR251" s="222"/>
      <c r="AS251" s="222"/>
      <c r="AT251" s="222"/>
      <c r="AU251" s="222"/>
      <c r="AV251" s="222"/>
      <c r="AW251" s="222"/>
      <c r="AX251" s="222"/>
      <c r="AY251" s="222"/>
      <c r="AZ251" s="222"/>
      <c r="BA251" s="222"/>
      <c r="BB251" s="113"/>
      <c r="BC251" s="382"/>
      <c r="BD251" s="112"/>
      <c r="BE251" s="112"/>
    </row>
    <row r="252" spans="1:57" x14ac:dyDescent="0.25">
      <c r="A252" s="64"/>
      <c r="B252" s="147" t="s">
        <v>457</v>
      </c>
      <c r="C252" s="147"/>
      <c r="D252" s="112"/>
      <c r="E252" s="170"/>
      <c r="F252" s="170"/>
      <c r="G252" s="170"/>
      <c r="H252" s="170"/>
      <c r="I252" s="170"/>
      <c r="J252" s="170"/>
      <c r="K252" s="170"/>
      <c r="L252" s="170"/>
      <c r="M252" s="170"/>
      <c r="N252" s="170"/>
      <c r="O252" s="170"/>
      <c r="P252" s="171"/>
      <c r="Q252" s="224"/>
      <c r="R252" s="224"/>
      <c r="S252" s="224"/>
      <c r="T252" s="224"/>
      <c r="U252" s="224"/>
      <c r="V252" s="224"/>
      <c r="W252" s="224"/>
      <c r="X252" s="224"/>
      <c r="Y252" s="224"/>
      <c r="Z252" s="224"/>
      <c r="AA252" s="224"/>
      <c r="AB252" s="224"/>
      <c r="AC252" s="224"/>
      <c r="AD252" s="224"/>
      <c r="AE252" s="224"/>
      <c r="AF252" s="224"/>
      <c r="AG252" s="224"/>
      <c r="AH252" s="224"/>
      <c r="AI252" s="224"/>
      <c r="AJ252" s="224"/>
      <c r="AK252" s="224"/>
      <c r="AL252" s="224"/>
      <c r="AM252" s="224"/>
      <c r="AN252" s="224"/>
      <c r="AO252" s="224"/>
      <c r="AP252" s="224"/>
      <c r="AQ252" s="224"/>
      <c r="AR252" s="224"/>
      <c r="AS252" s="224"/>
      <c r="AT252" s="224"/>
      <c r="AU252" s="224"/>
      <c r="AV252" s="224"/>
      <c r="AW252" s="224"/>
      <c r="AX252" s="224"/>
      <c r="AY252" s="224"/>
      <c r="AZ252" s="224"/>
      <c r="BA252" s="224"/>
      <c r="BB252" s="113"/>
      <c r="BC252" s="272"/>
      <c r="BD252" s="112"/>
      <c r="BE252" s="112"/>
    </row>
    <row r="253" spans="1:57" x14ac:dyDescent="0.25">
      <c r="A253" s="64"/>
      <c r="B253" s="147" t="s">
        <v>575</v>
      </c>
      <c r="C253" s="147"/>
      <c r="D253" s="112"/>
      <c r="E253" s="170"/>
      <c r="F253" s="170"/>
      <c r="G253" s="170"/>
      <c r="H253" s="170"/>
      <c r="I253" s="170"/>
      <c r="J253" s="170"/>
      <c r="K253" s="170"/>
      <c r="L253" s="170"/>
      <c r="M253" s="170"/>
      <c r="N253" s="170"/>
      <c r="O253" s="170"/>
      <c r="P253" s="171"/>
      <c r="Q253" s="224"/>
      <c r="R253" s="224"/>
      <c r="S253" s="224"/>
      <c r="T253" s="224"/>
      <c r="U253" s="224"/>
      <c r="V253" s="224"/>
      <c r="W253" s="224"/>
      <c r="X253" s="224"/>
      <c r="Y253" s="224"/>
      <c r="Z253" s="224"/>
      <c r="AA253" s="224"/>
      <c r="AB253" s="224"/>
      <c r="AC253" s="224"/>
      <c r="AD253" s="224"/>
      <c r="AE253" s="224"/>
      <c r="AF253" s="224"/>
      <c r="AG253" s="224"/>
      <c r="AH253" s="224"/>
      <c r="AI253" s="224"/>
      <c r="AJ253" s="224"/>
      <c r="AK253" s="224"/>
      <c r="AL253" s="224"/>
      <c r="AM253" s="224"/>
      <c r="AN253" s="224"/>
      <c r="AO253" s="224"/>
      <c r="AP253" s="224"/>
      <c r="AQ253" s="224"/>
      <c r="AR253" s="224"/>
      <c r="AS253" s="224"/>
      <c r="AT253" s="224"/>
      <c r="AU253" s="224"/>
      <c r="AV253" s="224"/>
      <c r="AW253" s="224"/>
      <c r="AX253" s="224"/>
      <c r="AY253" s="224"/>
      <c r="AZ253" s="224"/>
      <c r="BA253" s="224"/>
      <c r="BB253" s="113"/>
      <c r="BC253" s="411"/>
      <c r="BD253" s="112"/>
      <c r="BE253" s="112"/>
    </row>
    <row r="254" spans="1:57" s="281" customFormat="1" x14ac:dyDescent="0.25">
      <c r="A254" s="132"/>
      <c r="B254" s="133" t="s">
        <v>576</v>
      </c>
      <c r="C254" s="133"/>
      <c r="D254" s="445"/>
      <c r="E254" s="166"/>
      <c r="F254" s="166"/>
      <c r="G254" s="166"/>
      <c r="H254" s="166"/>
      <c r="I254" s="167">
        <f>IF(ISTEXT('BS Raw'!I11),'BS Raw'!I67/Input!$B$1,Input!I251)</f>
        <v>0</v>
      </c>
      <c r="J254" s="167">
        <f>IF(ISTEXT('BS Raw'!J11),'BS Raw'!J67/Input!$B$1,Input!J251)</f>
        <v>102.066301514</v>
      </c>
      <c r="K254" s="167">
        <f>IF(ISTEXT('BS Raw'!K11),'BS Raw'!K67/Input!$B$1,Input!K251)</f>
        <v>132.06153973299999</v>
      </c>
      <c r="L254" s="167">
        <f>IF(ISTEXT('BS Raw'!L11),'BS Raw'!L67/Input!$B$1,Input!L251)</f>
        <v>140.09167586000001</v>
      </c>
      <c r="M254" s="167">
        <f>IF(ISTEXT('BS Raw'!M11),'BS Raw'!M67/Input!$B$1,Input!M251)</f>
        <v>143.52605559899999</v>
      </c>
      <c r="N254" s="167">
        <f>IF(ISTEXT('BS Raw'!N11),'BS Raw'!N67/Input!$B$1,Input!N251)</f>
        <v>149.78481101099999</v>
      </c>
      <c r="O254" s="167">
        <f>IF(ISTEXT('BS Raw'!O11),'BS Raw'!O67/Input!$B$1,Input!O251)</f>
        <v>141.60357330100001</v>
      </c>
      <c r="P254" s="743">
        <f>IF(ISTEXT('BS Raw'!P11),'BS Raw'!P67/Input!$B$1,Input!P251)</f>
        <v>140.10113354500001</v>
      </c>
      <c r="Q254" s="168">
        <f>IF(ISTEXT('BS Raw'!Q11),'BS Raw'!Q67/Input!$B$1,Input!Q251)</f>
        <v>140.10113354500001</v>
      </c>
      <c r="R254" s="168">
        <f>IF(ISTEXT('BS Raw'!R11),'BS Raw'!R67/Input!$B$1,Input!R251)</f>
        <v>140.10113354500001</v>
      </c>
      <c r="S254" s="168">
        <f>IF(ISTEXT('BS Raw'!S11),'BS Raw'!S67/Input!$B$1,Input!S251)</f>
        <v>140.10113354500001</v>
      </c>
      <c r="T254" s="168">
        <f>IF(ISTEXT('BS Raw'!T11),'BS Raw'!T67/Input!$B$1,Input!T251)</f>
        <v>140.10113354500001</v>
      </c>
      <c r="U254" s="168">
        <f>IF(ISTEXT('BS Raw'!U11),'BS Raw'!U67/Input!$B$1,Input!U251)</f>
        <v>140.10113354500001</v>
      </c>
      <c r="V254" s="168">
        <f>IF(ISTEXT('BS Raw'!V11),'BS Raw'!V67/Input!$B$1,Input!V251)</f>
        <v>140.10113354500001</v>
      </c>
      <c r="W254" s="168">
        <f>IF(ISTEXT('BS Raw'!W11),'BS Raw'!W67/Input!$B$1,Input!W251)</f>
        <v>140.10113354500001</v>
      </c>
      <c r="X254" s="168">
        <f>IF(ISTEXT('BS Raw'!X11),'BS Raw'!X67/Input!$B$1,Input!X251)</f>
        <v>140.10113354500001</v>
      </c>
      <c r="Y254" s="168">
        <f>IF(ISTEXT('BS Raw'!Y11),'BS Raw'!Y67/Input!$B$1,Input!Y251)</f>
        <v>140.10113354500001</v>
      </c>
      <c r="Z254" s="168">
        <f>IF(ISTEXT('BS Raw'!Z11),'BS Raw'!Z67/Input!$B$1,Input!Z251)</f>
        <v>140.10113354500001</v>
      </c>
      <c r="AA254" s="168"/>
      <c r="AB254" s="169"/>
      <c r="AC254" s="169"/>
      <c r="AD254" s="169"/>
      <c r="AE254" s="169"/>
      <c r="AF254" s="169"/>
      <c r="AG254" s="169"/>
      <c r="AH254" s="169"/>
      <c r="AI254" s="169"/>
      <c r="AJ254" s="169"/>
      <c r="AK254" s="169"/>
      <c r="AL254" s="169"/>
      <c r="AM254" s="169"/>
      <c r="AN254" s="169"/>
      <c r="AO254" s="169"/>
      <c r="AP254" s="169"/>
      <c r="AQ254" s="169"/>
      <c r="AR254" s="169"/>
      <c r="AS254" s="169"/>
      <c r="AT254" s="169"/>
      <c r="AU254" s="169"/>
      <c r="AV254" s="169"/>
      <c r="AW254" s="169"/>
      <c r="AX254" s="169"/>
      <c r="AY254" s="169"/>
      <c r="AZ254" s="169"/>
      <c r="BA254" s="169"/>
      <c r="BB254" s="446"/>
      <c r="BC254" s="140"/>
    </row>
    <row r="255" spans="1:57" x14ac:dyDescent="0.25">
      <c r="A255" s="64"/>
      <c r="D255" s="112"/>
      <c r="E255" s="170"/>
      <c r="F255" s="170"/>
      <c r="G255" s="170"/>
      <c r="H255" s="170"/>
      <c r="I255" s="170"/>
      <c r="J255" s="170"/>
      <c r="K255" s="170"/>
      <c r="L255" s="170"/>
      <c r="M255" s="170"/>
      <c r="N255" s="170"/>
      <c r="O255" s="170"/>
      <c r="P255" s="171"/>
      <c r="Q255" s="170"/>
      <c r="R255" s="170"/>
      <c r="S255" s="170"/>
      <c r="T255" s="170"/>
      <c r="U255" s="170"/>
      <c r="V255" s="170"/>
      <c r="W255" s="170"/>
      <c r="X255" s="170"/>
      <c r="Y255" s="170"/>
      <c r="Z255" s="170"/>
      <c r="AA255" s="170"/>
      <c r="AB255" s="170"/>
      <c r="AC255" s="170"/>
      <c r="AD255" s="170"/>
      <c r="AE255" s="170"/>
      <c r="AF255" s="170"/>
      <c r="AG255" s="170"/>
      <c r="AH255" s="170"/>
      <c r="AI255" s="170"/>
      <c r="AJ255" s="170"/>
      <c r="AK255" s="170"/>
      <c r="AL255" s="170"/>
      <c r="AM255" s="170"/>
      <c r="AN255" s="170"/>
      <c r="AO255" s="170"/>
      <c r="AP255" s="170"/>
      <c r="AQ255" s="170"/>
      <c r="AR255" s="170"/>
      <c r="AS255" s="170"/>
      <c r="AT255" s="170"/>
      <c r="AU255" s="170"/>
      <c r="AV255" s="170"/>
      <c r="AW255" s="170"/>
      <c r="AX255" s="170"/>
      <c r="AY255" s="170"/>
      <c r="AZ255" s="170"/>
      <c r="BA255" s="170"/>
      <c r="BB255" s="113"/>
      <c r="BD255" s="112"/>
      <c r="BE255" s="112"/>
    </row>
    <row r="256" spans="1:57" x14ac:dyDescent="0.25">
      <c r="A256" s="64">
        <v>14</v>
      </c>
      <c r="B256" s="29" t="s">
        <v>577</v>
      </c>
      <c r="D256" s="112"/>
      <c r="E256" s="66"/>
      <c r="F256" s="66"/>
      <c r="G256" s="66"/>
      <c r="H256" s="66"/>
      <c r="I256" s="220">
        <f>'BS Raw'!I74/$B$1</f>
        <v>9.5248180990000009</v>
      </c>
      <c r="J256" s="220">
        <f>'BS Raw'!J74/$B$1</f>
        <v>3.6169953179999998</v>
      </c>
      <c r="K256" s="220">
        <f>'BS Raw'!K74/$B$1</f>
        <v>12.188688195999999</v>
      </c>
      <c r="L256" s="220">
        <f>'BS Raw'!L74/$B$1</f>
        <v>30.486432994000001</v>
      </c>
      <c r="M256" s="220">
        <f>'BS Raw'!M74/$B$1</f>
        <v>25.586233622000002</v>
      </c>
      <c r="N256" s="220">
        <f>'BS Raw'!N74/$B$1</f>
        <v>40.525556017</v>
      </c>
      <c r="O256" s="220">
        <f>'BS Raw'!O74/$B$1</f>
        <v>40.759714741000003</v>
      </c>
      <c r="P256" s="1789">
        <f>'BS Raw'!P74/$B$1</f>
        <v>34.410049970999999</v>
      </c>
      <c r="Q256" s="228">
        <f>Q5*Q257</f>
        <v>33.158082397625925</v>
      </c>
      <c r="R256" s="228">
        <f t="shared" ref="R256:Z256" si="173">R5*R257</f>
        <v>38.797289268587619</v>
      </c>
      <c r="S256" s="228">
        <f t="shared" si="173"/>
        <v>53.206005461043183</v>
      </c>
      <c r="T256" s="228">
        <f t="shared" si="173"/>
        <v>57.478111211432648</v>
      </c>
      <c r="U256" s="228">
        <f t="shared" si="173"/>
        <v>63.286080591667066</v>
      </c>
      <c r="V256" s="228">
        <f t="shared" si="173"/>
        <v>63.817704978128077</v>
      </c>
      <c r="W256" s="228">
        <f t="shared" si="173"/>
        <v>64.309835714675458</v>
      </c>
      <c r="X256" s="228">
        <f t="shared" si="173"/>
        <v>67.248814410265595</v>
      </c>
      <c r="Y256" s="228">
        <f t="shared" si="173"/>
        <v>71.472626073670341</v>
      </c>
      <c r="Z256" s="228">
        <f t="shared" si="173"/>
        <v>75.20250936090234</v>
      </c>
      <c r="AA256" s="228"/>
      <c r="AB256" s="224"/>
      <c r="AC256" s="224"/>
      <c r="AD256" s="224"/>
      <c r="AE256" s="224"/>
      <c r="AF256" s="224"/>
      <c r="AG256" s="224"/>
      <c r="AH256" s="224"/>
      <c r="AI256" s="224"/>
      <c r="AJ256" s="224"/>
      <c r="AK256" s="224"/>
      <c r="AL256" s="224"/>
      <c r="AM256" s="224"/>
      <c r="AN256" s="224"/>
      <c r="AO256" s="224"/>
      <c r="AP256" s="224"/>
      <c r="AQ256" s="224"/>
      <c r="AR256" s="224"/>
      <c r="AS256" s="224"/>
      <c r="AT256" s="224"/>
      <c r="AU256" s="224"/>
      <c r="AV256" s="224"/>
      <c r="AW256" s="224"/>
      <c r="AX256" s="224"/>
      <c r="AY256" s="224"/>
      <c r="AZ256" s="224"/>
      <c r="BA256" s="224"/>
      <c r="BB256" s="113"/>
      <c r="BD256" s="112"/>
      <c r="BE256" s="112"/>
    </row>
    <row r="257" spans="1:57" s="180" customFormat="1" x14ac:dyDescent="0.25">
      <c r="A257" s="189"/>
      <c r="B257" s="175" t="s">
        <v>404</v>
      </c>
      <c r="C257" s="175"/>
      <c r="E257" s="196"/>
      <c r="F257" s="196"/>
      <c r="G257" s="196"/>
      <c r="H257" s="196"/>
      <c r="I257" s="259">
        <f>I256/I7</f>
        <v>3.8847010451188275E-3</v>
      </c>
      <c r="J257" s="259">
        <f>J256/J7</f>
        <v>2.9524852571088801E-3</v>
      </c>
      <c r="K257" s="259">
        <f t="shared" ref="K257:P257" si="174">K256/K7</f>
        <v>8.8011206946419542E-3</v>
      </c>
      <c r="L257" s="259">
        <f t="shared" si="174"/>
        <v>2.1960691043112521E-2</v>
      </c>
      <c r="M257" s="259">
        <f t="shared" si="174"/>
        <v>1.8262519304779939E-2</v>
      </c>
      <c r="N257" s="259">
        <f t="shared" si="174"/>
        <v>3.2119064654100853E-2</v>
      </c>
      <c r="O257" s="259">
        <f t="shared" si="174"/>
        <v>3.2427413849392323E-2</v>
      </c>
      <c r="P257" s="1244">
        <f t="shared" si="174"/>
        <v>2.2078892715373458E-2</v>
      </c>
      <c r="Q257" s="260">
        <f>AVERAGE(J257:P257)</f>
        <v>1.9800312502644277E-2</v>
      </c>
      <c r="R257" s="260">
        <f t="shared" ref="R257:Z257" si="175">AVERAGE(K257:Q257)</f>
        <v>2.220714496629219E-2</v>
      </c>
      <c r="S257" s="260">
        <f t="shared" si="175"/>
        <v>2.4122291290813652E-2</v>
      </c>
      <c r="T257" s="260">
        <f t="shared" si="175"/>
        <v>2.4431091326199524E-2</v>
      </c>
      <c r="U257" s="260">
        <f t="shared" si="175"/>
        <v>2.5312315900688036E-2</v>
      </c>
      <c r="V257" s="260">
        <f t="shared" si="175"/>
        <v>2.4339923221629062E-2</v>
      </c>
      <c r="W257" s="260">
        <f t="shared" si="175"/>
        <v>2.3184567417662887E-2</v>
      </c>
      <c r="X257" s="260">
        <f t="shared" si="175"/>
        <v>2.334252094656138E-2</v>
      </c>
      <c r="Y257" s="260">
        <f t="shared" si="175"/>
        <v>2.3848550724263819E-2</v>
      </c>
      <c r="Z257" s="260">
        <f t="shared" si="175"/>
        <v>2.4083037261116907E-2</v>
      </c>
      <c r="AA257" s="260"/>
      <c r="AB257" s="334"/>
      <c r="AC257" s="334"/>
      <c r="AD257" s="334"/>
      <c r="AE257" s="334"/>
      <c r="AF257" s="334"/>
      <c r="AG257" s="334"/>
      <c r="AH257" s="334"/>
      <c r="AI257" s="334"/>
      <c r="AJ257" s="334"/>
      <c r="AK257" s="334"/>
      <c r="AL257" s="334"/>
      <c r="AM257" s="334"/>
      <c r="AN257" s="334"/>
      <c r="AO257" s="334"/>
      <c r="AP257" s="324"/>
      <c r="AQ257" s="324"/>
      <c r="AR257" s="324"/>
      <c r="AS257" s="324"/>
      <c r="AT257" s="324"/>
      <c r="AU257" s="324"/>
      <c r="AV257" s="324"/>
      <c r="AW257" s="324"/>
      <c r="AX257" s="324"/>
      <c r="AY257" s="324"/>
      <c r="AZ257" s="324"/>
      <c r="BA257" s="324"/>
      <c r="BB257" s="198"/>
      <c r="BC257" s="323"/>
    </row>
    <row r="258" spans="1:57" s="180" customFormat="1" x14ac:dyDescent="0.25">
      <c r="A258" s="189"/>
      <c r="B258" s="175" t="s">
        <v>512</v>
      </c>
      <c r="C258" s="175"/>
      <c r="I258" s="259">
        <f>IF(H259,I256/H259-1,0)</f>
        <v>0</v>
      </c>
      <c r="J258" s="259">
        <f>IF(I259,J256/I259-1,0)</f>
        <v>-0.62025570668066154</v>
      </c>
      <c r="K258" s="259">
        <f>IF(J259,K256/J259-1,0)</f>
        <v>2.3698379799782754</v>
      </c>
      <c r="L258" s="259">
        <f t="shared" ref="L258:P258" si="176">IF(K259,L256/K259-1,0)</f>
        <v>1.5012070621352698</v>
      </c>
      <c r="M258" s="259">
        <f t="shared" si="176"/>
        <v>-0.1607337720672144</v>
      </c>
      <c r="N258" s="259">
        <f t="shared" si="176"/>
        <v>0.5838812627019323</v>
      </c>
      <c r="O258" s="259">
        <f t="shared" si="176"/>
        <v>5.7780508650338014E-3</v>
      </c>
      <c r="P258" s="1244">
        <f t="shared" si="176"/>
        <v>-0.15578285594852082</v>
      </c>
      <c r="Q258" s="209">
        <f t="shared" ref="Q258" si="177">IF(P259,Q256/P259-1,0)</f>
        <v>-3.6383776670745993E-2</v>
      </c>
      <c r="R258" s="209">
        <f t="shared" ref="R258" si="178">IF(Q259,R256/Q259-1,0)</f>
        <v>0.17007035579854435</v>
      </c>
      <c r="S258" s="209">
        <f t="shared" ref="S258" si="179">IF(R259,S256/R259-1,0)</f>
        <v>0.37138461124709665</v>
      </c>
      <c r="T258" s="209">
        <f t="shared" ref="T258" si="180">IF(S259,T256/S259-1,0)</f>
        <v>8.0293675749017579E-2</v>
      </c>
      <c r="U258" s="209">
        <f t="shared" ref="U258" si="181">IF(T259,U256/T259-1,0)</f>
        <v>0.10104662901795547</v>
      </c>
      <c r="V258" s="209">
        <f t="shared" ref="V258" si="182">IF(U259,V256/U259-1,0)</f>
        <v>8.4003367168705712E-3</v>
      </c>
      <c r="W258" s="209">
        <f t="shared" ref="W258" si="183">IF(V259,W256/V259-1,0)</f>
        <v>7.7115079070306791E-3</v>
      </c>
      <c r="X258" s="209">
        <f t="shared" ref="X258" si="184">IF(W259,X256/W259-1,0)</f>
        <v>4.5700298607969536E-2</v>
      </c>
      <c r="Y258" s="209">
        <f t="shared" ref="Y258" si="185">IF(X259,Y256/X259-1,0)</f>
        <v>6.2808715669490978E-2</v>
      </c>
      <c r="Z258" s="209">
        <f t="shared" ref="Z258" si="186">IF(Y259,Z256/Y259-1,0)</f>
        <v>5.2186179410665945E-2</v>
      </c>
      <c r="AA258" s="261"/>
      <c r="AB258" s="261"/>
      <c r="AC258" s="261"/>
      <c r="AD258" s="261"/>
      <c r="AE258" s="261"/>
      <c r="AF258" s="261"/>
      <c r="AG258" s="261"/>
      <c r="AH258" s="261"/>
      <c r="AI258" s="261"/>
      <c r="AJ258" s="261"/>
      <c r="AK258" s="261"/>
      <c r="AL258" s="261"/>
      <c r="AM258" s="261"/>
      <c r="AN258" s="261"/>
      <c r="AO258" s="261"/>
      <c r="AP258" s="261"/>
      <c r="AQ258" s="261"/>
      <c r="AR258" s="261"/>
      <c r="AS258" s="261"/>
      <c r="AT258" s="261"/>
      <c r="AU258" s="261"/>
      <c r="AV258" s="261"/>
      <c r="AW258" s="261"/>
      <c r="AX258" s="261"/>
      <c r="AY258" s="261"/>
      <c r="AZ258" s="261"/>
      <c r="BA258" s="261"/>
      <c r="BB258" s="198"/>
      <c r="BC258" s="146"/>
    </row>
    <row r="259" spans="1:57" s="117" customFormat="1" x14ac:dyDescent="0.25">
      <c r="A259" s="132"/>
      <c r="B259" s="133" t="s">
        <v>578</v>
      </c>
      <c r="C259" s="133"/>
      <c r="D259" s="134"/>
      <c r="E259" s="166"/>
      <c r="F259" s="166"/>
      <c r="G259" s="166"/>
      <c r="H259" s="166"/>
      <c r="I259" s="167">
        <f>IF(ISTEXT('BS Raw'!I11),'BS Raw'!I74/Input!$B$1,Input!I256)</f>
        <v>9.5248180990000009</v>
      </c>
      <c r="J259" s="167">
        <f>IF(ISTEXT('BS Raw'!J11),'BS Raw'!J74/Input!$B$1,Input!J256)</f>
        <v>3.6169953179999998</v>
      </c>
      <c r="K259" s="167">
        <f>IF(ISTEXT('BS Raw'!K11),'BS Raw'!K74/Input!$B$1,Input!K256)</f>
        <v>12.188688195999999</v>
      </c>
      <c r="L259" s="167">
        <f>IF(ISTEXT('BS Raw'!L11),'BS Raw'!L74/Input!$B$1,Input!L256)</f>
        <v>30.486432994000001</v>
      </c>
      <c r="M259" s="167">
        <f>IF(ISTEXT('BS Raw'!M11),'BS Raw'!M74/Input!$B$1,Input!M256)</f>
        <v>25.586233622000002</v>
      </c>
      <c r="N259" s="167">
        <f>IF(ISTEXT('BS Raw'!N11),'BS Raw'!N74/Input!$B$1,Input!N256)</f>
        <v>40.525556017</v>
      </c>
      <c r="O259" s="167">
        <f>IF(ISTEXT('BS Raw'!O11),'BS Raw'!O74/Input!$B$1,Input!O256)</f>
        <v>40.759714741000003</v>
      </c>
      <c r="P259" s="743">
        <f>IF(ISTEXT('BS Raw'!P11),'BS Raw'!P74/Input!$B$1,Input!P256)</f>
        <v>34.410049970999999</v>
      </c>
      <c r="Q259" s="168">
        <f>IF(ISTEXT('BS Raw'!Q11),'BS Raw'!Q74/Input!$B$1,Input!Q256)</f>
        <v>33.158082397625925</v>
      </c>
      <c r="R259" s="168">
        <f>IF(ISTEXT('BS Raw'!R11),'BS Raw'!R74/Input!$B$1,Input!R256)</f>
        <v>38.797289268587619</v>
      </c>
      <c r="S259" s="168">
        <f>IF(ISTEXT('BS Raw'!S11),'BS Raw'!S74/Input!$B$1,Input!S256)</f>
        <v>53.206005461043183</v>
      </c>
      <c r="T259" s="168">
        <f>IF(ISTEXT('BS Raw'!T11),'BS Raw'!T74/Input!$B$1,Input!T256)</f>
        <v>57.478111211432648</v>
      </c>
      <c r="U259" s="168">
        <f>IF(ISTEXT('BS Raw'!U11),'BS Raw'!U74/Input!$B$1,Input!U256)</f>
        <v>63.286080591667066</v>
      </c>
      <c r="V259" s="168">
        <f>IF(ISTEXT('BS Raw'!V11),'BS Raw'!V74/Input!$B$1,Input!V256)</f>
        <v>63.817704978128077</v>
      </c>
      <c r="W259" s="168">
        <f>IF(ISTEXT('BS Raw'!W11),'BS Raw'!W74/Input!$B$1,Input!W256)</f>
        <v>64.309835714675458</v>
      </c>
      <c r="X259" s="168">
        <f>IF(ISTEXT('BS Raw'!X11),'BS Raw'!X74/Input!$B$1,Input!X256)</f>
        <v>67.248814410265595</v>
      </c>
      <c r="Y259" s="168">
        <f>IF(ISTEXT('BS Raw'!Y11),'BS Raw'!Y74/Input!$B$1,Input!Y256)</f>
        <v>71.472626073670341</v>
      </c>
      <c r="Z259" s="168">
        <f>IF(ISTEXT('BS Raw'!Z11),'BS Raw'!Z74/Input!$B$1,Input!Z256)</f>
        <v>75.20250936090234</v>
      </c>
      <c r="AA259" s="168"/>
      <c r="AB259" s="169"/>
      <c r="AC259" s="169"/>
      <c r="AD259" s="169"/>
      <c r="AE259" s="169"/>
      <c r="AF259" s="169"/>
      <c r="AG259" s="169"/>
      <c r="AH259" s="169"/>
      <c r="AI259" s="169"/>
      <c r="AJ259" s="169"/>
      <c r="AK259" s="169"/>
      <c r="AL259" s="169"/>
      <c r="AM259" s="169"/>
      <c r="AN259" s="169"/>
      <c r="AO259" s="169"/>
      <c r="AP259" s="169"/>
      <c r="AQ259" s="169"/>
      <c r="AR259" s="169"/>
      <c r="AS259" s="169"/>
      <c r="AT259" s="169"/>
      <c r="AU259" s="169"/>
      <c r="AV259" s="169"/>
      <c r="AW259" s="169"/>
      <c r="AX259" s="169"/>
      <c r="AY259" s="169"/>
      <c r="AZ259" s="169"/>
      <c r="BA259" s="169"/>
      <c r="BB259" s="139"/>
      <c r="BC259" s="140"/>
    </row>
    <row r="260" spans="1:57" s="42" customFormat="1" x14ac:dyDescent="0.25">
      <c r="A260" s="41"/>
      <c r="D260" s="181"/>
      <c r="E260" s="44"/>
      <c r="F260" s="44"/>
      <c r="G260" s="44"/>
      <c r="H260" s="44"/>
      <c r="I260" s="44"/>
      <c r="J260" s="44"/>
      <c r="K260" s="44"/>
      <c r="L260" s="44"/>
      <c r="M260" s="44"/>
      <c r="N260" s="153"/>
      <c r="O260" s="153"/>
      <c r="P260" s="154"/>
      <c r="Q260" s="153"/>
      <c r="R260" s="153"/>
      <c r="S260" s="153"/>
      <c r="T260" s="153"/>
      <c r="U260" s="153"/>
      <c r="V260" s="153"/>
      <c r="W260" s="153"/>
      <c r="X260" s="153"/>
      <c r="Y260" s="153"/>
      <c r="Z260" s="153"/>
      <c r="AA260" s="153"/>
      <c r="AB260" s="153"/>
      <c r="AC260" s="153"/>
      <c r="AD260" s="153"/>
      <c r="AE260" s="153"/>
      <c r="AF260" s="153"/>
      <c r="AG260" s="153"/>
      <c r="AH260" s="153"/>
      <c r="AI260" s="153"/>
      <c r="AJ260" s="153"/>
      <c r="AK260" s="153"/>
      <c r="AL260" s="153"/>
      <c r="AM260" s="153"/>
      <c r="AN260" s="153"/>
      <c r="AO260" s="153"/>
      <c r="AP260" s="153"/>
      <c r="AQ260" s="153"/>
      <c r="AR260" s="153"/>
      <c r="AS260" s="153"/>
      <c r="AT260" s="153"/>
      <c r="AU260" s="153"/>
      <c r="AV260" s="153"/>
      <c r="AW260" s="153"/>
      <c r="AX260" s="153"/>
      <c r="AY260" s="153"/>
      <c r="AZ260" s="153"/>
      <c r="BA260" s="153"/>
      <c r="BB260" s="257"/>
      <c r="BC260" s="123"/>
      <c r="BD260" s="181"/>
      <c r="BE260" s="181"/>
    </row>
    <row r="261" spans="1:57" s="124" customFormat="1" x14ac:dyDescent="0.25">
      <c r="A261" s="115"/>
      <c r="B261" s="116" t="s">
        <v>579</v>
      </c>
      <c r="C261" s="116"/>
      <c r="E261" s="157"/>
      <c r="F261" s="157"/>
      <c r="G261" s="157"/>
      <c r="H261" s="157"/>
      <c r="I261" s="158">
        <f>I222+I228+I234+I240+I246+I251+I256+I217</f>
        <v>334.49564118300003</v>
      </c>
      <c r="J261" s="158">
        <f>J222+J228+J234+J240+J246+J251+J256+J217</f>
        <v>295.36684117100003</v>
      </c>
      <c r="K261" s="158">
        <f t="shared" ref="K261:Z261" si="187">K222+K228+K234+K240+K246+K251+K256+K217</f>
        <v>411.11993352600001</v>
      </c>
      <c r="L261" s="158">
        <f t="shared" si="187"/>
        <v>428.77231358300003</v>
      </c>
      <c r="M261" s="158">
        <f t="shared" si="187"/>
        <v>413.10372539999997</v>
      </c>
      <c r="N261" s="158">
        <f t="shared" si="187"/>
        <v>591.744681861</v>
      </c>
      <c r="O261" s="158">
        <f t="shared" si="187"/>
        <v>601.56370092000009</v>
      </c>
      <c r="P261" s="1783">
        <f t="shared" si="187"/>
        <v>581.18387980700004</v>
      </c>
      <c r="Q261" s="120">
        <f t="shared" si="187"/>
        <v>929.24679623931434</v>
      </c>
      <c r="R261" s="120">
        <f t="shared" si="187"/>
        <v>1155.9252338768858</v>
      </c>
      <c r="S261" s="120">
        <f t="shared" si="187"/>
        <v>1109.0782568344976</v>
      </c>
      <c r="T261" s="120">
        <f t="shared" si="187"/>
        <v>1103.3040284355236</v>
      </c>
      <c r="U261" s="120">
        <f t="shared" si="187"/>
        <v>1102.3471698175235</v>
      </c>
      <c r="V261" s="120">
        <f t="shared" si="187"/>
        <v>1094.1911509553522</v>
      </c>
      <c r="W261" s="120">
        <f t="shared" si="187"/>
        <v>1085.3407850426263</v>
      </c>
      <c r="X261" s="120">
        <f t="shared" si="187"/>
        <v>1056.2374570061477</v>
      </c>
      <c r="Y261" s="120">
        <f t="shared" si="187"/>
        <v>1023.6271824120125</v>
      </c>
      <c r="Z261" s="120">
        <f t="shared" si="187"/>
        <v>985.70510289902234</v>
      </c>
      <c r="AA261" s="120"/>
      <c r="AB261" s="121"/>
      <c r="AC261" s="121"/>
      <c r="AD261" s="121"/>
      <c r="AE261" s="121"/>
      <c r="AF261" s="121"/>
      <c r="AG261" s="121"/>
      <c r="AH261" s="121"/>
      <c r="AI261" s="121"/>
      <c r="AJ261" s="121"/>
      <c r="AK261" s="121"/>
      <c r="AL261" s="121"/>
      <c r="AM261" s="121"/>
      <c r="AN261" s="121"/>
      <c r="AO261" s="121"/>
      <c r="AP261" s="121"/>
      <c r="AQ261" s="121"/>
      <c r="AR261" s="121"/>
      <c r="AS261" s="121"/>
      <c r="AT261" s="121"/>
      <c r="AU261" s="121"/>
      <c r="AV261" s="121"/>
      <c r="AW261" s="121"/>
      <c r="AX261" s="121"/>
      <c r="AY261" s="121"/>
      <c r="AZ261" s="121"/>
      <c r="BA261" s="121"/>
      <c r="BB261" s="122"/>
      <c r="BC261" s="123"/>
    </row>
    <row r="262" spans="1:57" s="117" customFormat="1" x14ac:dyDescent="0.25">
      <c r="A262" s="132"/>
      <c r="B262" s="133" t="s">
        <v>579</v>
      </c>
      <c r="C262" s="133"/>
      <c r="D262" s="134"/>
      <c r="E262" s="166"/>
      <c r="F262" s="166"/>
      <c r="G262" s="166"/>
      <c r="H262" s="166"/>
      <c r="I262" s="167">
        <f>I226+I232+I238+I244+I249+I254+I259+I220</f>
        <v>334.49564118300003</v>
      </c>
      <c r="J262" s="167">
        <f>J226+J232+J238+J244+J249+J254+J259+J220</f>
        <v>295.36684117100003</v>
      </c>
      <c r="K262" s="167">
        <f t="shared" ref="K262:Z262" si="188">K226+K232+K238+K244+K249+K254+K259+K220</f>
        <v>411.11993352600001</v>
      </c>
      <c r="L262" s="167">
        <f t="shared" si="188"/>
        <v>428.77231358300003</v>
      </c>
      <c r="M262" s="167">
        <f t="shared" si="188"/>
        <v>413.10372539999997</v>
      </c>
      <c r="N262" s="167">
        <f t="shared" si="188"/>
        <v>591.744681861</v>
      </c>
      <c r="O262" s="167">
        <f t="shared" si="188"/>
        <v>601.56370092000009</v>
      </c>
      <c r="P262" s="743">
        <f t="shared" si="188"/>
        <v>581.18387980700004</v>
      </c>
      <c r="Q262" s="168">
        <f t="shared" si="188"/>
        <v>929.24679623931434</v>
      </c>
      <c r="R262" s="168">
        <f t="shared" si="188"/>
        <v>1155.9252338768858</v>
      </c>
      <c r="S262" s="168">
        <f t="shared" si="188"/>
        <v>1109.0782568344976</v>
      </c>
      <c r="T262" s="168">
        <f t="shared" si="188"/>
        <v>1103.3040284355236</v>
      </c>
      <c r="U262" s="168">
        <f t="shared" si="188"/>
        <v>1102.3471698175235</v>
      </c>
      <c r="V262" s="168">
        <f t="shared" si="188"/>
        <v>1094.1911509553522</v>
      </c>
      <c r="W262" s="168">
        <f t="shared" si="188"/>
        <v>1085.3407850426263</v>
      </c>
      <c r="X262" s="168">
        <f t="shared" si="188"/>
        <v>1056.2374570061477</v>
      </c>
      <c r="Y262" s="168">
        <f t="shared" si="188"/>
        <v>1023.6271824120125</v>
      </c>
      <c r="Z262" s="168">
        <f t="shared" si="188"/>
        <v>985.70510289902234</v>
      </c>
      <c r="AA262" s="168"/>
      <c r="AB262" s="169"/>
      <c r="AC262" s="169"/>
      <c r="AD262" s="169"/>
      <c r="AE262" s="169"/>
      <c r="AF262" s="169"/>
      <c r="AG262" s="169"/>
      <c r="AH262" s="169"/>
      <c r="AI262" s="169"/>
      <c r="AJ262" s="169"/>
      <c r="AK262" s="169"/>
      <c r="AL262" s="169"/>
      <c r="AM262" s="169"/>
      <c r="AN262" s="169"/>
      <c r="AO262" s="169"/>
      <c r="AP262" s="169"/>
      <c r="AQ262" s="169"/>
      <c r="AR262" s="169"/>
      <c r="AS262" s="169"/>
      <c r="AT262" s="169"/>
      <c r="AU262" s="169"/>
      <c r="AV262" s="169"/>
      <c r="AW262" s="169"/>
      <c r="AX262" s="169"/>
      <c r="AY262" s="169"/>
      <c r="AZ262" s="169"/>
      <c r="BA262" s="169"/>
      <c r="BC262" s="447"/>
    </row>
    <row r="263" spans="1:57" x14ac:dyDescent="0.25">
      <c r="A263" s="64"/>
      <c r="D263" s="112"/>
      <c r="E263" s="170"/>
      <c r="F263" s="170"/>
      <c r="G263" s="170"/>
      <c r="H263" s="170"/>
      <c r="I263" s="170"/>
      <c r="J263" s="170"/>
      <c r="K263" s="170"/>
      <c r="L263" s="170"/>
      <c r="M263" s="170"/>
      <c r="N263" s="157"/>
      <c r="O263" s="157"/>
      <c r="P263" s="300"/>
      <c r="Q263" s="153"/>
      <c r="R263" s="153"/>
      <c r="S263" s="157"/>
      <c r="T263" s="157"/>
      <c r="U263" s="157"/>
      <c r="V263" s="157"/>
      <c r="W263" s="157"/>
      <c r="X263" s="157"/>
      <c r="Y263" s="157"/>
      <c r="Z263" s="157"/>
      <c r="AA263" s="157"/>
      <c r="AB263" s="157"/>
      <c r="AC263" s="157"/>
      <c r="AD263" s="157"/>
      <c r="AE263" s="157"/>
      <c r="AF263" s="157"/>
      <c r="AG263" s="157"/>
      <c r="AH263" s="157"/>
      <c r="AI263" s="157"/>
      <c r="AJ263" s="157"/>
      <c r="AK263" s="157"/>
      <c r="AL263" s="157"/>
      <c r="AM263" s="157"/>
      <c r="AN263" s="157"/>
      <c r="AO263" s="157"/>
      <c r="AP263" s="157"/>
      <c r="AQ263" s="157"/>
      <c r="AR263" s="157"/>
      <c r="AS263" s="157"/>
      <c r="AT263" s="157"/>
      <c r="AU263" s="157"/>
      <c r="AV263" s="157"/>
      <c r="AW263" s="157"/>
      <c r="AX263" s="157"/>
      <c r="AY263" s="157"/>
      <c r="AZ263" s="157"/>
      <c r="BA263" s="157"/>
      <c r="BB263" s="230"/>
      <c r="BC263" s="123"/>
      <c r="BD263" s="112"/>
      <c r="BE263" s="112"/>
    </row>
    <row r="264" spans="1:57" s="124" customFormat="1" x14ac:dyDescent="0.25">
      <c r="A264" s="115"/>
      <c r="B264" s="116" t="s">
        <v>580</v>
      </c>
      <c r="C264" s="116"/>
      <c r="E264" s="157"/>
      <c r="F264" s="157"/>
      <c r="G264" s="157"/>
      <c r="H264" s="157"/>
      <c r="I264" s="158">
        <f>I261+I213</f>
        <v>1090.945918224</v>
      </c>
      <c r="J264" s="158">
        <f>J261+J213</f>
        <v>1067.9331976480003</v>
      </c>
      <c r="K264" s="158">
        <f t="shared" ref="K264:Z265" si="189">K261+K213</f>
        <v>1434.2599540829999</v>
      </c>
      <c r="L264" s="158">
        <f t="shared" si="189"/>
        <v>1544.1900202940001</v>
      </c>
      <c r="M264" s="158">
        <f t="shared" si="189"/>
        <v>1434.3408771850002</v>
      </c>
      <c r="N264" s="158">
        <f t="shared" si="189"/>
        <v>1620.552920656</v>
      </c>
      <c r="O264" s="158">
        <f t="shared" si="189"/>
        <v>1437.409436723</v>
      </c>
      <c r="P264" s="1783">
        <f t="shared" si="189"/>
        <v>1553.4944181629999</v>
      </c>
      <c r="Q264" s="120">
        <f t="shared" ca="1" si="189"/>
        <v>2118.7146521174409</v>
      </c>
      <c r="R264" s="120">
        <f t="shared" ca="1" si="189"/>
        <v>2393.1115019692334</v>
      </c>
      <c r="S264" s="120">
        <f t="shared" ca="1" si="189"/>
        <v>2757.0831770043728</v>
      </c>
      <c r="T264" s="120">
        <f t="shared" ca="1" si="189"/>
        <v>2953.9377385449616</v>
      </c>
      <c r="U264" s="120">
        <f t="shared" ca="1" si="189"/>
        <v>3136.9893323021415</v>
      </c>
      <c r="V264" s="120">
        <f t="shared" ca="1" si="189"/>
        <v>3396.8616482631269</v>
      </c>
      <c r="W264" s="120">
        <f t="shared" ca="1" si="189"/>
        <v>3566.890291418641</v>
      </c>
      <c r="X264" s="120">
        <f t="shared" ca="1" si="189"/>
        <v>3898.2513497739646</v>
      </c>
      <c r="Y264" s="120">
        <f t="shared" ca="1" si="189"/>
        <v>4135.7737584808674</v>
      </c>
      <c r="Z264" s="120">
        <f t="shared" ca="1" si="189"/>
        <v>4382.0576156570578</v>
      </c>
      <c r="AA264" s="120"/>
      <c r="AB264" s="121"/>
      <c r="AC264" s="121"/>
      <c r="AD264" s="121"/>
      <c r="AE264" s="121"/>
      <c r="AF264" s="121"/>
      <c r="AG264" s="121"/>
      <c r="AH264" s="121"/>
      <c r="AI264" s="121"/>
      <c r="AJ264" s="121"/>
      <c r="AK264" s="121"/>
      <c r="AL264" s="121"/>
      <c r="AM264" s="121"/>
      <c r="AN264" s="121"/>
      <c r="AO264" s="121"/>
      <c r="AP264" s="121"/>
      <c r="AQ264" s="121"/>
      <c r="AR264" s="121"/>
      <c r="AS264" s="121"/>
      <c r="AT264" s="121"/>
      <c r="AU264" s="121"/>
      <c r="AV264" s="121"/>
      <c r="AW264" s="121"/>
      <c r="AX264" s="121"/>
      <c r="AY264" s="121"/>
      <c r="AZ264" s="121"/>
      <c r="BA264" s="121"/>
      <c r="BB264" s="122"/>
      <c r="BC264" s="123"/>
    </row>
    <row r="265" spans="1:57" s="124" customFormat="1" ht="13.8" thickBot="1" x14ac:dyDescent="0.3">
      <c r="A265" s="115"/>
      <c r="B265" s="448" t="s">
        <v>580</v>
      </c>
      <c r="C265" s="448"/>
      <c r="D265" s="449"/>
      <c r="E265" s="450"/>
      <c r="F265" s="450"/>
      <c r="G265" s="450"/>
      <c r="H265" s="450"/>
      <c r="I265" s="451">
        <f>I262+I214</f>
        <v>1090.945918224</v>
      </c>
      <c r="J265" s="451">
        <f>J262+J214</f>
        <v>1067.9331976480003</v>
      </c>
      <c r="K265" s="451">
        <f t="shared" si="189"/>
        <v>1434.2599540829999</v>
      </c>
      <c r="L265" s="451">
        <f t="shared" si="189"/>
        <v>1544.1900202940001</v>
      </c>
      <c r="M265" s="451">
        <f t="shared" si="189"/>
        <v>1434.3408771850002</v>
      </c>
      <c r="N265" s="451">
        <f t="shared" si="189"/>
        <v>1620.552920656</v>
      </c>
      <c r="O265" s="451">
        <f t="shared" si="189"/>
        <v>1437.409436723</v>
      </c>
      <c r="P265" s="751">
        <f t="shared" si="189"/>
        <v>1553.4944181629999</v>
      </c>
      <c r="Q265" s="452">
        <f t="shared" ca="1" si="189"/>
        <v>2118.7146521174409</v>
      </c>
      <c r="R265" s="452">
        <f t="shared" ca="1" si="189"/>
        <v>2393.1115019692334</v>
      </c>
      <c r="S265" s="452">
        <f t="shared" ca="1" si="189"/>
        <v>2757.0831770043728</v>
      </c>
      <c r="T265" s="452">
        <f t="shared" ca="1" si="189"/>
        <v>2953.9377385449616</v>
      </c>
      <c r="U265" s="452">
        <f t="shared" ca="1" si="189"/>
        <v>3136.9893323021415</v>
      </c>
      <c r="V265" s="452">
        <f t="shared" ca="1" si="189"/>
        <v>3396.8616482631269</v>
      </c>
      <c r="W265" s="452">
        <f t="shared" ca="1" si="189"/>
        <v>3566.890291418641</v>
      </c>
      <c r="X265" s="452">
        <f t="shared" ca="1" si="189"/>
        <v>3898.2513497739646</v>
      </c>
      <c r="Y265" s="452">
        <f t="shared" ca="1" si="189"/>
        <v>4135.7737584808674</v>
      </c>
      <c r="Z265" s="452">
        <f t="shared" ca="1" si="189"/>
        <v>4382.0576156570578</v>
      </c>
      <c r="AA265" s="452"/>
      <c r="AB265" s="453"/>
      <c r="AC265" s="453"/>
      <c r="AD265" s="453"/>
      <c r="AE265" s="453"/>
      <c r="AF265" s="453"/>
      <c r="AG265" s="453"/>
      <c r="AH265" s="453"/>
      <c r="AI265" s="453"/>
      <c r="AJ265" s="453"/>
      <c r="AK265" s="453"/>
      <c r="AL265" s="453"/>
      <c r="AM265" s="453"/>
      <c r="AN265" s="453"/>
      <c r="AO265" s="453"/>
      <c r="AP265" s="453"/>
      <c r="AQ265" s="453"/>
      <c r="AR265" s="453"/>
      <c r="AS265" s="453"/>
      <c r="AT265" s="453"/>
      <c r="AU265" s="453"/>
      <c r="AV265" s="453"/>
      <c r="AW265" s="453"/>
      <c r="AX265" s="453"/>
      <c r="AY265" s="453"/>
      <c r="AZ265" s="453"/>
      <c r="BA265" s="453"/>
      <c r="BB265" s="449"/>
      <c r="BC265" s="454"/>
    </row>
    <row r="266" spans="1:57" s="426" customFormat="1" ht="13.8" thickTop="1" x14ac:dyDescent="0.25">
      <c r="A266" s="425"/>
      <c r="B266" s="426" t="s">
        <v>468</v>
      </c>
      <c r="D266" s="427"/>
      <c r="E266" s="428"/>
      <c r="F266" s="428"/>
      <c r="G266" s="428"/>
      <c r="H266" s="428"/>
      <c r="I266" s="429">
        <f>IF(ISTEXT('BS Raw'!I11),I265-'BS Raw'!I80/Input!$B$1,"chưa có BCTC")</f>
        <v>0</v>
      </c>
      <c r="J266" s="429">
        <f>IF(ISTEXT('BS Raw'!J11),J265-'BS Raw'!J80/Input!$B$1,"chưa có BCTC")</f>
        <v>2.2737367544323206E-13</v>
      </c>
      <c r="K266" s="429">
        <f>IF(ISTEXT('BS Raw'!K11),K265-'BS Raw'!K80/Input!$B$1,"chưa có BCTC")</f>
        <v>0</v>
      </c>
      <c r="L266" s="429">
        <f>IF(ISTEXT('BS Raw'!L11),L265-'BS Raw'!L80/Input!$B$1,"chưa có BCTC")</f>
        <v>0</v>
      </c>
      <c r="M266" s="429">
        <f>IF(ISTEXT('BS Raw'!M11),M265-'BS Raw'!M80/Input!$B$1,"chưa có BCTC")</f>
        <v>2.2737367544323206E-13</v>
      </c>
      <c r="N266" s="429">
        <f>IF(ISTEXT('BS Raw'!N11),N265-'BS Raw'!N80/Input!$B$1,"chưa có BCTC")</f>
        <v>0</v>
      </c>
      <c r="O266" s="429">
        <f>IF(ISTEXT('BS Raw'!O11),O265-'BS Raw'!O80/Input!$B$1,"chưa có BCTC")</f>
        <v>0</v>
      </c>
      <c r="P266" s="786">
        <f>IF(ISTEXT('BS Raw'!P11),P265-'BS Raw'!P80/Input!$B$1,"chưa có BCTC")</f>
        <v>-1.0002167982747778E-9</v>
      </c>
      <c r="Q266" s="429" t="str">
        <f>IF(ISTEXT('BS Raw'!Q11),Q265-'BS Raw'!Q80/Input!$B$1,"chưa có BCTC")</f>
        <v>chưa có BCTC</v>
      </c>
      <c r="R266" s="429" t="str">
        <f>IF(ISTEXT('BS Raw'!R11),R265-'BS Raw'!R80/Input!$B$1,"chưa có BCTC")</f>
        <v>chưa có BCTC</v>
      </c>
      <c r="S266" s="429" t="str">
        <f>IF(ISTEXT('BS Raw'!S11),S265-'BS Raw'!S80/Input!$B$1,"chưa có BCTC")</f>
        <v>chưa có BCTC</v>
      </c>
      <c r="T266" s="429" t="str">
        <f>IF(ISTEXT('BS Raw'!T11),T265-'BS Raw'!T80/Input!$B$1,"chưa có BCTC")</f>
        <v>chưa có BCTC</v>
      </c>
      <c r="U266" s="429" t="str">
        <f>IF(ISTEXT('BS Raw'!U11),U265-'BS Raw'!U80/Input!$B$1,"chưa có BCTC")</f>
        <v>chưa có BCTC</v>
      </c>
      <c r="V266" s="429" t="str">
        <f>IF(ISTEXT('BS Raw'!V11),V265-'BS Raw'!V80/Input!$B$1,"chưa có BCTC")</f>
        <v>chưa có BCTC</v>
      </c>
      <c r="W266" s="429" t="str">
        <f>IF(ISTEXT('BS Raw'!W11),W265-'BS Raw'!W80/Input!$B$1,"chưa có BCTC")</f>
        <v>chưa có BCTC</v>
      </c>
      <c r="X266" s="429" t="str">
        <f>IF(ISTEXT('BS Raw'!X11),X265-'BS Raw'!X80/Input!$B$1,"chưa có BCTC")</f>
        <v>chưa có BCTC</v>
      </c>
      <c r="Y266" s="429" t="str">
        <f>IF(ISTEXT('BS Raw'!Y11),Y265-'BS Raw'!Y80/Input!$B$1,"chưa có BCTC")</f>
        <v>chưa có BCTC</v>
      </c>
      <c r="Z266" s="429" t="str">
        <f>IF(ISTEXT('BS Raw'!Z11),Z265-'BS Raw'!Z80/Input!$B$1,"chưa có BCTC")</f>
        <v>chưa có BCTC</v>
      </c>
      <c r="AA266" s="429"/>
      <c r="AB266" s="429"/>
      <c r="AC266" s="429"/>
      <c r="AD266" s="428"/>
      <c r="AE266" s="428"/>
      <c r="AF266" s="428"/>
      <c r="AG266" s="428"/>
      <c r="AH266" s="428"/>
      <c r="AI266" s="428"/>
      <c r="AJ266" s="428"/>
      <c r="AK266" s="428"/>
      <c r="AL266" s="428"/>
      <c r="AM266" s="428"/>
      <c r="AN266" s="428"/>
      <c r="AO266" s="428"/>
      <c r="AP266" s="428"/>
      <c r="AQ266" s="428"/>
      <c r="AR266" s="428"/>
      <c r="AS266" s="428"/>
      <c r="AT266" s="428"/>
      <c r="AU266" s="428"/>
      <c r="AV266" s="428"/>
      <c r="AW266" s="428"/>
      <c r="AX266" s="428"/>
      <c r="AY266" s="428"/>
      <c r="AZ266" s="428"/>
      <c r="BA266" s="428"/>
      <c r="BB266" s="455"/>
      <c r="BC266" s="456"/>
      <c r="BD266" s="427"/>
      <c r="BE266" s="427"/>
    </row>
    <row r="267" spans="1:57" s="459" customFormat="1" x14ac:dyDescent="0.25">
      <c r="A267" s="457"/>
      <c r="B267" s="458" t="s">
        <v>581</v>
      </c>
      <c r="C267" s="458"/>
      <c r="E267" s="460"/>
      <c r="F267" s="460"/>
      <c r="G267" s="460"/>
      <c r="H267" s="460"/>
      <c r="I267" s="461">
        <f>+I265-I388</f>
        <v>0</v>
      </c>
      <c r="J267" s="461">
        <f>+J265-J388</f>
        <v>0</v>
      </c>
      <c r="K267" s="461">
        <f t="shared" ref="K267:Z267" si="190">+K265-K388</f>
        <v>0</v>
      </c>
      <c r="L267" s="461">
        <f t="shared" si="190"/>
        <v>0</v>
      </c>
      <c r="M267" s="461">
        <f t="shared" si="190"/>
        <v>0</v>
      </c>
      <c r="N267" s="461">
        <f t="shared" si="190"/>
        <v>0</v>
      </c>
      <c r="O267" s="461">
        <f t="shared" si="190"/>
        <v>0</v>
      </c>
      <c r="P267" s="1812">
        <f t="shared" si="190"/>
        <v>-1.0002167982747778E-9</v>
      </c>
      <c r="Q267" s="461">
        <f t="shared" ca="1" si="190"/>
        <v>0</v>
      </c>
      <c r="R267" s="461">
        <f t="shared" ca="1" si="190"/>
        <v>0</v>
      </c>
      <c r="S267" s="461">
        <f t="shared" ca="1" si="190"/>
        <v>0</v>
      </c>
      <c r="T267" s="461">
        <f t="shared" ca="1" si="190"/>
        <v>0</v>
      </c>
      <c r="U267" s="461">
        <f t="shared" ca="1" si="190"/>
        <v>0</v>
      </c>
      <c r="V267" s="461">
        <f t="shared" ca="1" si="190"/>
        <v>0</v>
      </c>
      <c r="W267" s="461">
        <f t="shared" ca="1" si="190"/>
        <v>0</v>
      </c>
      <c r="X267" s="461">
        <f t="shared" ca="1" si="190"/>
        <v>0</v>
      </c>
      <c r="Y267" s="461">
        <f t="shared" ca="1" si="190"/>
        <v>0</v>
      </c>
      <c r="Z267" s="461">
        <f t="shared" ca="1" si="190"/>
        <v>0</v>
      </c>
      <c r="AA267" s="461"/>
      <c r="AB267" s="460"/>
      <c r="AC267" s="460"/>
      <c r="AD267" s="460"/>
      <c r="AE267" s="460"/>
      <c r="AF267" s="460"/>
      <c r="AG267" s="460"/>
      <c r="AH267" s="460"/>
      <c r="AI267" s="460"/>
      <c r="AJ267" s="460"/>
      <c r="AK267" s="460"/>
      <c r="AL267" s="460"/>
      <c r="AM267" s="460"/>
      <c r="AN267" s="460"/>
      <c r="AO267" s="460"/>
      <c r="AP267" s="460"/>
      <c r="AQ267" s="460"/>
      <c r="AR267" s="460"/>
      <c r="AS267" s="460"/>
      <c r="AT267" s="460"/>
      <c r="AU267" s="460"/>
      <c r="AV267" s="460"/>
      <c r="AW267" s="460"/>
      <c r="AX267" s="460"/>
      <c r="AY267" s="460"/>
      <c r="AZ267" s="460"/>
      <c r="BA267" s="460"/>
      <c r="BB267" s="462"/>
      <c r="BC267" s="463"/>
    </row>
    <row r="268" spans="1:57" x14ac:dyDescent="0.25">
      <c r="A268" s="64"/>
      <c r="D268" s="112"/>
      <c r="E268" s="112"/>
      <c r="F268" s="112"/>
      <c r="G268" s="112"/>
      <c r="H268" s="112"/>
      <c r="I268" s="112"/>
      <c r="J268" s="112"/>
      <c r="K268" s="112"/>
      <c r="L268" s="112"/>
      <c r="M268" s="112"/>
      <c r="N268" s="113"/>
      <c r="O268" s="113"/>
      <c r="P268" s="299"/>
      <c r="Q268" s="113"/>
      <c r="R268" s="113"/>
      <c r="S268" s="113"/>
      <c r="T268" s="113"/>
      <c r="U268" s="113"/>
      <c r="V268" s="113"/>
      <c r="W268" s="113"/>
      <c r="X268" s="113"/>
      <c r="Y268" s="113"/>
      <c r="Z268" s="113"/>
      <c r="AA268" s="113"/>
      <c r="AB268" s="113"/>
      <c r="AC268" s="113"/>
      <c r="AD268" s="113"/>
      <c r="AE268" s="113"/>
      <c r="AF268" s="113"/>
      <c r="AG268" s="113"/>
      <c r="AH268" s="113"/>
      <c r="AI268" s="113"/>
      <c r="AJ268" s="113"/>
      <c r="AK268" s="113"/>
      <c r="AL268" s="113"/>
      <c r="AM268" s="113"/>
      <c r="AN268" s="113"/>
      <c r="AO268" s="113"/>
      <c r="AP268" s="113"/>
      <c r="AQ268" s="113"/>
      <c r="AR268" s="113"/>
      <c r="AS268" s="113"/>
      <c r="AT268" s="113"/>
      <c r="AU268" s="113"/>
      <c r="AV268" s="113"/>
      <c r="AW268" s="113"/>
      <c r="AX268" s="113"/>
      <c r="AY268" s="113"/>
      <c r="AZ268" s="113"/>
      <c r="BA268" s="113"/>
      <c r="BB268" s="113"/>
      <c r="BD268" s="112"/>
      <c r="BE268" s="112"/>
    </row>
    <row r="269" spans="1:57" x14ac:dyDescent="0.25">
      <c r="A269" s="64"/>
      <c r="B269" s="356" t="s">
        <v>582</v>
      </c>
      <c r="C269" s="356"/>
      <c r="D269" s="112"/>
      <c r="E269" s="145"/>
      <c r="F269" s="145"/>
      <c r="G269" s="145"/>
      <c r="H269" s="145"/>
      <c r="I269" s="145"/>
      <c r="J269" s="145"/>
      <c r="K269" s="145"/>
      <c r="L269" s="145"/>
      <c r="M269" s="145"/>
      <c r="N269" s="113"/>
      <c r="O269" s="113"/>
      <c r="P269" s="299"/>
      <c r="Q269" s="153"/>
      <c r="R269" s="153"/>
      <c r="S269" s="113"/>
      <c r="T269" s="113"/>
      <c r="U269" s="113"/>
      <c r="V269" s="113"/>
      <c r="W269" s="113"/>
      <c r="X269" s="113"/>
      <c r="Y269" s="113"/>
      <c r="Z269" s="113"/>
      <c r="AA269" s="113"/>
      <c r="AB269" s="113"/>
      <c r="AC269" s="113"/>
      <c r="AD269" s="113"/>
      <c r="AE269" s="113"/>
      <c r="AF269" s="113"/>
      <c r="AG269" s="113"/>
      <c r="AH269" s="113"/>
      <c r="AI269" s="113"/>
      <c r="AJ269" s="113"/>
      <c r="AK269" s="113"/>
      <c r="AL269" s="113"/>
      <c r="AM269" s="113"/>
      <c r="AN269" s="113"/>
      <c r="AO269" s="113"/>
      <c r="AP269" s="113"/>
      <c r="AQ269" s="113"/>
      <c r="AR269" s="113"/>
      <c r="AS269" s="113"/>
      <c r="AT269" s="113"/>
      <c r="AU269" s="113"/>
      <c r="AV269" s="113"/>
      <c r="AW269" s="113"/>
      <c r="AX269" s="113"/>
      <c r="AY269" s="113"/>
      <c r="AZ269" s="113"/>
      <c r="BA269" s="113"/>
      <c r="BB269" s="113"/>
      <c r="BD269" s="112"/>
      <c r="BE269" s="112"/>
    </row>
    <row r="270" spans="1:57" s="204" customFormat="1" x14ac:dyDescent="0.25">
      <c r="A270" s="115">
        <v>15</v>
      </c>
      <c r="B270" s="116" t="s">
        <v>583</v>
      </c>
      <c r="C270" s="116"/>
      <c r="E270" s="157"/>
      <c r="F270" s="157"/>
      <c r="G270" s="157"/>
      <c r="H270" s="157"/>
      <c r="I270" s="464"/>
      <c r="J270" s="157"/>
      <c r="K270" s="465"/>
      <c r="L270" s="465"/>
      <c r="M270" s="465"/>
      <c r="N270" s="157"/>
      <c r="O270" s="157"/>
      <c r="P270" s="300"/>
      <c r="Q270" s="120">
        <f ca="1">-MIN(Q411,0)</f>
        <v>0</v>
      </c>
      <c r="R270" s="120">
        <f t="shared" ref="R270:Z270" ca="1" si="191">-MIN(R411,0)</f>
        <v>0</v>
      </c>
      <c r="S270" s="120">
        <f t="shared" ca="1" si="191"/>
        <v>0</v>
      </c>
      <c r="T270" s="120">
        <f t="shared" ca="1" si="191"/>
        <v>0</v>
      </c>
      <c r="U270" s="120">
        <f t="shared" ca="1" si="191"/>
        <v>0</v>
      </c>
      <c r="V270" s="120">
        <f t="shared" ca="1" si="191"/>
        <v>0</v>
      </c>
      <c r="W270" s="120">
        <f t="shared" ca="1" si="191"/>
        <v>0</v>
      </c>
      <c r="X270" s="120">
        <f t="shared" ca="1" si="191"/>
        <v>0</v>
      </c>
      <c r="Y270" s="120">
        <f t="shared" ca="1" si="191"/>
        <v>0</v>
      </c>
      <c r="Z270" s="120">
        <f t="shared" ca="1" si="191"/>
        <v>0</v>
      </c>
      <c r="AA270" s="120"/>
      <c r="AB270" s="121"/>
      <c r="AC270" s="121"/>
      <c r="AD270" s="121"/>
      <c r="AE270" s="121"/>
      <c r="AF270" s="121"/>
      <c r="AG270" s="121"/>
      <c r="AH270" s="121"/>
      <c r="AI270" s="121"/>
      <c r="AJ270" s="121"/>
      <c r="AK270" s="121"/>
      <c r="AL270" s="121"/>
      <c r="AM270" s="121"/>
      <c r="AN270" s="121"/>
      <c r="AO270" s="121"/>
      <c r="AP270" s="121"/>
      <c r="AQ270" s="121"/>
      <c r="AR270" s="121"/>
      <c r="AS270" s="121"/>
      <c r="AT270" s="121"/>
      <c r="AU270" s="121"/>
      <c r="AV270" s="121"/>
      <c r="AW270" s="121"/>
      <c r="AX270" s="121"/>
      <c r="AY270" s="121"/>
      <c r="AZ270" s="121"/>
      <c r="BA270" s="121"/>
      <c r="BB270" s="466"/>
      <c r="BC270" s="123"/>
    </row>
    <row r="271" spans="1:57" s="180" customFormat="1" x14ac:dyDescent="0.25">
      <c r="A271" s="189"/>
      <c r="B271" s="175" t="s">
        <v>506</v>
      </c>
      <c r="C271" s="175"/>
      <c r="E271" s="198"/>
      <c r="F271" s="198"/>
      <c r="G271" s="198"/>
      <c r="H271" s="198"/>
      <c r="I271" s="198"/>
      <c r="J271" s="198"/>
      <c r="K271" s="198"/>
      <c r="L271" s="198"/>
      <c r="M271" s="198"/>
      <c r="N271" s="198"/>
      <c r="O271" s="198"/>
      <c r="P271" s="381"/>
      <c r="Q271" s="149">
        <f>Q276</f>
        <v>4.1642013553055052E-2</v>
      </c>
      <c r="R271" s="149">
        <f t="shared" ref="R271:Z271" si="192">R276</f>
        <v>4.1272282638108379E-2</v>
      </c>
      <c r="S271" s="149">
        <f t="shared" si="192"/>
        <v>4.1526259006466296E-2</v>
      </c>
      <c r="T271" s="149">
        <f t="shared" si="192"/>
        <v>4.2919863433938832E-2</v>
      </c>
      <c r="U271" s="149">
        <f t="shared" si="192"/>
        <v>4.4710139929131629E-2</v>
      </c>
      <c r="V271" s="149">
        <f t="shared" si="192"/>
        <v>4.743746186247192E-2</v>
      </c>
      <c r="W271" s="149">
        <f t="shared" si="192"/>
        <v>5.1085789816722751E-2</v>
      </c>
      <c r="X271" s="149">
        <f t="shared" si="192"/>
        <v>5.3079192551587724E-2</v>
      </c>
      <c r="Y271" s="149">
        <f t="shared" si="192"/>
        <v>5.4003405333540574E-2</v>
      </c>
      <c r="Z271" s="149">
        <f t="shared" si="192"/>
        <v>5.4553674167957512E-2</v>
      </c>
      <c r="AA271" s="261"/>
      <c r="AB271" s="261"/>
      <c r="AC271" s="261"/>
      <c r="AD271" s="261"/>
      <c r="AE271" s="261"/>
      <c r="AF271" s="261"/>
      <c r="AG271" s="261"/>
      <c r="AH271" s="261"/>
      <c r="AI271" s="261"/>
      <c r="AJ271" s="261"/>
      <c r="AK271" s="261"/>
      <c r="AL271" s="261"/>
      <c r="AM271" s="261"/>
      <c r="AN271" s="261"/>
      <c r="AO271" s="261"/>
      <c r="AP271" s="261"/>
      <c r="AQ271" s="261"/>
      <c r="AR271" s="261"/>
      <c r="AS271" s="261"/>
      <c r="AT271" s="261"/>
      <c r="AU271" s="261"/>
      <c r="AV271" s="261"/>
      <c r="AW271" s="261"/>
      <c r="AX271" s="261"/>
      <c r="AY271" s="261"/>
      <c r="AZ271" s="261"/>
      <c r="BA271" s="261"/>
      <c r="BB271" s="198"/>
      <c r="BC271" s="146"/>
    </row>
    <row r="272" spans="1:57" x14ac:dyDescent="0.25">
      <c r="A272" s="64"/>
      <c r="B272" s="147" t="s">
        <v>444</v>
      </c>
      <c r="C272" s="147"/>
      <c r="D272" s="112"/>
      <c r="E272" s="157"/>
      <c r="F272" s="157"/>
      <c r="G272" s="157"/>
      <c r="H272" s="157"/>
      <c r="I272" s="157"/>
      <c r="J272" s="157"/>
      <c r="K272" s="157"/>
      <c r="L272" s="157"/>
      <c r="M272" s="157"/>
      <c r="N272" s="170"/>
      <c r="O272" s="170"/>
      <c r="P272" s="171"/>
      <c r="Q272" s="228">
        <f ca="1">AVERAGE(P273,Q273)*Q271</f>
        <v>0</v>
      </c>
      <c r="R272" s="228">
        <f t="shared" ref="R272:Z272" ca="1" si="193">AVERAGE(Q273,R273)*R271</f>
        <v>0</v>
      </c>
      <c r="S272" s="228">
        <f t="shared" ca="1" si="193"/>
        <v>0</v>
      </c>
      <c r="T272" s="228">
        <f t="shared" ca="1" si="193"/>
        <v>0</v>
      </c>
      <c r="U272" s="228">
        <f t="shared" ca="1" si="193"/>
        <v>0</v>
      </c>
      <c r="V272" s="228">
        <f t="shared" ca="1" si="193"/>
        <v>0</v>
      </c>
      <c r="W272" s="228">
        <f t="shared" ca="1" si="193"/>
        <v>0</v>
      </c>
      <c r="X272" s="228">
        <f t="shared" ca="1" si="193"/>
        <v>0</v>
      </c>
      <c r="Y272" s="228">
        <f t="shared" ca="1" si="193"/>
        <v>0</v>
      </c>
      <c r="Z272" s="228">
        <f t="shared" ca="1" si="193"/>
        <v>0</v>
      </c>
      <c r="AA272" s="228"/>
      <c r="AB272" s="228"/>
      <c r="AC272" s="228"/>
      <c r="AD272" s="228"/>
      <c r="AE272" s="228"/>
      <c r="AF272" s="228"/>
      <c r="AG272" s="228"/>
      <c r="AH272" s="228"/>
      <c r="AI272" s="228"/>
      <c r="AJ272" s="228"/>
      <c r="AK272" s="228"/>
      <c r="AL272" s="228"/>
      <c r="AM272" s="228"/>
      <c r="AN272" s="228"/>
      <c r="AO272" s="228"/>
      <c r="AP272" s="228"/>
      <c r="AQ272" s="228"/>
      <c r="AR272" s="228"/>
      <c r="AS272" s="228"/>
      <c r="AT272" s="228"/>
      <c r="AU272" s="228"/>
      <c r="AV272" s="228"/>
      <c r="AW272" s="228"/>
      <c r="AX272" s="228"/>
      <c r="AY272" s="228"/>
      <c r="AZ272" s="228"/>
      <c r="BA272" s="228"/>
      <c r="BB272" s="113"/>
      <c r="BD272" s="112"/>
      <c r="BE272" s="112"/>
    </row>
    <row r="273" spans="1:57" s="42" customFormat="1" x14ac:dyDescent="0.25">
      <c r="A273" s="41"/>
      <c r="B273" s="212" t="s">
        <v>445</v>
      </c>
      <c r="C273" s="212"/>
      <c r="D273" s="213"/>
      <c r="E273" s="135"/>
      <c r="F273" s="135"/>
      <c r="G273" s="135"/>
      <c r="H273" s="135"/>
      <c r="I273" s="135"/>
      <c r="J273" s="135"/>
      <c r="K273" s="135"/>
      <c r="L273" s="135"/>
      <c r="M273" s="135"/>
      <c r="N273" s="304"/>
      <c r="O273" s="304"/>
      <c r="P273" s="305"/>
      <c r="Q273" s="336">
        <f ca="1">IF(ISTEXT('BS Raw'!Q11),0,Q270)</f>
        <v>0</v>
      </c>
      <c r="R273" s="336">
        <f ca="1">IF(ISTEXT('BS Raw'!R11),0,R270)</f>
        <v>0</v>
      </c>
      <c r="S273" s="336">
        <f ca="1">IF(ISTEXT('BS Raw'!S11),0,S270)</f>
        <v>0</v>
      </c>
      <c r="T273" s="336">
        <f ca="1">IF(ISTEXT('BS Raw'!T11),0,T270)</f>
        <v>0</v>
      </c>
      <c r="U273" s="336">
        <f ca="1">IF(ISTEXT('BS Raw'!U11),0,U270)</f>
        <v>0</v>
      </c>
      <c r="V273" s="336">
        <f ca="1">IF(ISTEXT('BS Raw'!V11),0,V270)</f>
        <v>0</v>
      </c>
      <c r="W273" s="336">
        <f ca="1">IF(ISTEXT('BS Raw'!W11),0,W270)</f>
        <v>0</v>
      </c>
      <c r="X273" s="336">
        <f ca="1">IF(ISTEXT('BS Raw'!X11),0,X270)</f>
        <v>0</v>
      </c>
      <c r="Y273" s="336">
        <f ca="1">IF(ISTEXT('BS Raw'!Y11),0,Y270)</f>
        <v>0</v>
      </c>
      <c r="Z273" s="336">
        <f ca="1">IF(ISTEXT('BS Raw'!Z11),0,Z270)</f>
        <v>0</v>
      </c>
      <c r="AA273" s="336"/>
      <c r="AB273" s="306"/>
      <c r="AC273" s="306"/>
      <c r="AD273" s="306"/>
      <c r="AE273" s="306"/>
      <c r="AF273" s="306"/>
      <c r="AG273" s="306"/>
      <c r="AH273" s="306"/>
      <c r="AI273" s="306"/>
      <c r="AJ273" s="306"/>
      <c r="AK273" s="306"/>
      <c r="AL273" s="306"/>
      <c r="AM273" s="306"/>
      <c r="AN273" s="306"/>
      <c r="AO273" s="306"/>
      <c r="AP273" s="306"/>
      <c r="AQ273" s="306"/>
      <c r="AR273" s="306"/>
      <c r="AS273" s="306"/>
      <c r="AT273" s="306"/>
      <c r="AU273" s="306"/>
      <c r="AV273" s="306"/>
      <c r="AW273" s="306"/>
      <c r="AX273" s="306"/>
      <c r="AY273" s="306"/>
      <c r="AZ273" s="306"/>
      <c r="BA273" s="306"/>
      <c r="BB273" s="2374" t="s">
        <v>1691</v>
      </c>
      <c r="BC273" s="2374"/>
      <c r="BD273" s="181"/>
      <c r="BE273" s="181"/>
    </row>
    <row r="274" spans="1:57" x14ac:dyDescent="0.25">
      <c r="A274" s="64"/>
      <c r="D274" s="112"/>
      <c r="E274" s="143"/>
      <c r="F274" s="143"/>
      <c r="G274" s="143"/>
      <c r="H274" s="143"/>
      <c r="I274" s="143"/>
      <c r="J274" s="143"/>
      <c r="K274" s="143"/>
      <c r="L274" s="143"/>
      <c r="M274" s="143"/>
      <c r="N274" s="170"/>
      <c r="O274" s="170"/>
      <c r="P274" s="171"/>
      <c r="Q274" s="170"/>
      <c r="R274" s="170"/>
      <c r="S274" s="170"/>
      <c r="T274" s="170"/>
      <c r="U274" s="170"/>
      <c r="V274" s="170"/>
      <c r="W274" s="170"/>
      <c r="X274" s="170"/>
      <c r="Y274" s="170"/>
      <c r="Z274" s="170"/>
      <c r="AA274" s="170"/>
      <c r="AB274" s="170"/>
      <c r="AC274" s="170"/>
      <c r="AD274" s="170"/>
      <c r="AE274" s="170"/>
      <c r="AF274" s="170"/>
      <c r="AG274" s="170"/>
      <c r="AH274" s="170"/>
      <c r="AI274" s="170"/>
      <c r="AJ274" s="170"/>
      <c r="AK274" s="170"/>
      <c r="AL274" s="170"/>
      <c r="AM274" s="170"/>
      <c r="AN274" s="170"/>
      <c r="AO274" s="170"/>
      <c r="AP274" s="170"/>
      <c r="AQ274" s="170"/>
      <c r="AR274" s="170"/>
      <c r="AS274" s="170"/>
      <c r="AT274" s="170"/>
      <c r="AU274" s="170"/>
      <c r="AV274" s="170"/>
      <c r="AW274" s="170"/>
      <c r="AX274" s="170"/>
      <c r="AY274" s="170"/>
      <c r="AZ274" s="170"/>
      <c r="BA274" s="170"/>
      <c r="BB274" s="2374"/>
      <c r="BC274" s="2374"/>
      <c r="BD274" s="112"/>
      <c r="BE274" s="112"/>
    </row>
    <row r="275" spans="1:57" x14ac:dyDescent="0.25">
      <c r="A275" s="64">
        <v>16</v>
      </c>
      <c r="B275" s="29" t="s">
        <v>584</v>
      </c>
      <c r="D275" s="217"/>
      <c r="E275" s="118"/>
      <c r="F275" s="118"/>
      <c r="G275" s="118"/>
      <c r="H275" s="118"/>
      <c r="I275" s="119">
        <f>'BS Raw'!I92/$B$1</f>
        <v>506.573060301</v>
      </c>
      <c r="J275" s="119">
        <f>'BS Raw'!J92/$B$1</f>
        <v>86.689211008000001</v>
      </c>
      <c r="K275" s="119">
        <f>'BS Raw'!K92/$B$1</f>
        <v>74.721502117</v>
      </c>
      <c r="L275" s="119">
        <f>'BS Raw'!L92/$B$1</f>
        <v>195.69973205599999</v>
      </c>
      <c r="M275" s="119">
        <f>'BS Raw'!M92/$B$1</f>
        <v>95.986460433999994</v>
      </c>
      <c r="N275" s="119">
        <f>'BS Raw'!N92/$B$1</f>
        <v>176.39123693100001</v>
      </c>
      <c r="O275" s="119">
        <f>'BS Raw'!O92/$B$1</f>
        <v>20.094668665</v>
      </c>
      <c r="P275" s="671">
        <f>'BS Raw'!P92/$B$1</f>
        <v>21.029471059999999</v>
      </c>
      <c r="Q275" s="120">
        <f>(Q166+Q195+Q207+Q211)*Q278</f>
        <v>72.647503604887973</v>
      </c>
      <c r="R275" s="120">
        <f t="shared" ref="R275:Z275" si="194">(R166+R195+R207+R211)*R278</f>
        <v>76.070303035653609</v>
      </c>
      <c r="S275" s="120">
        <f t="shared" si="194"/>
        <v>94.961281776965492</v>
      </c>
      <c r="T275" s="120">
        <f t="shared" si="194"/>
        <v>101.33540287663715</v>
      </c>
      <c r="U275" s="120">
        <f t="shared" si="194"/>
        <v>107.52301845349675</v>
      </c>
      <c r="V275" s="120">
        <f t="shared" si="194"/>
        <v>113.31186682073751</v>
      </c>
      <c r="W275" s="120">
        <f t="shared" si="194"/>
        <v>121.16783928875023</v>
      </c>
      <c r="X275" s="120">
        <f t="shared" si="194"/>
        <v>139.32054238281134</v>
      </c>
      <c r="Y275" s="120">
        <f t="shared" si="194"/>
        <v>146.63038762804899</v>
      </c>
      <c r="Z275" s="120">
        <f t="shared" si="194"/>
        <v>158.88217944832397</v>
      </c>
      <c r="AA275" s="120"/>
      <c r="AB275" s="121"/>
      <c r="AC275" s="121"/>
      <c r="AD275" s="121"/>
      <c r="AE275" s="121"/>
      <c r="AF275" s="121"/>
      <c r="AG275" s="121"/>
      <c r="AH275" s="121"/>
      <c r="AI275" s="121"/>
      <c r="AJ275" s="121"/>
      <c r="AK275" s="121"/>
      <c r="AL275" s="121"/>
      <c r="AM275" s="121"/>
      <c r="AN275" s="121"/>
      <c r="AO275" s="121"/>
      <c r="AP275" s="121"/>
      <c r="AQ275" s="121"/>
      <c r="AR275" s="121"/>
      <c r="AS275" s="121"/>
      <c r="AT275" s="121"/>
      <c r="AU275" s="121"/>
      <c r="AV275" s="121"/>
      <c r="AW275" s="121"/>
      <c r="AX275" s="121"/>
      <c r="AY275" s="121"/>
      <c r="AZ275" s="121"/>
      <c r="BA275" s="121"/>
      <c r="BB275" s="2374"/>
      <c r="BC275" s="2374"/>
      <c r="BD275" s="112"/>
      <c r="BE275" s="112"/>
    </row>
    <row r="276" spans="1:57" s="180" customFormat="1" x14ac:dyDescent="0.25">
      <c r="A276" s="189"/>
      <c r="B276" s="175" t="s">
        <v>506</v>
      </c>
      <c r="C276" s="175"/>
      <c r="E276" s="198"/>
      <c r="F276" s="198"/>
      <c r="G276" s="198"/>
      <c r="H276" s="198"/>
      <c r="I276" s="198"/>
      <c r="J276" s="198"/>
      <c r="K276" s="198"/>
      <c r="L276" s="198"/>
      <c r="M276" s="148"/>
      <c r="N276" s="148"/>
      <c r="O276" s="148"/>
      <c r="P276" s="497"/>
      <c r="Q276" s="467">
        <f>Debt!S47</f>
        <v>4.1642013553055052E-2</v>
      </c>
      <c r="R276" s="467">
        <f>Debt!T47</f>
        <v>4.1272282638108379E-2</v>
      </c>
      <c r="S276" s="467">
        <f>Debt!U47</f>
        <v>4.1526259006466296E-2</v>
      </c>
      <c r="T276" s="467">
        <f>Debt!V47</f>
        <v>4.2919863433938832E-2</v>
      </c>
      <c r="U276" s="467">
        <f>Debt!W47</f>
        <v>4.4710139929131629E-2</v>
      </c>
      <c r="V276" s="467">
        <f>Debt!X47</f>
        <v>4.743746186247192E-2</v>
      </c>
      <c r="W276" s="467">
        <f>Debt!Y47</f>
        <v>5.1085789816722751E-2</v>
      </c>
      <c r="X276" s="467">
        <f>Debt!Z47</f>
        <v>5.3079192551587724E-2</v>
      </c>
      <c r="Y276" s="467">
        <f>Debt!AA47</f>
        <v>5.4003405333540574E-2</v>
      </c>
      <c r="Z276" s="467">
        <f>Debt!AB47</f>
        <v>5.4553674167957512E-2</v>
      </c>
      <c r="AA276" s="467"/>
      <c r="AB276" s="150"/>
      <c r="AC276" s="150"/>
      <c r="AD276" s="150"/>
      <c r="AE276" s="150"/>
      <c r="AF276" s="150"/>
      <c r="AG276" s="150"/>
      <c r="AH276" s="150"/>
      <c r="AI276" s="150"/>
      <c r="AJ276" s="150"/>
      <c r="AK276" s="150"/>
      <c r="AL276" s="150"/>
      <c r="AM276" s="150"/>
      <c r="AN276" s="150"/>
      <c r="AO276" s="150"/>
      <c r="AP276" s="150"/>
      <c r="AQ276" s="150"/>
      <c r="AR276" s="150"/>
      <c r="AS276" s="150"/>
      <c r="AT276" s="150"/>
      <c r="AU276" s="150"/>
      <c r="AV276" s="150"/>
      <c r="AW276" s="150"/>
      <c r="AX276" s="150"/>
      <c r="AY276" s="150"/>
      <c r="AZ276" s="150"/>
      <c r="BA276" s="150"/>
      <c r="BB276" s="2374"/>
      <c r="BC276" s="2374"/>
    </row>
    <row r="277" spans="1:57" x14ac:dyDescent="0.25">
      <c r="A277" s="64"/>
      <c r="B277" s="147" t="s">
        <v>444</v>
      </c>
      <c r="C277" s="147"/>
      <c r="D277" s="112"/>
      <c r="E277" s="170"/>
      <c r="F277" s="170"/>
      <c r="G277" s="170"/>
      <c r="H277" s="170"/>
      <c r="I277" s="170"/>
      <c r="J277" s="170"/>
      <c r="K277" s="170"/>
      <c r="L277" s="170"/>
      <c r="M277" s="170"/>
      <c r="N277" s="170"/>
      <c r="O277" s="170"/>
      <c r="P277" s="171"/>
      <c r="Q277" s="120">
        <f>Q276*AVERAGE(P279:Q279)</f>
        <v>1.95044892430223</v>
      </c>
      <c r="R277" s="120">
        <f t="shared" ref="R277:Z277" si="195">R276*AVERAGE(Q279:R279)</f>
        <v>3.068961674493992</v>
      </c>
      <c r="S277" s="120">
        <f t="shared" si="195"/>
        <v>3.5511509446076137</v>
      </c>
      <c r="T277" s="120">
        <f t="shared" si="195"/>
        <v>4.212513448933791</v>
      </c>
      <c r="U277" s="120">
        <f t="shared" si="195"/>
        <v>4.6690446215239083</v>
      </c>
      <c r="V277" s="120">
        <f t="shared" si="195"/>
        <v>5.2379232240499247</v>
      </c>
      <c r="W277" s="120">
        <f t="shared" si="195"/>
        <v>5.9892904912981058</v>
      </c>
      <c r="X277" s="120">
        <f t="shared" si="195"/>
        <v>6.9132564840981452</v>
      </c>
      <c r="Y277" s="120">
        <f t="shared" si="195"/>
        <v>7.7211619894396923</v>
      </c>
      <c r="Z277" s="120">
        <f t="shared" si="195"/>
        <v>8.333416519250358</v>
      </c>
      <c r="AA277" s="120"/>
      <c r="AB277" s="120"/>
      <c r="AC277" s="120"/>
      <c r="AD277" s="224"/>
      <c r="AE277" s="224"/>
      <c r="AF277" s="224"/>
      <c r="AG277" s="224"/>
      <c r="AH277" s="224"/>
      <c r="AI277" s="224"/>
      <c r="AJ277" s="224"/>
      <c r="AK277" s="224"/>
      <c r="AL277" s="224"/>
      <c r="AM277" s="224"/>
      <c r="AN277" s="224"/>
      <c r="AO277" s="224"/>
      <c r="AP277" s="224"/>
      <c r="AQ277" s="224"/>
      <c r="AR277" s="224"/>
      <c r="AS277" s="224"/>
      <c r="AT277" s="224"/>
      <c r="AU277" s="224"/>
      <c r="AV277" s="224"/>
      <c r="AW277" s="224"/>
      <c r="AX277" s="224"/>
      <c r="AY277" s="224"/>
      <c r="AZ277" s="224"/>
      <c r="BA277" s="224"/>
      <c r="BB277" s="2374"/>
      <c r="BC277" s="2374"/>
      <c r="BD277" s="112"/>
      <c r="BE277" s="112"/>
    </row>
    <row r="278" spans="1:57" x14ac:dyDescent="0.25">
      <c r="A278" s="64"/>
      <c r="B278" s="147" t="s">
        <v>585</v>
      </c>
      <c r="C278" s="147"/>
      <c r="D278" s="112"/>
      <c r="E278" s="198"/>
      <c r="F278" s="198"/>
      <c r="G278" s="198"/>
      <c r="H278" s="198"/>
      <c r="I278" s="199">
        <f>I279/(I166+I195+I207+I211)</f>
        <v>0.67044577805148475</v>
      </c>
      <c r="J278" s="199">
        <f>J279/(J166+J195+J207+J211)</f>
        <v>0.13083880951435325</v>
      </c>
      <c r="K278" s="199">
        <f t="shared" ref="K278:P278" si="196">K279/(K166+K195+K207+K211)</f>
        <v>9.9758005443185332E-2</v>
      </c>
      <c r="L278" s="199">
        <f t="shared" si="196"/>
        <v>0.24413142395177526</v>
      </c>
      <c r="M278" s="199">
        <f t="shared" si="196"/>
        <v>0.1202030834738167</v>
      </c>
      <c r="N278" s="199">
        <f t="shared" si="196"/>
        <v>0.1928053659388666</v>
      </c>
      <c r="O278" s="199">
        <f t="shared" si="196"/>
        <v>2.7063368541738613E-2</v>
      </c>
      <c r="P278" s="370">
        <f t="shared" si="196"/>
        <v>2.5242156066581693E-2</v>
      </c>
      <c r="Q278" s="260">
        <f>AVERAGE(AVERAGE(J278:K278), AVERAGE(O278:P278))</f>
        <v>7.0725584891464716E-2</v>
      </c>
      <c r="R278" s="260">
        <f>Q278</f>
        <v>7.0725584891464716E-2</v>
      </c>
      <c r="S278" s="260">
        <f t="shared" ref="S278:Z278" si="197">R278</f>
        <v>7.0725584891464716E-2</v>
      </c>
      <c r="T278" s="260">
        <f t="shared" si="197"/>
        <v>7.0725584891464716E-2</v>
      </c>
      <c r="U278" s="260">
        <f t="shared" si="197"/>
        <v>7.0725584891464716E-2</v>
      </c>
      <c r="V278" s="260">
        <f t="shared" si="197"/>
        <v>7.0725584891464716E-2</v>
      </c>
      <c r="W278" s="260">
        <f t="shared" si="197"/>
        <v>7.0725584891464716E-2</v>
      </c>
      <c r="X278" s="260">
        <f t="shared" si="197"/>
        <v>7.0725584891464716E-2</v>
      </c>
      <c r="Y278" s="260">
        <f t="shared" si="197"/>
        <v>7.0725584891464716E-2</v>
      </c>
      <c r="Z278" s="260">
        <f t="shared" si="197"/>
        <v>7.0725584891464716E-2</v>
      </c>
      <c r="AA278" s="260"/>
      <c r="AB278" s="324"/>
      <c r="AC278" s="324"/>
      <c r="AD278" s="324"/>
      <c r="AE278" s="324"/>
      <c r="AF278" s="324"/>
      <c r="AG278" s="324"/>
      <c r="AH278" s="324"/>
      <c r="AI278" s="324"/>
      <c r="AJ278" s="324"/>
      <c r="AK278" s="324"/>
      <c r="AL278" s="324"/>
      <c r="AM278" s="324"/>
      <c r="AN278" s="324"/>
      <c r="AO278" s="324"/>
      <c r="AP278" s="324"/>
      <c r="AQ278" s="324"/>
      <c r="AR278" s="324"/>
      <c r="AS278" s="324"/>
      <c r="AT278" s="324"/>
      <c r="AU278" s="324"/>
      <c r="AV278" s="324"/>
      <c r="AW278" s="324"/>
      <c r="AX278" s="324"/>
      <c r="AY278" s="324"/>
      <c r="AZ278" s="324"/>
      <c r="BA278" s="324"/>
      <c r="BB278" s="2375"/>
      <c r="BC278" s="2375"/>
      <c r="BD278" s="112"/>
      <c r="BE278" s="112"/>
    </row>
    <row r="279" spans="1:57" s="117" customFormat="1" x14ac:dyDescent="0.25">
      <c r="A279" s="132"/>
      <c r="B279" s="133" t="s">
        <v>586</v>
      </c>
      <c r="C279" s="133"/>
      <c r="D279" s="134"/>
      <c r="E279" s="166"/>
      <c r="F279" s="166"/>
      <c r="G279" s="166"/>
      <c r="H279" s="166"/>
      <c r="I279" s="167">
        <f>IF(ISTEXT('BS Raw'!I11),'BS Raw'!I92/Input!$B$1,Input!I275)</f>
        <v>506.573060301</v>
      </c>
      <c r="J279" s="167">
        <f>IF(ISTEXT('BS Raw'!J11),'BS Raw'!J92/Input!$B$1,Input!J275)</f>
        <v>86.689211008000001</v>
      </c>
      <c r="K279" s="167">
        <f>IF(ISTEXT('BS Raw'!K11),'BS Raw'!K92/Input!$B$1,Input!K275)</f>
        <v>74.721502117</v>
      </c>
      <c r="L279" s="167">
        <f>IF(ISTEXT('BS Raw'!L11),'BS Raw'!L92/Input!$B$1,Input!L275)</f>
        <v>195.69973205599999</v>
      </c>
      <c r="M279" s="167">
        <f>IF(ISTEXT('BS Raw'!M11),'BS Raw'!M92/Input!$B$1,Input!M275)</f>
        <v>95.986460433999994</v>
      </c>
      <c r="N279" s="167">
        <f>IF(ISTEXT('BS Raw'!N11),'BS Raw'!N92/Input!$B$1,Input!N275)</f>
        <v>176.39123693100001</v>
      </c>
      <c r="O279" s="167">
        <f>IF(ISTEXT('BS Raw'!O11),'BS Raw'!O92/Input!$B$1,Input!O275)</f>
        <v>20.094668665</v>
      </c>
      <c r="P279" s="743">
        <f>IF(ISTEXT('BS Raw'!P11),'BS Raw'!P92/Input!$B$1,Input!P275)</f>
        <v>21.029471059999999</v>
      </c>
      <c r="Q279" s="168">
        <f>IF(ISTEXT('BS Raw'!Q11),'BS Raw'!Q92/Input!$B$1,Input!Q275)</f>
        <v>72.647503604887973</v>
      </c>
      <c r="R279" s="168">
        <f>IF(ISTEXT('BS Raw'!R11),'BS Raw'!R92/Input!$B$1,Input!R275)</f>
        <v>76.070303035653609</v>
      </c>
      <c r="S279" s="168">
        <f>IF(ISTEXT('BS Raw'!S11),'BS Raw'!S92/Input!$B$1,Input!S275)</f>
        <v>94.961281776965492</v>
      </c>
      <c r="T279" s="168">
        <f>IF(ISTEXT('BS Raw'!T11),'BS Raw'!T92/Input!$B$1,Input!T275)</f>
        <v>101.33540287663715</v>
      </c>
      <c r="U279" s="168">
        <f>IF(ISTEXT('BS Raw'!U11),'BS Raw'!U92/Input!$B$1,Input!U275)</f>
        <v>107.52301845349675</v>
      </c>
      <c r="V279" s="168">
        <f>IF(ISTEXT('BS Raw'!V11),'BS Raw'!V92/Input!$B$1,Input!V275)</f>
        <v>113.31186682073751</v>
      </c>
      <c r="W279" s="168">
        <f>IF(ISTEXT('BS Raw'!W11),'BS Raw'!W92/Input!$B$1,Input!W275)</f>
        <v>121.16783928875023</v>
      </c>
      <c r="X279" s="168">
        <f>IF(ISTEXT('BS Raw'!X11),'BS Raw'!X92/Input!$B$1,Input!X275)</f>
        <v>139.32054238281134</v>
      </c>
      <c r="Y279" s="168">
        <f>IF(ISTEXT('BS Raw'!Y11),'BS Raw'!Y92/Input!$B$1,Input!Y275)</f>
        <v>146.63038762804899</v>
      </c>
      <c r="Z279" s="168">
        <f>IF(ISTEXT('BS Raw'!Z11),'BS Raw'!Z92/Input!$B$1,Input!Z275)</f>
        <v>158.88217944832397</v>
      </c>
      <c r="AA279" s="168"/>
      <c r="AB279" s="169"/>
      <c r="AC279" s="169"/>
      <c r="AD279" s="169"/>
      <c r="AE279" s="169"/>
      <c r="AF279" s="169"/>
      <c r="AG279" s="169"/>
      <c r="AH279" s="169"/>
      <c r="AI279" s="169"/>
      <c r="AJ279" s="169"/>
      <c r="AK279" s="169"/>
      <c r="AL279" s="169"/>
      <c r="AM279" s="169"/>
      <c r="AN279" s="169"/>
      <c r="AO279" s="169"/>
      <c r="AP279" s="169"/>
      <c r="AQ279" s="169"/>
      <c r="AR279" s="169"/>
      <c r="AS279" s="169"/>
      <c r="AT279" s="169"/>
      <c r="AU279" s="169"/>
      <c r="AV279" s="169"/>
      <c r="AW279" s="169"/>
      <c r="AX279" s="169"/>
      <c r="AY279" s="169"/>
      <c r="AZ279" s="169"/>
      <c r="BA279" s="169"/>
      <c r="BB279" s="139"/>
      <c r="BC279" s="140"/>
    </row>
    <row r="280" spans="1:57" x14ac:dyDescent="0.25">
      <c r="E280" s="170"/>
      <c r="F280" s="170"/>
      <c r="G280" s="170"/>
      <c r="H280" s="170"/>
      <c r="I280" s="170"/>
      <c r="J280" s="170"/>
      <c r="K280" s="170"/>
      <c r="L280" s="170"/>
      <c r="M280" s="170"/>
      <c r="N280" s="170"/>
      <c r="O280" s="170"/>
      <c r="P280" s="171"/>
      <c r="Q280" s="153"/>
      <c r="R280" s="153"/>
      <c r="S280" s="170"/>
      <c r="T280" s="170"/>
      <c r="U280" s="170"/>
      <c r="V280" s="170"/>
      <c r="W280" s="170"/>
      <c r="X280" s="170"/>
      <c r="Y280" s="170"/>
      <c r="Z280" s="170"/>
      <c r="AA280" s="170"/>
      <c r="AB280" s="170"/>
      <c r="AC280" s="170"/>
      <c r="AD280" s="170"/>
      <c r="AE280" s="170"/>
      <c r="AF280" s="170"/>
      <c r="AG280" s="170"/>
      <c r="AH280" s="170"/>
      <c r="AI280" s="170"/>
      <c r="AJ280" s="170"/>
      <c r="AK280" s="170"/>
      <c r="AL280" s="170"/>
      <c r="AM280" s="170"/>
      <c r="AN280" s="170"/>
      <c r="AO280" s="170"/>
      <c r="AP280" s="170"/>
      <c r="AQ280" s="170"/>
      <c r="AR280" s="170"/>
      <c r="AS280" s="170"/>
      <c r="AT280" s="170"/>
      <c r="AU280" s="170"/>
      <c r="AV280" s="170"/>
      <c r="AW280" s="170"/>
      <c r="AX280" s="170"/>
      <c r="AY280" s="170"/>
      <c r="AZ280" s="170"/>
      <c r="BA280" s="170"/>
    </row>
    <row r="281" spans="1:57" x14ac:dyDescent="0.25">
      <c r="A281" s="64">
        <v>17</v>
      </c>
      <c r="B281" s="29" t="s">
        <v>587</v>
      </c>
      <c r="D281" s="217"/>
      <c r="E281" s="118"/>
      <c r="F281" s="118"/>
      <c r="G281" s="118"/>
      <c r="H281" s="118"/>
      <c r="I281" s="119">
        <f>'BS Raw'!I84/$B$1</f>
        <v>15.125622949</v>
      </c>
      <c r="J281" s="119">
        <f>'BS Raw'!J84/$B$1</f>
        <v>15.068433475000001</v>
      </c>
      <c r="K281" s="119">
        <f>'BS Raw'!K84/$B$1</f>
        <v>6.5513422910000001</v>
      </c>
      <c r="L281" s="119">
        <f>'BS Raw'!L84/$B$1</f>
        <v>31.135070337999998</v>
      </c>
      <c r="M281" s="119">
        <f>'BS Raw'!M84/$B$1</f>
        <v>14.769553615</v>
      </c>
      <c r="N281" s="119">
        <f>'BS Raw'!N84/$B$1</f>
        <v>5.1531492590000001</v>
      </c>
      <c r="O281" s="119">
        <f>'BS Raw'!O84/$B$1</f>
        <v>28.952275234999998</v>
      </c>
      <c r="P281" s="671">
        <f>'BS Raw'!P84/$B$1</f>
        <v>10.607673157000001</v>
      </c>
      <c r="Q281" s="120">
        <f>Q5*Q282</f>
        <v>11.398021647104835</v>
      </c>
      <c r="R281" s="120">
        <f t="shared" ref="R281:Z281" si="198">R5*R282</f>
        <v>11.891065489061955</v>
      </c>
      <c r="S281" s="120">
        <f t="shared" si="198"/>
        <v>15.012541219771741</v>
      </c>
      <c r="T281" s="120">
        <f t="shared" si="198"/>
        <v>16.012964353652997</v>
      </c>
      <c r="U281" s="120">
        <f t="shared" si="198"/>
        <v>17.017212956658824</v>
      </c>
      <c r="V281" s="120">
        <f t="shared" si="198"/>
        <v>17.845720784783929</v>
      </c>
      <c r="W281" s="120">
        <f t="shared" si="198"/>
        <v>18.879501317115231</v>
      </c>
      <c r="X281" s="120">
        <f t="shared" si="198"/>
        <v>19.608708510969706</v>
      </c>
      <c r="Y281" s="120">
        <f t="shared" si="198"/>
        <v>20.39810687714202</v>
      </c>
      <c r="Z281" s="120">
        <f t="shared" si="198"/>
        <v>21.2536336554709</v>
      </c>
      <c r="AA281" s="120"/>
      <c r="AB281" s="121"/>
      <c r="AC281" s="121"/>
      <c r="AD281" s="121"/>
      <c r="AE281" s="121"/>
      <c r="AF281" s="121"/>
      <c r="AG281" s="121"/>
      <c r="AH281" s="121"/>
      <c r="AI281" s="121"/>
      <c r="AJ281" s="121"/>
      <c r="AK281" s="121"/>
      <c r="AL281" s="121"/>
      <c r="AM281" s="121"/>
      <c r="AN281" s="121"/>
      <c r="AO281" s="121"/>
      <c r="AP281" s="121"/>
      <c r="AQ281" s="121"/>
      <c r="AR281" s="121"/>
      <c r="AS281" s="121"/>
      <c r="AT281" s="121"/>
      <c r="AU281" s="121"/>
      <c r="AV281" s="121"/>
      <c r="AW281" s="121"/>
      <c r="AX281" s="121"/>
      <c r="AY281" s="121"/>
      <c r="AZ281" s="121"/>
      <c r="BA281" s="121"/>
      <c r="BB281" s="113"/>
      <c r="BD281" s="112"/>
      <c r="BE281" s="112"/>
    </row>
    <row r="282" spans="1:57" s="180" customFormat="1" x14ac:dyDescent="0.25">
      <c r="A282" s="189"/>
      <c r="B282" s="175" t="s">
        <v>404</v>
      </c>
      <c r="C282" s="175"/>
      <c r="E282" s="196"/>
      <c r="F282" s="196"/>
      <c r="G282" s="196"/>
      <c r="H282" s="196"/>
      <c r="I282" s="259">
        <f>I284/I$7</f>
        <v>6.1689916455436146E-3</v>
      </c>
      <c r="J282" s="259">
        <f>J284/J$7</f>
        <v>1.2300078869680041E-2</v>
      </c>
      <c r="K282" s="259">
        <f t="shared" ref="K282:P282" si="199">K284/K$7</f>
        <v>4.7305463301559655E-3</v>
      </c>
      <c r="L282" s="259">
        <f t="shared" si="199"/>
        <v>2.242793246533507E-2</v>
      </c>
      <c r="M282" s="259">
        <f t="shared" si="199"/>
        <v>1.0541968075559058E-2</v>
      </c>
      <c r="N282" s="259">
        <f t="shared" si="199"/>
        <v>4.0841965043643463E-3</v>
      </c>
      <c r="O282" s="259">
        <f t="shared" si="199"/>
        <v>2.3033709065251998E-2</v>
      </c>
      <c r="P282" s="1244">
        <f t="shared" si="199"/>
        <v>6.806316113767143E-3</v>
      </c>
      <c r="Q282" s="260">
        <f>P282</f>
        <v>6.806316113767143E-3</v>
      </c>
      <c r="R282" s="260">
        <f t="shared" ref="R282:Z282" si="200">Q282</f>
        <v>6.806316113767143E-3</v>
      </c>
      <c r="S282" s="260">
        <f t="shared" si="200"/>
        <v>6.806316113767143E-3</v>
      </c>
      <c r="T282" s="260">
        <f t="shared" si="200"/>
        <v>6.806316113767143E-3</v>
      </c>
      <c r="U282" s="260">
        <f t="shared" si="200"/>
        <v>6.806316113767143E-3</v>
      </c>
      <c r="V282" s="260">
        <f t="shared" si="200"/>
        <v>6.806316113767143E-3</v>
      </c>
      <c r="W282" s="260">
        <f t="shared" si="200"/>
        <v>6.806316113767143E-3</v>
      </c>
      <c r="X282" s="260">
        <f t="shared" si="200"/>
        <v>6.806316113767143E-3</v>
      </c>
      <c r="Y282" s="260">
        <f t="shared" si="200"/>
        <v>6.806316113767143E-3</v>
      </c>
      <c r="Z282" s="260">
        <f t="shared" si="200"/>
        <v>6.806316113767143E-3</v>
      </c>
      <c r="AA282" s="260"/>
      <c r="AB282" s="334"/>
      <c r="AC282" s="334"/>
      <c r="AD282" s="334"/>
      <c r="AE282" s="334"/>
      <c r="AF282" s="334"/>
      <c r="AG282" s="334"/>
      <c r="AH282" s="334"/>
      <c r="AI282" s="334"/>
      <c r="AJ282" s="334"/>
      <c r="AK282" s="334"/>
      <c r="AL282" s="334"/>
      <c r="AM282" s="334"/>
      <c r="AN282" s="334"/>
      <c r="AO282" s="334"/>
      <c r="AP282" s="334"/>
      <c r="AQ282" s="334"/>
      <c r="AR282" s="334"/>
      <c r="AS282" s="334"/>
      <c r="AT282" s="334"/>
      <c r="AU282" s="334"/>
      <c r="AV282" s="334"/>
      <c r="AW282" s="334"/>
      <c r="AX282" s="334"/>
      <c r="AY282" s="334"/>
      <c r="AZ282" s="334"/>
      <c r="BA282" s="334"/>
      <c r="BB282" s="198"/>
      <c r="BC282" s="103"/>
    </row>
    <row r="283" spans="1:57" x14ac:dyDescent="0.25">
      <c r="A283" s="64"/>
      <c r="B283" s="468"/>
      <c r="C283" s="468"/>
      <c r="D283" s="217"/>
      <c r="E283" s="118"/>
      <c r="F283" s="118"/>
      <c r="G283" s="118"/>
      <c r="H283" s="118"/>
      <c r="I283" s="118"/>
      <c r="J283" s="118"/>
      <c r="K283" s="118"/>
      <c r="L283" s="118"/>
      <c r="M283" s="118"/>
      <c r="N283" s="118"/>
      <c r="O283" s="118"/>
      <c r="P283" s="218"/>
      <c r="Q283" s="173"/>
      <c r="R283" s="173"/>
      <c r="S283" s="173"/>
      <c r="T283" s="173"/>
      <c r="U283" s="173"/>
      <c r="V283" s="173"/>
      <c r="W283" s="173"/>
      <c r="X283" s="173"/>
      <c r="Y283" s="173"/>
      <c r="Z283" s="173"/>
      <c r="AA283" s="173"/>
      <c r="AB283" s="173"/>
      <c r="AC283" s="173"/>
      <c r="AD283" s="173"/>
      <c r="AE283" s="173"/>
      <c r="AF283" s="173"/>
      <c r="AG283" s="173"/>
      <c r="AH283" s="173"/>
      <c r="AI283" s="173"/>
      <c r="AJ283" s="173"/>
      <c r="AK283" s="173"/>
      <c r="AL283" s="173"/>
      <c r="AM283" s="173"/>
      <c r="AN283" s="173"/>
      <c r="AO283" s="173"/>
      <c r="AP283" s="173"/>
      <c r="AQ283" s="173"/>
      <c r="AR283" s="173"/>
      <c r="AS283" s="173"/>
      <c r="AT283" s="173"/>
      <c r="AU283" s="173"/>
      <c r="AV283" s="173"/>
      <c r="AW283" s="173"/>
      <c r="AX283" s="173"/>
      <c r="AY283" s="173"/>
      <c r="AZ283" s="173"/>
      <c r="BA283" s="173"/>
      <c r="BB283" s="217"/>
      <c r="BD283" s="112"/>
      <c r="BE283" s="112"/>
    </row>
    <row r="284" spans="1:57" s="117" customFormat="1" x14ac:dyDescent="0.25">
      <c r="A284" s="132"/>
      <c r="B284" s="133" t="s">
        <v>588</v>
      </c>
      <c r="C284" s="133"/>
      <c r="D284" s="134"/>
      <c r="E284" s="166"/>
      <c r="F284" s="166"/>
      <c r="G284" s="166"/>
      <c r="H284" s="166"/>
      <c r="I284" s="167">
        <f>IF(ISTEXT('BS Raw'!I11),'BS Raw'!I84/Input!$B$1,Input!I281)</f>
        <v>15.125622949</v>
      </c>
      <c r="J284" s="167">
        <f>IF(ISTEXT('BS Raw'!J11),'BS Raw'!J84/Input!$B$1,Input!J281)</f>
        <v>15.068433475000001</v>
      </c>
      <c r="K284" s="167">
        <f>IF(ISTEXT('BS Raw'!K11),'BS Raw'!K84/Input!$B$1,Input!K281)</f>
        <v>6.5513422910000001</v>
      </c>
      <c r="L284" s="167">
        <f>IF(ISTEXT('BS Raw'!L11),'BS Raw'!L84/Input!$B$1,Input!L281)</f>
        <v>31.135070337999998</v>
      </c>
      <c r="M284" s="167">
        <f>IF(ISTEXT('BS Raw'!M11),'BS Raw'!M84/Input!$B$1,Input!M281)</f>
        <v>14.769553615</v>
      </c>
      <c r="N284" s="167">
        <f>IF(ISTEXT('BS Raw'!N11),'BS Raw'!N84/Input!$B$1,Input!N281)</f>
        <v>5.1531492590000001</v>
      </c>
      <c r="O284" s="167">
        <f>IF(ISTEXT('BS Raw'!O11),'BS Raw'!O84/Input!$B$1,Input!O281)</f>
        <v>28.952275234999998</v>
      </c>
      <c r="P284" s="743">
        <f>IF(ISTEXT('BS Raw'!P11),'BS Raw'!P84/Input!$B$1,Input!P281)</f>
        <v>10.607673157000001</v>
      </c>
      <c r="Q284" s="168">
        <f>IF(ISTEXT('BS Raw'!Q11),'BS Raw'!Q84/Input!$B$1,Input!Q281)</f>
        <v>11.398021647104835</v>
      </c>
      <c r="R284" s="168">
        <f>IF(ISTEXT('BS Raw'!R11),'BS Raw'!R84/Input!$B$1,Input!R281)</f>
        <v>11.891065489061955</v>
      </c>
      <c r="S284" s="168">
        <f>IF(ISTEXT('BS Raw'!S11),'BS Raw'!S84/Input!$B$1,Input!S281)</f>
        <v>15.012541219771741</v>
      </c>
      <c r="T284" s="168">
        <f>IF(ISTEXT('BS Raw'!T11),'BS Raw'!T84/Input!$B$1,Input!T281)</f>
        <v>16.012964353652997</v>
      </c>
      <c r="U284" s="168">
        <f>IF(ISTEXT('BS Raw'!U11),'BS Raw'!U84/Input!$B$1,Input!U281)</f>
        <v>17.017212956658824</v>
      </c>
      <c r="V284" s="168">
        <f>IF(ISTEXT('BS Raw'!V11),'BS Raw'!V84/Input!$B$1,Input!V281)</f>
        <v>17.845720784783929</v>
      </c>
      <c r="W284" s="168">
        <f>IF(ISTEXT('BS Raw'!W11),'BS Raw'!W84/Input!$B$1,Input!W281)</f>
        <v>18.879501317115231</v>
      </c>
      <c r="X284" s="168">
        <f>IF(ISTEXT('BS Raw'!X11),'BS Raw'!X84/Input!$B$1,Input!X281)</f>
        <v>19.608708510969706</v>
      </c>
      <c r="Y284" s="168">
        <f>IF(ISTEXT('BS Raw'!Y11),'BS Raw'!Y84/Input!$B$1,Input!Y281)</f>
        <v>20.39810687714202</v>
      </c>
      <c r="Z284" s="168">
        <f>IF(ISTEXT('BS Raw'!Z11),'BS Raw'!Z84/Input!$B$1,Input!Z281)</f>
        <v>21.2536336554709</v>
      </c>
      <c r="AA284" s="168"/>
      <c r="AB284" s="169"/>
      <c r="AC284" s="169"/>
      <c r="AD284" s="169"/>
      <c r="AE284" s="169"/>
      <c r="AF284" s="169"/>
      <c r="AG284" s="169"/>
      <c r="AH284" s="169"/>
      <c r="AI284" s="169"/>
      <c r="AJ284" s="169"/>
      <c r="AK284" s="169"/>
      <c r="AL284" s="169"/>
      <c r="AM284" s="169"/>
      <c r="AN284" s="169"/>
      <c r="AO284" s="169"/>
      <c r="AP284" s="169"/>
      <c r="AQ284" s="169"/>
      <c r="AR284" s="169"/>
      <c r="AS284" s="169"/>
      <c r="AT284" s="169"/>
      <c r="AU284" s="169"/>
      <c r="AV284" s="169"/>
      <c r="AW284" s="169"/>
      <c r="AX284" s="169"/>
      <c r="AY284" s="169"/>
      <c r="AZ284" s="169"/>
      <c r="BA284" s="169"/>
      <c r="BB284" s="139"/>
      <c r="BC284" s="140"/>
    </row>
    <row r="285" spans="1:57" x14ac:dyDescent="0.25">
      <c r="E285" s="170"/>
      <c r="F285" s="170"/>
      <c r="G285" s="170"/>
      <c r="H285" s="170"/>
      <c r="I285" s="170"/>
      <c r="J285" s="170"/>
      <c r="K285" s="170"/>
      <c r="L285" s="170"/>
      <c r="M285" s="170"/>
      <c r="N285" s="170"/>
      <c r="O285" s="170"/>
      <c r="P285" s="171"/>
      <c r="Q285" s="170"/>
      <c r="R285" s="170"/>
      <c r="S285" s="170"/>
      <c r="T285" s="170"/>
      <c r="U285" s="170"/>
      <c r="V285" s="170"/>
      <c r="W285" s="170"/>
      <c r="X285" s="170"/>
      <c r="Y285" s="170"/>
      <c r="Z285" s="170"/>
      <c r="AA285" s="170"/>
      <c r="AB285" s="170"/>
      <c r="AC285" s="170"/>
      <c r="AD285" s="170"/>
      <c r="AE285" s="170"/>
      <c r="AF285" s="170"/>
      <c r="AG285" s="170"/>
      <c r="AH285" s="170"/>
      <c r="AI285" s="170"/>
      <c r="AJ285" s="170"/>
      <c r="AK285" s="170"/>
      <c r="AL285" s="170"/>
      <c r="AM285" s="170"/>
      <c r="AN285" s="170"/>
      <c r="AO285" s="170"/>
      <c r="AP285" s="170"/>
      <c r="AQ285" s="170"/>
      <c r="AR285" s="170"/>
      <c r="AS285" s="170"/>
      <c r="AT285" s="170"/>
      <c r="AU285" s="170"/>
      <c r="AV285" s="170"/>
      <c r="AW285" s="170"/>
      <c r="AX285" s="170"/>
      <c r="AY285" s="170"/>
      <c r="AZ285" s="170"/>
      <c r="BA285" s="170"/>
    </row>
    <row r="286" spans="1:57" s="124" customFormat="1" x14ac:dyDescent="0.25">
      <c r="A286" s="115">
        <v>18</v>
      </c>
      <c r="B286" s="116" t="s">
        <v>589</v>
      </c>
      <c r="C286" s="116"/>
      <c r="E286" s="118"/>
      <c r="F286" s="118"/>
      <c r="G286" s="118"/>
      <c r="H286" s="118"/>
      <c r="I286" s="119">
        <f>'BS Raw'!I83/Input!$B$1</f>
        <v>85.018742248999999</v>
      </c>
      <c r="J286" s="119">
        <f>'BS Raw'!J83/Input!$B$1</f>
        <v>151.67171022799999</v>
      </c>
      <c r="K286" s="119">
        <f>'BS Raw'!K83/Input!$B$1</f>
        <v>249.65009418899999</v>
      </c>
      <c r="L286" s="119">
        <f>'BS Raw'!L83/Input!$B$1</f>
        <v>196.247620157</v>
      </c>
      <c r="M286" s="119">
        <f>'BS Raw'!M83/Input!$B$1</f>
        <v>204.50767194100001</v>
      </c>
      <c r="N286" s="119">
        <f>'BS Raw'!N83/Input!$B$1</f>
        <v>211.39591017500001</v>
      </c>
      <c r="O286" s="119">
        <f>'BS Raw'!O83/Input!$B$1</f>
        <v>102.65215320900001</v>
      </c>
      <c r="P286" s="671">
        <f>'BS Raw'!P83/Input!$B$1</f>
        <v>96.813029615999994</v>
      </c>
      <c r="Q286" s="120">
        <f>+Q5*Q287</f>
        <v>173.78764748469024</v>
      </c>
      <c r="R286" s="120">
        <f t="shared" ref="R286:Z286" si="201">+R5*R287</f>
        <v>181.3051739514263</v>
      </c>
      <c r="S286" s="120">
        <f t="shared" si="201"/>
        <v>228.89886527051584</v>
      </c>
      <c r="T286" s="120">
        <f t="shared" si="201"/>
        <v>244.15249333944013</v>
      </c>
      <c r="U286" s="120">
        <f t="shared" si="201"/>
        <v>259.46444901119474</v>
      </c>
      <c r="V286" s="120">
        <f t="shared" si="201"/>
        <v>272.09685407502309</v>
      </c>
      <c r="W286" s="120">
        <f t="shared" si="201"/>
        <v>287.8590882847609</v>
      </c>
      <c r="X286" s="120">
        <f t="shared" si="201"/>
        <v>298.97743905408686</v>
      </c>
      <c r="Y286" s="120">
        <f t="shared" si="201"/>
        <v>311.01353524979731</v>
      </c>
      <c r="Z286" s="120">
        <f t="shared" si="201"/>
        <v>324.05790301546983</v>
      </c>
      <c r="AA286" s="120"/>
      <c r="AB286" s="121"/>
      <c r="AC286" s="121"/>
      <c r="AD286" s="121"/>
      <c r="AE286" s="121"/>
      <c r="AF286" s="121"/>
      <c r="AG286" s="121"/>
      <c r="AH286" s="121"/>
      <c r="AI286" s="121"/>
      <c r="AJ286" s="121"/>
      <c r="AK286" s="121"/>
      <c r="AL286" s="121"/>
      <c r="AM286" s="121"/>
      <c r="AN286" s="121"/>
      <c r="AO286" s="121"/>
      <c r="AP286" s="121"/>
      <c r="AQ286" s="121"/>
      <c r="AR286" s="121"/>
      <c r="AS286" s="121"/>
      <c r="AT286" s="121"/>
      <c r="AU286" s="121"/>
      <c r="AV286" s="121"/>
      <c r="AW286" s="121"/>
      <c r="AX286" s="121"/>
      <c r="AY286" s="121"/>
      <c r="AZ286" s="121"/>
      <c r="BA286" s="121"/>
      <c r="BB286" s="122"/>
      <c r="BC286" s="123"/>
    </row>
    <row r="287" spans="1:57" s="180" customFormat="1" x14ac:dyDescent="0.25">
      <c r="A287" s="189"/>
      <c r="B287" s="175" t="s">
        <v>590</v>
      </c>
      <c r="C287" s="175"/>
      <c r="E287" s="196"/>
      <c r="F287" s="196"/>
      <c r="G287" s="196"/>
      <c r="H287" s="196"/>
      <c r="I287" s="259">
        <f>I289/I7</f>
        <v>3.4674929582545352E-2</v>
      </c>
      <c r="J287" s="259">
        <f>J289/J7</f>
        <v>0.12380676473097391</v>
      </c>
      <c r="K287" s="259">
        <f t="shared" ref="K287:P287" si="202">K289/K7</f>
        <v>0.1802655523756185</v>
      </c>
      <c r="L287" s="259">
        <f t="shared" si="202"/>
        <v>0.14136561515944393</v>
      </c>
      <c r="M287" s="259">
        <f t="shared" si="202"/>
        <v>0.14597010884739098</v>
      </c>
      <c r="N287" s="259">
        <f t="shared" si="202"/>
        <v>0.16754462057658293</v>
      </c>
      <c r="O287" s="259">
        <f t="shared" si="202"/>
        <v>8.1667496345137605E-2</v>
      </c>
      <c r="P287" s="1244">
        <f t="shared" si="202"/>
        <v>6.2119191810049504E-2</v>
      </c>
      <c r="Q287" s="260">
        <f>AVERAGE(N287:P287)</f>
        <v>0.10377710291059</v>
      </c>
      <c r="R287" s="260">
        <f>Q287</f>
        <v>0.10377710291059</v>
      </c>
      <c r="S287" s="260">
        <f t="shared" ref="S287:Z287" si="203">AVERAGE(Q287:R287)</f>
        <v>0.10377710291059</v>
      </c>
      <c r="T287" s="260">
        <f t="shared" si="203"/>
        <v>0.10377710291059</v>
      </c>
      <c r="U287" s="260">
        <f t="shared" si="203"/>
        <v>0.10377710291059</v>
      </c>
      <c r="V287" s="260">
        <f t="shared" si="203"/>
        <v>0.10377710291059</v>
      </c>
      <c r="W287" s="260">
        <f t="shared" si="203"/>
        <v>0.10377710291059</v>
      </c>
      <c r="X287" s="260">
        <f t="shared" si="203"/>
        <v>0.10377710291059</v>
      </c>
      <c r="Y287" s="260">
        <f t="shared" si="203"/>
        <v>0.10377710291059</v>
      </c>
      <c r="Z287" s="260">
        <f t="shared" si="203"/>
        <v>0.10377710291059</v>
      </c>
      <c r="AA287" s="260"/>
      <c r="AB287" s="260"/>
      <c r="AC287" s="260"/>
      <c r="AD287" s="260"/>
      <c r="AE287" s="260"/>
      <c r="AF287" s="260"/>
      <c r="AG287" s="260"/>
      <c r="AH287" s="260"/>
      <c r="AI287" s="260"/>
      <c r="AJ287" s="260"/>
      <c r="AK287" s="260"/>
      <c r="AL287" s="260"/>
      <c r="AM287" s="260"/>
      <c r="AN287" s="260"/>
      <c r="AO287" s="260"/>
      <c r="AP287" s="260"/>
      <c r="AQ287" s="260"/>
      <c r="AR287" s="260"/>
      <c r="AS287" s="260"/>
      <c r="AT287" s="260"/>
      <c r="AU287" s="260"/>
      <c r="AV287" s="260"/>
      <c r="AW287" s="260"/>
      <c r="AX287" s="260"/>
      <c r="AY287" s="260"/>
      <c r="AZ287" s="260"/>
      <c r="BA287" s="260"/>
      <c r="BB287" s="198"/>
      <c r="BC287" s="103"/>
    </row>
    <row r="288" spans="1:57" x14ac:dyDescent="0.25">
      <c r="A288" s="64"/>
      <c r="B288" s="147" t="s">
        <v>591</v>
      </c>
      <c r="C288" s="147"/>
      <c r="D288" s="217"/>
      <c r="E288" s="469"/>
      <c r="F288" s="469"/>
      <c r="G288" s="469"/>
      <c r="H288" s="469"/>
      <c r="I288" s="469">
        <f>365/((I11+I207-H207)/I286)</f>
        <v>12.647069041925073</v>
      </c>
      <c r="J288" s="469">
        <f>365/((J11+J207-I207)/J286)</f>
        <v>88.94111256488263</v>
      </c>
      <c r="K288" s="469">
        <f t="shared" ref="K288:P288" si="204">365/((K11+K207-J207)/K286)</f>
        <v>97.704918864142471</v>
      </c>
      <c r="L288" s="469">
        <f t="shared" si="204"/>
        <v>74.901116029945882</v>
      </c>
      <c r="M288" s="469">
        <f t="shared" si="204"/>
        <v>78.348968485238103</v>
      </c>
      <c r="N288" s="469">
        <f t="shared" si="204"/>
        <v>86.679382613451253</v>
      </c>
      <c r="O288" s="469">
        <f t="shared" si="204"/>
        <v>56.110559433687747</v>
      </c>
      <c r="P288" s="670">
        <f t="shared" si="204"/>
        <v>36.238567409260988</v>
      </c>
      <c r="Q288" s="470">
        <f>365/((Q11+Q207-P207)/Q286)</f>
        <v>61.105732822521553</v>
      </c>
      <c r="R288" s="470">
        <f t="shared" ref="R288:Z288" si="205">365/((R11+R207-Q207)/R286)</f>
        <v>61.030376381187651</v>
      </c>
      <c r="S288" s="470">
        <f t="shared" si="205"/>
        <v>61.469203693300834</v>
      </c>
      <c r="T288" s="470">
        <f t="shared" si="205"/>
        <v>64.851081481302131</v>
      </c>
      <c r="U288" s="470">
        <f t="shared" si="205"/>
        <v>66.434149831497479</v>
      </c>
      <c r="V288" s="470">
        <f t="shared" si="205"/>
        <v>67.065857206709154</v>
      </c>
      <c r="W288" s="470">
        <f t="shared" si="205"/>
        <v>67.760010253752213</v>
      </c>
      <c r="X288" s="470">
        <f t="shared" si="205"/>
        <v>64.562998878170006</v>
      </c>
      <c r="Y288" s="470">
        <f t="shared" si="205"/>
        <v>67.825594591774973</v>
      </c>
      <c r="Z288" s="470">
        <f t="shared" si="205"/>
        <v>67.12892322116366</v>
      </c>
      <c r="AA288" s="470"/>
      <c r="AB288" s="173"/>
      <c r="AC288" s="173"/>
      <c r="AD288" s="173"/>
      <c r="AE288" s="173"/>
      <c r="AF288" s="173"/>
      <c r="AG288" s="173"/>
      <c r="AH288" s="173"/>
      <c r="AI288" s="173"/>
      <c r="AJ288" s="173"/>
      <c r="AK288" s="173"/>
      <c r="AL288" s="173"/>
      <c r="AM288" s="173"/>
      <c r="AN288" s="173"/>
      <c r="AO288" s="173"/>
      <c r="AP288" s="173"/>
      <c r="AQ288" s="173"/>
      <c r="AR288" s="173"/>
      <c r="AS288" s="173"/>
      <c r="AT288" s="173"/>
      <c r="AU288" s="173"/>
      <c r="AV288" s="173"/>
      <c r="AW288" s="173"/>
      <c r="AX288" s="173"/>
      <c r="AY288" s="173"/>
      <c r="AZ288" s="173"/>
      <c r="BA288" s="173"/>
      <c r="BB288" s="217"/>
      <c r="BD288" s="112"/>
      <c r="BE288" s="112"/>
    </row>
    <row r="289" spans="1:57" s="117" customFormat="1" x14ac:dyDescent="0.25">
      <c r="A289" s="132"/>
      <c r="B289" s="133" t="s">
        <v>592</v>
      </c>
      <c r="C289" s="133"/>
      <c r="D289" s="134"/>
      <c r="E289" s="152"/>
      <c r="F289" s="152"/>
      <c r="G289" s="152"/>
      <c r="H289" s="152"/>
      <c r="I289" s="374">
        <f>IF(ISTEXT('BS Raw'!I11),'BS Raw'!I83/Input!$B$1,Input!I286)</f>
        <v>85.018742248999999</v>
      </c>
      <c r="J289" s="374">
        <f>IF(ISTEXT('BS Raw'!J11),'BS Raw'!J83/Input!$B$1,Input!J286)</f>
        <v>151.67171022799999</v>
      </c>
      <c r="K289" s="374">
        <f>IF(ISTEXT('BS Raw'!K11),'BS Raw'!K83/Input!$B$1,Input!K286)</f>
        <v>249.65009418899999</v>
      </c>
      <c r="L289" s="374">
        <f>IF(ISTEXT('BS Raw'!L11),'BS Raw'!L83/Input!$B$1,Input!L286)</f>
        <v>196.247620157</v>
      </c>
      <c r="M289" s="374">
        <f>IF(ISTEXT('BS Raw'!M11),'BS Raw'!M83/Input!$B$1,Input!M286)</f>
        <v>204.50767194100001</v>
      </c>
      <c r="N289" s="374">
        <f>IF(ISTEXT('BS Raw'!N11),'BS Raw'!N83/Input!$B$1,Input!N286)</f>
        <v>211.39591017500001</v>
      </c>
      <c r="O289" s="374">
        <f>IF(ISTEXT('BS Raw'!O11),'BS Raw'!O83/Input!$B$1,Input!O286)</f>
        <v>102.65215320900001</v>
      </c>
      <c r="P289" s="767">
        <f>IF(ISTEXT('BS Raw'!P11),'BS Raw'!P83/Input!$B$1,Input!P286)</f>
        <v>96.813029615999994</v>
      </c>
      <c r="Q289" s="375">
        <f>IF(ISTEXT('BS Raw'!Q11),'BS Raw'!Q83/Input!$B$1,Input!Q286)</f>
        <v>173.78764748469024</v>
      </c>
      <c r="R289" s="375">
        <f>IF(ISTEXT('BS Raw'!R11),'BS Raw'!R83/Input!$B$1,Input!R286)</f>
        <v>181.3051739514263</v>
      </c>
      <c r="S289" s="375">
        <f>IF(ISTEXT('BS Raw'!S11),'BS Raw'!S83/Input!$B$1,Input!S286)</f>
        <v>228.89886527051584</v>
      </c>
      <c r="T289" s="375">
        <f>IF(ISTEXT('BS Raw'!T11),'BS Raw'!T83/Input!$B$1,Input!T286)</f>
        <v>244.15249333944013</v>
      </c>
      <c r="U289" s="375">
        <f>IF(ISTEXT('BS Raw'!U11),'BS Raw'!U83/Input!$B$1,Input!U286)</f>
        <v>259.46444901119474</v>
      </c>
      <c r="V289" s="375">
        <f>IF(ISTEXT('BS Raw'!V11),'BS Raw'!V83/Input!$B$1,Input!V286)</f>
        <v>272.09685407502309</v>
      </c>
      <c r="W289" s="375">
        <f>IF(ISTEXT('BS Raw'!W11),'BS Raw'!W83/Input!$B$1,Input!W286)</f>
        <v>287.8590882847609</v>
      </c>
      <c r="X289" s="375">
        <f>IF(ISTEXT('BS Raw'!X11),'BS Raw'!X83/Input!$B$1,Input!X286)</f>
        <v>298.97743905408686</v>
      </c>
      <c r="Y289" s="375">
        <f>IF(ISTEXT('BS Raw'!Y11),'BS Raw'!Y83/Input!$B$1,Input!Y286)</f>
        <v>311.01353524979731</v>
      </c>
      <c r="Z289" s="375">
        <f>IF(ISTEXT('BS Raw'!Z11),'BS Raw'!Z83/Input!$B$1,Input!Z286)</f>
        <v>324.05790301546983</v>
      </c>
      <c r="AA289" s="168"/>
      <c r="AB289" s="168"/>
      <c r="AC289" s="169"/>
      <c r="AD289" s="169"/>
      <c r="AE289" s="169"/>
      <c r="AF289" s="169"/>
      <c r="AG289" s="169"/>
      <c r="AH289" s="169"/>
      <c r="AI289" s="169"/>
      <c r="AJ289" s="169"/>
      <c r="AK289" s="169"/>
      <c r="AL289" s="169"/>
      <c r="AM289" s="169"/>
      <c r="AN289" s="169"/>
      <c r="AO289" s="169"/>
      <c r="AP289" s="169"/>
      <c r="AQ289" s="169"/>
      <c r="AR289" s="169"/>
      <c r="AS289" s="169"/>
      <c r="AT289" s="169"/>
      <c r="AU289" s="169"/>
      <c r="AV289" s="169"/>
      <c r="AW289" s="169"/>
      <c r="AX289" s="169"/>
      <c r="AY289" s="169"/>
      <c r="AZ289" s="169"/>
      <c r="BA289" s="169"/>
      <c r="BB289" s="139"/>
      <c r="BC289" s="140"/>
    </row>
    <row r="290" spans="1:57" ht="14.25" customHeight="1" x14ac:dyDescent="0.25">
      <c r="A290" s="64"/>
      <c r="D290" s="112"/>
      <c r="E290" s="170"/>
      <c r="F290" s="170"/>
      <c r="G290" s="170"/>
      <c r="H290" s="170"/>
      <c r="I290" s="170"/>
      <c r="J290" s="170"/>
      <c r="K290" s="170"/>
      <c r="L290" s="170"/>
      <c r="M290" s="170"/>
      <c r="N290" s="170"/>
      <c r="O290" s="170"/>
      <c r="P290" s="171"/>
      <c r="Q290" s="170"/>
      <c r="R290" s="170"/>
      <c r="S290" s="170"/>
      <c r="T290" s="170"/>
      <c r="U290" s="170"/>
      <c r="V290" s="170"/>
      <c r="W290" s="170"/>
      <c r="X290" s="170"/>
      <c r="Y290" s="170"/>
      <c r="Z290" s="170"/>
      <c r="AA290" s="170"/>
      <c r="AB290" s="170"/>
      <c r="AC290" s="170"/>
      <c r="AD290" s="170"/>
      <c r="AE290" s="170"/>
      <c r="AF290" s="170"/>
      <c r="AG290" s="170"/>
      <c r="AH290" s="170"/>
      <c r="AI290" s="170"/>
      <c r="AJ290" s="170"/>
      <c r="AK290" s="170"/>
      <c r="AL290" s="170"/>
      <c r="AM290" s="170"/>
      <c r="AN290" s="170"/>
      <c r="AO290" s="170"/>
      <c r="AP290" s="170"/>
      <c r="AQ290" s="170"/>
      <c r="AR290" s="170"/>
      <c r="AS290" s="170"/>
      <c r="AT290" s="170"/>
      <c r="AU290" s="170"/>
      <c r="AV290" s="170"/>
      <c r="AW290" s="170"/>
      <c r="AX290" s="170"/>
      <c r="AY290" s="170"/>
      <c r="AZ290" s="170"/>
      <c r="BA290" s="170"/>
      <c r="BB290" s="113"/>
      <c r="BD290" s="112"/>
      <c r="BE290" s="112"/>
    </row>
    <row r="291" spans="1:57" s="124" customFormat="1" x14ac:dyDescent="0.25">
      <c r="A291" s="115">
        <v>19</v>
      </c>
      <c r="B291" s="116" t="s">
        <v>593</v>
      </c>
      <c r="C291" s="116"/>
      <c r="E291" s="118"/>
      <c r="F291" s="118"/>
      <c r="G291" s="118"/>
      <c r="H291" s="118"/>
      <c r="I291" s="119">
        <f>('BS Raw'!I82-'BS Raw'!I83-'BS Raw'!I84-'BS Raw'!I92)/$B$1</f>
        <v>92.938137764000032</v>
      </c>
      <c r="J291" s="119">
        <f>('BS Raw'!J82-'BS Raw'!J83-'BS Raw'!J84-'BS Raw'!J92)/$B$1</f>
        <v>228.65939216000001</v>
      </c>
      <c r="K291" s="119">
        <f>('BS Raw'!K82-'BS Raw'!K83-'BS Raw'!K84-'BS Raw'!K92)/$B$1</f>
        <v>281.23314594300001</v>
      </c>
      <c r="L291" s="119">
        <f>('BS Raw'!L82-'BS Raw'!L83-'BS Raw'!L84-'BS Raw'!L92)/$B$1</f>
        <v>232.72821926400005</v>
      </c>
      <c r="M291" s="119">
        <f>('BS Raw'!M82-'BS Raw'!M83-'BS Raw'!M84-'BS Raw'!M92)/$B$1</f>
        <v>182.05601948200001</v>
      </c>
      <c r="N291" s="119">
        <f>('BS Raw'!N82-'BS Raw'!N83-'BS Raw'!N84-'BS Raw'!N92)/$B$1</f>
        <v>187.37181360399993</v>
      </c>
      <c r="O291" s="119">
        <f>('BS Raw'!O82-'BS Raw'!O83-'BS Raw'!O84-'BS Raw'!O92)/$B$1</f>
        <v>196.173246562</v>
      </c>
      <c r="P291" s="671">
        <f>('BS Raw'!P82-'BS Raw'!P83-'BS Raw'!P84-'BS Raw'!P92)/$B$1</f>
        <v>164.81110048300005</v>
      </c>
      <c r="Q291" s="120">
        <f>Q5*Q292</f>
        <v>262.58929473997233</v>
      </c>
      <c r="R291" s="120">
        <f t="shared" ref="R291:Z291" si="206">R5*R292</f>
        <v>266.49926872240485</v>
      </c>
      <c r="S291" s="120">
        <f t="shared" si="206"/>
        <v>320.53521914418815</v>
      </c>
      <c r="T291" s="120">
        <f t="shared" si="206"/>
        <v>334.39331556503402</v>
      </c>
      <c r="U291" s="120">
        <f t="shared" si="206"/>
        <v>250.02090223576434</v>
      </c>
      <c r="V291" s="120">
        <f t="shared" si="206"/>
        <v>262.19353445379022</v>
      </c>
      <c r="W291" s="120">
        <f t="shared" si="206"/>
        <v>138.6910408034652</v>
      </c>
      <c r="X291" s="120">
        <f t="shared" si="206"/>
        <v>144.04788275486609</v>
      </c>
      <c r="Y291" s="120">
        <f t="shared" si="206"/>
        <v>119.87751691922006</v>
      </c>
      <c r="Z291" s="120">
        <f t="shared" si="206"/>
        <v>93.679017989545699</v>
      </c>
      <c r="AA291" s="120"/>
      <c r="AB291" s="121"/>
      <c r="AC291" s="121"/>
      <c r="AD291" s="121"/>
      <c r="AE291" s="121"/>
      <c r="AF291" s="121"/>
      <c r="AG291" s="121"/>
      <c r="AH291" s="121"/>
      <c r="AI291" s="121"/>
      <c r="AJ291" s="121"/>
      <c r="AK291" s="121"/>
      <c r="AL291" s="121"/>
      <c r="AM291" s="121"/>
      <c r="AN291" s="121"/>
      <c r="AO291" s="121"/>
      <c r="AP291" s="121"/>
      <c r="AQ291" s="121"/>
      <c r="AR291" s="121"/>
      <c r="AS291" s="121"/>
      <c r="AT291" s="121"/>
      <c r="AU291" s="121"/>
      <c r="AV291" s="121"/>
      <c r="AW291" s="121"/>
      <c r="AX291" s="121"/>
      <c r="AY291" s="121"/>
      <c r="AZ291" s="121"/>
      <c r="BA291" s="121"/>
      <c r="BB291" s="122"/>
      <c r="BC291" s="123"/>
    </row>
    <row r="292" spans="1:57" s="180" customFormat="1" x14ac:dyDescent="0.25">
      <c r="A292" s="189"/>
      <c r="B292" s="175" t="s">
        <v>404</v>
      </c>
      <c r="C292" s="175"/>
      <c r="E292" s="471"/>
      <c r="F292" s="471"/>
      <c r="G292" s="471"/>
      <c r="H292" s="471"/>
      <c r="I292" s="472">
        <f>I293/I$7</f>
        <v>3.7904858355364633E-2</v>
      </c>
      <c r="J292" s="472">
        <f>J293/J$7</f>
        <v>0.1866503616668154</v>
      </c>
      <c r="K292" s="472">
        <f t="shared" ref="K292:P292" si="207">K293/K$7</f>
        <v>0.2030708162335699</v>
      </c>
      <c r="L292" s="472">
        <f t="shared" si="207"/>
        <v>0.16764416228281995</v>
      </c>
      <c r="M292" s="472">
        <f t="shared" si="207"/>
        <v>0.12994493912080241</v>
      </c>
      <c r="N292" s="472">
        <f t="shared" si="207"/>
        <v>0.14850400554599275</v>
      </c>
      <c r="O292" s="472">
        <f t="shared" si="207"/>
        <v>0.15607054889532779</v>
      </c>
      <c r="P292" s="1813">
        <f t="shared" si="207"/>
        <v>0.10574952983019581</v>
      </c>
      <c r="Q292" s="260">
        <f>AVERAGE(J292:P292)</f>
        <v>0.15680490908221772</v>
      </c>
      <c r="R292" s="260">
        <f t="shared" ref="R292:T292" si="208">AVERAGE(K292:Q292)</f>
        <v>0.15254127299870374</v>
      </c>
      <c r="S292" s="260">
        <f t="shared" si="208"/>
        <v>0.14532276682229431</v>
      </c>
      <c r="T292" s="260">
        <f t="shared" si="208"/>
        <v>0.14213399604221921</v>
      </c>
      <c r="U292" s="260">
        <v>0.1</v>
      </c>
      <c r="V292" s="260">
        <v>0.1</v>
      </c>
      <c r="W292" s="260">
        <v>0.05</v>
      </c>
      <c r="X292" s="260">
        <f>W292</f>
        <v>0.05</v>
      </c>
      <c r="Y292" s="260">
        <v>0.04</v>
      </c>
      <c r="Z292" s="260">
        <v>0.03</v>
      </c>
      <c r="AA292" s="260"/>
      <c r="AB292" s="334"/>
      <c r="AC292" s="334"/>
      <c r="AD292" s="334"/>
      <c r="AE292" s="334"/>
      <c r="AF292" s="334"/>
      <c r="AG292" s="334"/>
      <c r="AH292" s="334"/>
      <c r="AI292" s="334"/>
      <c r="AJ292" s="334"/>
      <c r="AK292" s="334"/>
      <c r="AL292" s="334"/>
      <c r="AM292" s="334"/>
      <c r="AN292" s="334"/>
      <c r="AO292" s="334"/>
      <c r="AP292" s="334"/>
      <c r="AQ292" s="334"/>
      <c r="AR292" s="334"/>
      <c r="AS292" s="334"/>
      <c r="AT292" s="334"/>
      <c r="AU292" s="334"/>
      <c r="AV292" s="334"/>
      <c r="AW292" s="334"/>
      <c r="AX292" s="334"/>
      <c r="AY292" s="334"/>
      <c r="AZ292" s="334"/>
      <c r="BA292" s="334"/>
      <c r="BB292" s="198"/>
      <c r="BC292" s="323"/>
    </row>
    <row r="293" spans="1:57" s="117" customFormat="1" x14ac:dyDescent="0.25">
      <c r="A293" s="132"/>
      <c r="B293" s="133" t="s">
        <v>594</v>
      </c>
      <c r="C293" s="133"/>
      <c r="D293" s="134"/>
      <c r="E293" s="152"/>
      <c r="F293" s="152"/>
      <c r="G293" s="152"/>
      <c r="H293" s="152"/>
      <c r="I293" s="374">
        <f>IF(ISTEXT('BS Raw'!I11),('BS Raw'!I82-'BS Raw'!I83-'BS Raw'!I84-'BS Raw'!I92)/Input!$B$1,I291)</f>
        <v>92.938137764000032</v>
      </c>
      <c r="J293" s="374">
        <f>IF(ISTEXT('BS Raw'!J11),('BS Raw'!J82-'BS Raw'!J83-'BS Raw'!J84-'BS Raw'!J92)/Input!$B$1,J291)</f>
        <v>228.65939216000001</v>
      </c>
      <c r="K293" s="374">
        <f>IF(ISTEXT('BS Raw'!K11),('BS Raw'!K82-'BS Raw'!K83-'BS Raw'!K84-'BS Raw'!K92)/Input!$B$1,K291)</f>
        <v>281.23314594300001</v>
      </c>
      <c r="L293" s="374">
        <f>IF(ISTEXT('BS Raw'!L11),('BS Raw'!L82-'BS Raw'!L83-'BS Raw'!L84-'BS Raw'!L92)/Input!$B$1,L291)</f>
        <v>232.72821926400005</v>
      </c>
      <c r="M293" s="374">
        <f>IF(ISTEXT('BS Raw'!M11),('BS Raw'!M82-'BS Raw'!M83-'BS Raw'!M84-'BS Raw'!M92)/Input!$B$1,M291)</f>
        <v>182.05601948200001</v>
      </c>
      <c r="N293" s="374">
        <f>IF(ISTEXT('BS Raw'!N11),('BS Raw'!N82-'BS Raw'!N83-'BS Raw'!N84-'BS Raw'!N92)/Input!$B$1,N291)</f>
        <v>187.37181360399993</v>
      </c>
      <c r="O293" s="374">
        <f>IF(ISTEXT('BS Raw'!O11),('BS Raw'!O82-'BS Raw'!O83-'BS Raw'!O84-'BS Raw'!O92)/Input!$B$1,O291)</f>
        <v>196.173246562</v>
      </c>
      <c r="P293" s="767">
        <f>IF(ISTEXT('BS Raw'!P11),('BS Raw'!P82-'BS Raw'!P83-'BS Raw'!P84-'BS Raw'!P92)/Input!$B$1,P291)</f>
        <v>164.81110048300005</v>
      </c>
      <c r="Q293" s="375">
        <f>IF(ISTEXT('BS Raw'!Q11),('BS Raw'!Q82-'BS Raw'!Q83-'BS Raw'!Q84-'BS Raw'!Q92)/Input!$B$1,Q291)</f>
        <v>262.58929473997233</v>
      </c>
      <c r="R293" s="375">
        <f>IF(ISTEXT('BS Raw'!R11),('BS Raw'!R82-'BS Raw'!R83-'BS Raw'!R84-'BS Raw'!R92)/Input!$B$1,R291)</f>
        <v>266.49926872240485</v>
      </c>
      <c r="S293" s="375">
        <f>IF(ISTEXT('BS Raw'!S11),('BS Raw'!S82-'BS Raw'!S83-'BS Raw'!S84-'BS Raw'!S92)/Input!$B$1,S291)</f>
        <v>320.53521914418815</v>
      </c>
      <c r="T293" s="375">
        <f>IF(ISTEXT('BS Raw'!T11),('BS Raw'!T82-'BS Raw'!T83-'BS Raw'!T84-'BS Raw'!T92)/Input!$B$1,T291)</f>
        <v>334.39331556503402</v>
      </c>
      <c r="U293" s="375">
        <f>IF(ISTEXT('BS Raw'!U11),('BS Raw'!U82-'BS Raw'!U83-'BS Raw'!U84-'BS Raw'!U92)/Input!$B$1,U291)</f>
        <v>250.02090223576434</v>
      </c>
      <c r="V293" s="375">
        <f>IF(ISTEXT('BS Raw'!V11),('BS Raw'!V82-'BS Raw'!V83-'BS Raw'!V84-'BS Raw'!V92)/Input!$B$1,V291)</f>
        <v>262.19353445379022</v>
      </c>
      <c r="W293" s="375">
        <f>IF(ISTEXT('BS Raw'!W11),('BS Raw'!W82-'BS Raw'!W83-'BS Raw'!W84-'BS Raw'!W92)/Input!$B$1,W291)</f>
        <v>138.6910408034652</v>
      </c>
      <c r="X293" s="375">
        <f>IF(ISTEXT('BS Raw'!X11),('BS Raw'!X82-'BS Raw'!X83-'BS Raw'!X84-'BS Raw'!X92)/Input!$B$1,X291)</f>
        <v>144.04788275486609</v>
      </c>
      <c r="Y293" s="375">
        <f>IF(ISTEXT('BS Raw'!Y11),('BS Raw'!Y82-'BS Raw'!Y83-'BS Raw'!Y84-'BS Raw'!Y92)/Input!$B$1,Y291)</f>
        <v>119.87751691922006</v>
      </c>
      <c r="Z293" s="375">
        <f>IF(ISTEXT('BS Raw'!Z11),('BS Raw'!Z82-'BS Raw'!Z83-'BS Raw'!Z84-'BS Raw'!Z92)/Input!$B$1,Z291)</f>
        <v>93.679017989545699</v>
      </c>
      <c r="AA293" s="375"/>
      <c r="AB293" s="169"/>
      <c r="AC293" s="169"/>
      <c r="AD293" s="169"/>
      <c r="AE293" s="169"/>
      <c r="AF293" s="169"/>
      <c r="AG293" s="169"/>
      <c r="AH293" s="169"/>
      <c r="AI293" s="169"/>
      <c r="AJ293" s="169"/>
      <c r="AK293" s="169"/>
      <c r="AL293" s="169"/>
      <c r="AM293" s="169"/>
      <c r="AN293" s="169"/>
      <c r="AO293" s="169"/>
      <c r="AP293" s="169"/>
      <c r="AQ293" s="169"/>
      <c r="AR293" s="169"/>
      <c r="AS293" s="169"/>
      <c r="AT293" s="169"/>
      <c r="AU293" s="169"/>
      <c r="AV293" s="169"/>
      <c r="AW293" s="169"/>
      <c r="AX293" s="169"/>
      <c r="AY293" s="169"/>
      <c r="AZ293" s="169"/>
      <c r="BA293" s="169"/>
      <c r="BB293" s="139"/>
      <c r="BC293" s="140"/>
    </row>
    <row r="294" spans="1:57" s="42" customFormat="1" x14ac:dyDescent="0.25">
      <c r="A294" s="41"/>
      <c r="D294" s="181"/>
      <c r="E294" s="182"/>
      <c r="F294" s="182"/>
      <c r="G294" s="182"/>
      <c r="H294" s="182"/>
      <c r="I294" s="182"/>
      <c r="J294" s="182"/>
      <c r="K294" s="182"/>
      <c r="L294" s="182"/>
      <c r="M294" s="182"/>
      <c r="N294" s="153"/>
      <c r="O294" s="153"/>
      <c r="P294" s="154"/>
      <c r="Q294" s="153"/>
      <c r="R294" s="153"/>
      <c r="S294" s="153"/>
      <c r="T294" s="153"/>
      <c r="U294" s="153"/>
      <c r="V294" s="153"/>
      <c r="W294" s="153"/>
      <c r="X294" s="153"/>
      <c r="Y294" s="153"/>
      <c r="Z294" s="153"/>
      <c r="AA294" s="153"/>
      <c r="AB294" s="153"/>
      <c r="AC294" s="153"/>
      <c r="AD294" s="153"/>
      <c r="AE294" s="153"/>
      <c r="AF294" s="153"/>
      <c r="AG294" s="153"/>
      <c r="AH294" s="153"/>
      <c r="AI294" s="153"/>
      <c r="AJ294" s="153"/>
      <c r="AK294" s="153"/>
      <c r="AL294" s="153"/>
      <c r="AM294" s="153"/>
      <c r="AN294" s="153"/>
      <c r="AO294" s="153"/>
      <c r="AP294" s="153"/>
      <c r="AQ294" s="153"/>
      <c r="AR294" s="153"/>
      <c r="AS294" s="153"/>
      <c r="AT294" s="153"/>
      <c r="AU294" s="153"/>
      <c r="AV294" s="153"/>
      <c r="AW294" s="153"/>
      <c r="AX294" s="153"/>
      <c r="AY294" s="153"/>
      <c r="AZ294" s="153"/>
      <c r="BA294" s="153"/>
      <c r="BB294" s="257"/>
      <c r="BC294" s="123"/>
      <c r="BD294" s="181"/>
      <c r="BE294" s="181"/>
    </row>
    <row r="295" spans="1:57" s="124" customFormat="1" x14ac:dyDescent="0.25">
      <c r="A295" s="115"/>
      <c r="B295" s="116" t="s">
        <v>595</v>
      </c>
      <c r="C295" s="116"/>
      <c r="E295" s="157"/>
      <c r="F295" s="157"/>
      <c r="G295" s="157"/>
      <c r="H295" s="157"/>
      <c r="I295" s="158">
        <f>I270+I275+I281+I286+I291</f>
        <v>699.65556326299998</v>
      </c>
      <c r="J295" s="158">
        <f>J270+J275+J281+J286+J291</f>
        <v>482.08874687100001</v>
      </c>
      <c r="K295" s="158">
        <f t="shared" ref="K295:Z295" si="209">K270+K275+K281+K286+K291</f>
        <v>612.15608453999994</v>
      </c>
      <c r="L295" s="158">
        <f t="shared" si="209"/>
        <v>655.81064181500005</v>
      </c>
      <c r="M295" s="158">
        <f t="shared" si="209"/>
        <v>497.31970547200001</v>
      </c>
      <c r="N295" s="158">
        <f t="shared" si="209"/>
        <v>580.31210996899995</v>
      </c>
      <c r="O295" s="158">
        <f t="shared" si="209"/>
        <v>347.87234367100001</v>
      </c>
      <c r="P295" s="1783">
        <f t="shared" si="209"/>
        <v>293.26127431600003</v>
      </c>
      <c r="Q295" s="120">
        <f t="shared" ca="1" si="209"/>
        <v>520.42246747665536</v>
      </c>
      <c r="R295" s="120">
        <f t="shared" ca="1" si="209"/>
        <v>535.76581119854677</v>
      </c>
      <c r="S295" s="120">
        <f t="shared" ca="1" si="209"/>
        <v>659.40790741144122</v>
      </c>
      <c r="T295" s="120">
        <f t="shared" ca="1" si="209"/>
        <v>695.89417613476428</v>
      </c>
      <c r="U295" s="120">
        <f t="shared" ca="1" si="209"/>
        <v>634.02558265711468</v>
      </c>
      <c r="V295" s="120">
        <f t="shared" ca="1" si="209"/>
        <v>665.44797613433479</v>
      </c>
      <c r="W295" s="120">
        <f t="shared" ca="1" si="209"/>
        <v>566.5974696940915</v>
      </c>
      <c r="X295" s="120">
        <f t="shared" ca="1" si="209"/>
        <v>601.95457270273403</v>
      </c>
      <c r="Y295" s="120">
        <f t="shared" ca="1" si="209"/>
        <v>597.91954667420839</v>
      </c>
      <c r="Z295" s="120">
        <f t="shared" ca="1" si="209"/>
        <v>597.87273410881039</v>
      </c>
      <c r="AA295" s="120"/>
      <c r="AB295" s="121"/>
      <c r="AC295" s="121"/>
      <c r="AD295" s="121"/>
      <c r="AE295" s="121"/>
      <c r="AF295" s="121"/>
      <c r="AG295" s="121"/>
      <c r="AH295" s="121"/>
      <c r="AI295" s="121"/>
      <c r="AJ295" s="121"/>
      <c r="AK295" s="121"/>
      <c r="AL295" s="121"/>
      <c r="AM295" s="121"/>
      <c r="AN295" s="121"/>
      <c r="AO295" s="121"/>
      <c r="AP295" s="121"/>
      <c r="AQ295" s="121"/>
      <c r="AR295" s="121"/>
      <c r="AS295" s="121"/>
      <c r="AT295" s="121"/>
      <c r="AU295" s="121"/>
      <c r="AV295" s="121"/>
      <c r="AW295" s="121"/>
      <c r="AX295" s="121"/>
      <c r="AY295" s="121"/>
      <c r="AZ295" s="121"/>
      <c r="BA295" s="121"/>
      <c r="BB295" s="122"/>
      <c r="BC295" s="123"/>
    </row>
    <row r="296" spans="1:57" s="117" customFormat="1" x14ac:dyDescent="0.25">
      <c r="A296" s="132"/>
      <c r="B296" s="133" t="s">
        <v>596</v>
      </c>
      <c r="C296" s="133"/>
      <c r="D296" s="134"/>
      <c r="E296" s="166"/>
      <c r="F296" s="166"/>
      <c r="G296" s="166"/>
      <c r="H296" s="166"/>
      <c r="I296" s="167">
        <f>I273+I279+I289+I284+I293</f>
        <v>699.65556326299998</v>
      </c>
      <c r="J296" s="167">
        <f>J273+J279+J289+J284+J293</f>
        <v>482.08874687100001</v>
      </c>
      <c r="K296" s="167">
        <f t="shared" ref="K296:Z296" si="210">K273+K279+K289+K284+K293</f>
        <v>612.15608454000005</v>
      </c>
      <c r="L296" s="167">
        <f t="shared" si="210"/>
        <v>655.81064181500005</v>
      </c>
      <c r="M296" s="167">
        <f t="shared" si="210"/>
        <v>497.31970547200001</v>
      </c>
      <c r="N296" s="167">
        <f t="shared" si="210"/>
        <v>580.31210996899995</v>
      </c>
      <c r="O296" s="167">
        <f t="shared" si="210"/>
        <v>347.87234367100001</v>
      </c>
      <c r="P296" s="743">
        <f t="shared" si="210"/>
        <v>293.26127431600003</v>
      </c>
      <c r="Q296" s="168">
        <f t="shared" ca="1" si="210"/>
        <v>520.42246747665536</v>
      </c>
      <c r="R296" s="168">
        <f t="shared" ca="1" si="210"/>
        <v>535.76581119854666</v>
      </c>
      <c r="S296" s="168">
        <f t="shared" ca="1" si="210"/>
        <v>659.40790741144122</v>
      </c>
      <c r="T296" s="168">
        <f t="shared" ca="1" si="210"/>
        <v>695.89417613476428</v>
      </c>
      <c r="U296" s="168">
        <f t="shared" ca="1" si="210"/>
        <v>634.02558265711457</v>
      </c>
      <c r="V296" s="168">
        <f t="shared" ca="1" si="210"/>
        <v>665.44797613433479</v>
      </c>
      <c r="W296" s="168">
        <f t="shared" ca="1" si="210"/>
        <v>566.5974696940915</v>
      </c>
      <c r="X296" s="168">
        <f t="shared" ca="1" si="210"/>
        <v>601.95457270273403</v>
      </c>
      <c r="Y296" s="168">
        <f t="shared" ca="1" si="210"/>
        <v>597.91954667420839</v>
      </c>
      <c r="Z296" s="168">
        <f t="shared" ca="1" si="210"/>
        <v>597.87273410881039</v>
      </c>
      <c r="AA296" s="168"/>
      <c r="AB296" s="169"/>
      <c r="AC296" s="169"/>
      <c r="AD296" s="169"/>
      <c r="AE296" s="169"/>
      <c r="AF296" s="169"/>
      <c r="AG296" s="169"/>
      <c r="AH296" s="169"/>
      <c r="AI296" s="169"/>
      <c r="AJ296" s="169"/>
      <c r="AK296" s="169"/>
      <c r="AL296" s="169"/>
      <c r="AM296" s="169"/>
      <c r="AN296" s="169"/>
      <c r="AO296" s="169"/>
      <c r="AP296" s="169"/>
      <c r="AQ296" s="169"/>
      <c r="AR296" s="169"/>
      <c r="AS296" s="169"/>
      <c r="AT296" s="169"/>
      <c r="AU296" s="169"/>
      <c r="AV296" s="169"/>
      <c r="AW296" s="169"/>
      <c r="AX296" s="169"/>
      <c r="AY296" s="169"/>
      <c r="AZ296" s="169"/>
      <c r="BA296" s="169"/>
      <c r="BC296" s="123"/>
    </row>
    <row r="297" spans="1:57" s="426" customFormat="1" x14ac:dyDescent="0.25">
      <c r="A297" s="425"/>
      <c r="B297" s="426" t="s">
        <v>468</v>
      </c>
      <c r="D297" s="427"/>
      <c r="E297" s="473"/>
      <c r="F297" s="473"/>
      <c r="G297" s="473"/>
      <c r="H297" s="473"/>
      <c r="I297" s="474">
        <f>IF(ISTEXT('BS Raw'!I11),I296-'BS Raw'!I82/Input!$B$1,"chưa có BCTC")</f>
        <v>0</v>
      </c>
      <c r="J297" s="474">
        <f>IF(ISTEXT('BS Raw'!J11),J296-'BS Raw'!J82/Input!$B$1,"chưa có BCTC")</f>
        <v>0</v>
      </c>
      <c r="K297" s="474">
        <f>IF(ISTEXT('BS Raw'!K11),K296-'BS Raw'!K82/Input!$B$1,"chưa có BCTC")</f>
        <v>0</v>
      </c>
      <c r="L297" s="474">
        <f>IF(ISTEXT('BS Raw'!L11),L296-'BS Raw'!L82/Input!$B$1,"chưa có BCTC")</f>
        <v>0</v>
      </c>
      <c r="M297" s="474">
        <f>IF(ISTEXT('BS Raw'!M11),M296-'BS Raw'!M82/Input!$B$1,"chưa có BCTC")</f>
        <v>0</v>
      </c>
      <c r="N297" s="474">
        <f>IF(ISTEXT('BS Raw'!N11),N296-'BS Raw'!N82/Input!$B$1,"chưa có BCTC")</f>
        <v>0</v>
      </c>
      <c r="O297" s="474">
        <f>IF(ISTEXT('BS Raw'!O11),O296-'BS Raw'!O82/Input!$B$1,"chưa có BCTC")</f>
        <v>0</v>
      </c>
      <c r="P297" s="1814">
        <f>IF(ISTEXT('BS Raw'!P11),P296-'BS Raw'!P82/Input!$B$1,"chưa có BCTC")</f>
        <v>0</v>
      </c>
      <c r="Q297" s="474" t="str">
        <f>IF(ISTEXT('BS Raw'!Q11),Q296-'BS Raw'!Q82/Input!$B$1,"chưa có BCTC")</f>
        <v>chưa có BCTC</v>
      </c>
      <c r="R297" s="474" t="str">
        <f>IF(ISTEXT('BS Raw'!R11),R296-'BS Raw'!R82/Input!$B$1,"chưa có BCTC")</f>
        <v>chưa có BCTC</v>
      </c>
      <c r="S297" s="474" t="str">
        <f>IF(ISTEXT('BS Raw'!S11),S296-'BS Raw'!S82/Input!$B$1,"chưa có BCTC")</f>
        <v>chưa có BCTC</v>
      </c>
      <c r="T297" s="474" t="str">
        <f>IF(ISTEXT('BS Raw'!T11),T296-'BS Raw'!T82/Input!$B$1,"chưa có BCTC")</f>
        <v>chưa có BCTC</v>
      </c>
      <c r="U297" s="474" t="str">
        <f>IF(ISTEXT('BS Raw'!U11),U296-'BS Raw'!U82/Input!$B$1,"chưa có BCTC")</f>
        <v>chưa có BCTC</v>
      </c>
      <c r="V297" s="474" t="str">
        <f>IF(ISTEXT('BS Raw'!V11),V296-'BS Raw'!V82/Input!$B$1,"chưa có BCTC")</f>
        <v>chưa có BCTC</v>
      </c>
      <c r="W297" s="474" t="str">
        <f>IF(ISTEXT('BS Raw'!W11),W296-'BS Raw'!W82/Input!$B$1,"chưa có BCTC")</f>
        <v>chưa có BCTC</v>
      </c>
      <c r="X297" s="474" t="str">
        <f>IF(ISTEXT('BS Raw'!X11),X296-'BS Raw'!X82/Input!$B$1,"chưa có BCTC")</f>
        <v>chưa có BCTC</v>
      </c>
      <c r="Y297" s="474" t="str">
        <f>IF(ISTEXT('BS Raw'!Y11),Y296-'BS Raw'!Y82/Input!$B$1,"chưa có BCTC")</f>
        <v>chưa có BCTC</v>
      </c>
      <c r="Z297" s="474" t="str">
        <f>IF(ISTEXT('BS Raw'!Z11),Z296-'BS Raw'!Z82/Input!$B$1,"chưa có BCTC")</f>
        <v>chưa có BCTC</v>
      </c>
      <c r="AA297" s="474"/>
      <c r="AB297" s="473"/>
      <c r="AC297" s="473"/>
      <c r="AD297" s="473"/>
      <c r="AE297" s="473"/>
      <c r="AF297" s="473"/>
      <c r="AG297" s="473"/>
      <c r="AH297" s="473"/>
      <c r="AI297" s="473"/>
      <c r="AJ297" s="473"/>
      <c r="AK297" s="473"/>
      <c r="AL297" s="473"/>
      <c r="AM297" s="473"/>
      <c r="AN297" s="473"/>
      <c r="AO297" s="473"/>
      <c r="AP297" s="473"/>
      <c r="AQ297" s="473"/>
      <c r="AR297" s="473"/>
      <c r="AS297" s="473"/>
      <c r="AT297" s="473"/>
      <c r="AU297" s="473"/>
      <c r="AV297" s="473"/>
      <c r="AW297" s="473"/>
      <c r="AX297" s="473"/>
      <c r="AY297" s="473"/>
      <c r="AZ297" s="473"/>
      <c r="BA297" s="473"/>
      <c r="BB297" s="475"/>
      <c r="BC297" s="296"/>
      <c r="BD297" s="427"/>
      <c r="BE297" s="427"/>
    </row>
    <row r="298" spans="1:57" s="477" customFormat="1" x14ac:dyDescent="0.25">
      <c r="A298" s="476"/>
      <c r="D298" s="478"/>
      <c r="E298" s="479"/>
      <c r="F298" s="479"/>
      <c r="G298" s="479"/>
      <c r="H298" s="479"/>
      <c r="I298" s="479"/>
      <c r="J298" s="479"/>
      <c r="K298" s="479"/>
      <c r="L298" s="479"/>
      <c r="M298" s="479"/>
      <c r="N298" s="479"/>
      <c r="O298" s="479"/>
      <c r="P298" s="480"/>
      <c r="Q298" s="479"/>
      <c r="R298" s="479"/>
      <c r="S298" s="479"/>
      <c r="T298" s="479"/>
      <c r="U298" s="479"/>
      <c r="V298" s="479"/>
      <c r="W298" s="479"/>
      <c r="X298" s="479"/>
      <c r="Y298" s="479"/>
      <c r="Z298" s="479"/>
      <c r="AA298" s="479"/>
      <c r="AB298" s="479"/>
      <c r="AC298" s="479"/>
      <c r="AD298" s="479"/>
      <c r="AE298" s="479"/>
      <c r="AF298" s="479"/>
      <c r="AG298" s="479"/>
      <c r="AH298" s="479"/>
      <c r="AI298" s="479"/>
      <c r="AJ298" s="479"/>
      <c r="AK298" s="479"/>
      <c r="AL298" s="479"/>
      <c r="AM298" s="479"/>
      <c r="AN298" s="479"/>
      <c r="AO298" s="479"/>
      <c r="AP298" s="479"/>
      <c r="AQ298" s="479"/>
      <c r="AR298" s="479"/>
      <c r="AS298" s="479"/>
      <c r="AT298" s="479"/>
      <c r="AU298" s="479"/>
      <c r="AV298" s="479"/>
      <c r="AW298" s="479"/>
      <c r="AX298" s="479"/>
      <c r="AY298" s="479"/>
      <c r="AZ298" s="479"/>
      <c r="BA298" s="479"/>
      <c r="BB298" s="481"/>
      <c r="BC298" s="482"/>
      <c r="BD298" s="478"/>
      <c r="BE298" s="478"/>
    </row>
    <row r="299" spans="1:57" ht="19.5" customHeight="1" x14ac:dyDescent="0.25">
      <c r="A299" s="64"/>
      <c r="B299" s="483" t="s">
        <v>597</v>
      </c>
      <c r="C299" s="147"/>
      <c r="D299" s="112"/>
      <c r="E299" s="484"/>
      <c r="F299" s="484"/>
      <c r="G299" s="484"/>
      <c r="H299" s="484"/>
      <c r="I299" s="485">
        <f>H305</f>
        <v>0</v>
      </c>
      <c r="J299" s="485">
        <f>I305</f>
        <v>35.595277428999999</v>
      </c>
      <c r="K299" s="485">
        <f t="shared" ref="K299:P299" si="211">J305</f>
        <v>0</v>
      </c>
      <c r="L299" s="485">
        <f t="shared" si="211"/>
        <v>0</v>
      </c>
      <c r="M299" s="485">
        <f t="shared" si="211"/>
        <v>0</v>
      </c>
      <c r="N299" s="485">
        <f t="shared" si="211"/>
        <v>0</v>
      </c>
      <c r="O299" s="485">
        <f t="shared" si="211"/>
        <v>65.452849999999998</v>
      </c>
      <c r="P299" s="1815">
        <f t="shared" si="211"/>
        <v>62.725647917000003</v>
      </c>
      <c r="Q299" s="486">
        <f>P305</f>
        <v>76</v>
      </c>
      <c r="R299" s="486">
        <f t="shared" ref="R299:Z299" si="212">Q305</f>
        <v>237.32783785126321</v>
      </c>
      <c r="S299" s="486">
        <f t="shared" si="212"/>
        <v>327.52710085320365</v>
      </c>
      <c r="T299" s="486">
        <f t="shared" si="212"/>
        <v>267.1878255508301</v>
      </c>
      <c r="U299" s="486">
        <f t="shared" si="212"/>
        <v>179.41668485297177</v>
      </c>
      <c r="V299" s="486">
        <f t="shared" si="212"/>
        <v>120.34191553268084</v>
      </c>
      <c r="W299" s="486">
        <f t="shared" si="212"/>
        <v>45.526526141799735</v>
      </c>
      <c r="X299" s="486">
        <f t="shared" si="212"/>
        <v>18.436234488137067</v>
      </c>
      <c r="Y299" s="486">
        <f t="shared" si="212"/>
        <v>9.5654571258558008</v>
      </c>
      <c r="Z299" s="486">
        <f t="shared" si="212"/>
        <v>3.1884857086186003</v>
      </c>
      <c r="AA299" s="486"/>
      <c r="AB299" s="487"/>
      <c r="AC299" s="487"/>
      <c r="AD299" s="487"/>
      <c r="AE299" s="487"/>
      <c r="AF299" s="487"/>
      <c r="AG299" s="487"/>
      <c r="AH299" s="487"/>
      <c r="AI299" s="487"/>
      <c r="AJ299" s="487"/>
      <c r="AK299" s="487"/>
      <c r="AL299" s="487"/>
      <c r="AM299" s="487"/>
      <c r="AN299" s="487"/>
      <c r="AO299" s="487"/>
      <c r="AP299" s="487"/>
      <c r="AQ299" s="487"/>
      <c r="AR299" s="487"/>
      <c r="AS299" s="487"/>
      <c r="AT299" s="487"/>
      <c r="AU299" s="487"/>
      <c r="AV299" s="487"/>
      <c r="AW299" s="487"/>
      <c r="AX299" s="487"/>
      <c r="AY299" s="487"/>
      <c r="AZ299" s="487"/>
      <c r="BA299" s="487"/>
      <c r="BB299" s="230"/>
      <c r="BD299" s="112"/>
      <c r="BE299" s="112"/>
    </row>
    <row r="300" spans="1:57" ht="15" customHeight="1" x14ac:dyDescent="0.25">
      <c r="A300" s="64"/>
      <c r="B300" s="488" t="s">
        <v>598</v>
      </c>
      <c r="C300" s="488"/>
      <c r="D300" s="112"/>
      <c r="E300" s="157"/>
      <c r="F300" s="157"/>
      <c r="G300" s="157"/>
      <c r="H300" s="157"/>
      <c r="I300" s="157"/>
      <c r="J300" s="157"/>
      <c r="K300" s="157"/>
      <c r="L300" s="157"/>
      <c r="M300" s="157"/>
      <c r="N300" s="170"/>
      <c r="O300" s="170"/>
      <c r="P300" s="171"/>
      <c r="Q300" s="228">
        <f>+Debt!S26</f>
        <v>193.32722724214429</v>
      </c>
      <c r="R300" s="228">
        <f>+Debt!T26</f>
        <v>157.25708346337331</v>
      </c>
      <c r="S300" s="228">
        <f>+Debt!U26</f>
        <v>24.938059450440679</v>
      </c>
      <c r="T300" s="228">
        <f>+Debt!V26</f>
        <v>0</v>
      </c>
      <c r="U300" s="228">
        <f>+Debt!W26</f>
        <v>31.884857086186003</v>
      </c>
      <c r="V300" s="228">
        <f>+Debt!X26</f>
        <v>0</v>
      </c>
      <c r="W300" s="228">
        <f>+Debt!Y26</f>
        <v>0</v>
      </c>
      <c r="X300" s="228">
        <f>+Debt!Z26</f>
        <v>0</v>
      </c>
      <c r="Y300" s="228">
        <f>+Debt!AA26</f>
        <v>0</v>
      </c>
      <c r="Z300" s="228">
        <f>+Debt!AB26</f>
        <v>0</v>
      </c>
      <c r="AA300" s="228"/>
      <c r="AB300" s="224"/>
      <c r="AC300" s="224"/>
      <c r="AD300" s="224"/>
      <c r="AE300" s="224"/>
      <c r="AF300" s="224"/>
      <c r="AG300" s="224"/>
      <c r="AH300" s="224"/>
      <c r="AI300" s="224"/>
      <c r="AJ300" s="224"/>
      <c r="AK300" s="224"/>
      <c r="AL300" s="224"/>
      <c r="AM300" s="224"/>
      <c r="AN300" s="224"/>
      <c r="AO300" s="224"/>
      <c r="AP300" s="224"/>
      <c r="AQ300" s="224"/>
      <c r="AR300" s="224"/>
      <c r="AS300" s="224"/>
      <c r="AT300" s="224"/>
      <c r="AU300" s="224"/>
      <c r="AV300" s="224"/>
      <c r="AW300" s="224"/>
      <c r="AX300" s="224"/>
      <c r="AY300" s="224"/>
      <c r="AZ300" s="224"/>
      <c r="BA300" s="224"/>
      <c r="BB300" s="113"/>
      <c r="BC300" s="2369"/>
      <c r="BD300" s="112"/>
      <c r="BE300" s="112"/>
    </row>
    <row r="301" spans="1:57" x14ac:dyDescent="0.25">
      <c r="A301" s="64"/>
      <c r="B301" s="488" t="s">
        <v>599</v>
      </c>
      <c r="C301" s="488"/>
      <c r="D301" s="112"/>
      <c r="E301" s="170"/>
      <c r="F301" s="170"/>
      <c r="G301" s="170"/>
      <c r="H301" s="170"/>
      <c r="I301" s="170"/>
      <c r="J301" s="170"/>
      <c r="K301" s="170"/>
      <c r="L301" s="170"/>
      <c r="M301" s="170"/>
      <c r="N301" s="170"/>
      <c r="O301" s="170"/>
      <c r="P301" s="171"/>
      <c r="Q301" s="228">
        <f>+Debt!S25</f>
        <v>51.332112115095519</v>
      </c>
      <c r="R301" s="228">
        <f>+Debt!T25</f>
        <v>82.783528807770182</v>
      </c>
      <c r="S301" s="228">
        <f>+Debt!U25</f>
        <v>87.771140697858314</v>
      </c>
      <c r="T301" s="228">
        <f>+Debt!V25</f>
        <v>87.771140697858314</v>
      </c>
      <c r="U301" s="228">
        <f>+Debt!W25</f>
        <v>94.148112115095515</v>
      </c>
      <c r="V301" s="228">
        <f>+Debt!X25</f>
        <v>74.815389390881094</v>
      </c>
      <c r="W301" s="228">
        <f>+Debt!Y25</f>
        <v>27.090291653662664</v>
      </c>
      <c r="X301" s="228">
        <f>+Debt!Z25</f>
        <v>8.8707773622812667</v>
      </c>
      <c r="Y301" s="228">
        <f>+Debt!AA25</f>
        <v>6.3769714172372005</v>
      </c>
      <c r="Z301" s="228">
        <f>+Debt!AB25</f>
        <v>3.1884857086186003</v>
      </c>
      <c r="AA301" s="228"/>
      <c r="AB301" s="224"/>
      <c r="AC301" s="224"/>
      <c r="AD301" s="224"/>
      <c r="AE301" s="224"/>
      <c r="AF301" s="224"/>
      <c r="AG301" s="224"/>
      <c r="AH301" s="224"/>
      <c r="AI301" s="224"/>
      <c r="AJ301" s="224"/>
      <c r="AK301" s="224"/>
      <c r="AL301" s="224"/>
      <c r="AM301" s="224"/>
      <c r="AN301" s="224"/>
      <c r="AO301" s="224"/>
      <c r="AP301" s="224"/>
      <c r="AQ301" s="224"/>
      <c r="AR301" s="224"/>
      <c r="AS301" s="224"/>
      <c r="AT301" s="224"/>
      <c r="AU301" s="224"/>
      <c r="AV301" s="224"/>
      <c r="AW301" s="224"/>
      <c r="AX301" s="224"/>
      <c r="AY301" s="224"/>
      <c r="AZ301" s="224"/>
      <c r="BA301" s="224"/>
      <c r="BB301" s="113"/>
      <c r="BC301" s="2369"/>
      <c r="BD301" s="112"/>
      <c r="BE301" s="112"/>
    </row>
    <row r="302" spans="1:57" x14ac:dyDescent="0.25">
      <c r="A302" s="64"/>
      <c r="B302" s="489" t="s">
        <v>600</v>
      </c>
      <c r="C302" s="489"/>
      <c r="D302" s="490"/>
      <c r="E302" s="491"/>
      <c r="F302" s="491"/>
      <c r="G302" s="491"/>
      <c r="H302" s="491"/>
      <c r="I302" s="492">
        <f>+I299+I300-I301</f>
        <v>0</v>
      </c>
      <c r="J302" s="492">
        <f>+J299+J300-J301</f>
        <v>35.595277428999999</v>
      </c>
      <c r="K302" s="492">
        <f t="shared" ref="K302:P302" si="213">+K299+K300-K301</f>
        <v>0</v>
      </c>
      <c r="L302" s="492">
        <f t="shared" si="213"/>
        <v>0</v>
      </c>
      <c r="M302" s="492">
        <f t="shared" si="213"/>
        <v>0</v>
      </c>
      <c r="N302" s="492">
        <f t="shared" si="213"/>
        <v>0</v>
      </c>
      <c r="O302" s="492">
        <f t="shared" si="213"/>
        <v>65.452849999999998</v>
      </c>
      <c r="P302" s="1816">
        <f t="shared" si="213"/>
        <v>62.725647917000003</v>
      </c>
      <c r="Q302" s="493">
        <f>Debt!S27</f>
        <v>237.32783785126321</v>
      </c>
      <c r="R302" s="493">
        <f>Debt!T27</f>
        <v>327.52710085320365</v>
      </c>
      <c r="S302" s="493">
        <f>Debt!U27</f>
        <v>267.1878255508301</v>
      </c>
      <c r="T302" s="493">
        <f>Debt!V27</f>
        <v>179.41668485297177</v>
      </c>
      <c r="U302" s="493">
        <f>Debt!W27</f>
        <v>120.34191553268084</v>
      </c>
      <c r="V302" s="493">
        <f>Debt!X27</f>
        <v>45.526526141799735</v>
      </c>
      <c r="W302" s="493">
        <f>Debt!Y27</f>
        <v>18.436234488137067</v>
      </c>
      <c r="X302" s="493">
        <f>Debt!Z27</f>
        <v>9.5654571258558008</v>
      </c>
      <c r="Y302" s="493">
        <f>Debt!AA27</f>
        <v>3.1884857086186003</v>
      </c>
      <c r="Z302" s="493">
        <f>Debt!AB27</f>
        <v>0</v>
      </c>
      <c r="AA302" s="493"/>
      <c r="AB302" s="494"/>
      <c r="AC302" s="494"/>
      <c r="AD302" s="494"/>
      <c r="AE302" s="494"/>
      <c r="AF302" s="494"/>
      <c r="AG302" s="494"/>
      <c r="AH302" s="494"/>
      <c r="AI302" s="494"/>
      <c r="AJ302" s="494"/>
      <c r="AK302" s="494"/>
      <c r="AL302" s="494"/>
      <c r="AM302" s="494"/>
      <c r="AN302" s="494"/>
      <c r="AO302" s="494"/>
      <c r="AP302" s="494"/>
      <c r="AQ302" s="494"/>
      <c r="AR302" s="494"/>
      <c r="AS302" s="494"/>
      <c r="AT302" s="494"/>
      <c r="AU302" s="494"/>
      <c r="AV302" s="494"/>
      <c r="AW302" s="494"/>
      <c r="AX302" s="494"/>
      <c r="AY302" s="494"/>
      <c r="AZ302" s="494"/>
      <c r="BA302" s="494"/>
      <c r="BB302" s="230"/>
      <c r="BC302" s="2369"/>
      <c r="BD302" s="112"/>
      <c r="BE302" s="112"/>
    </row>
    <row r="303" spans="1:57" x14ac:dyDescent="0.25">
      <c r="A303" s="64"/>
      <c r="B303" s="488" t="s">
        <v>601</v>
      </c>
      <c r="C303" s="488"/>
      <c r="D303" s="112"/>
      <c r="E303" s="170"/>
      <c r="F303" s="170"/>
      <c r="G303" s="170"/>
      <c r="H303" s="170"/>
      <c r="I303" s="170"/>
      <c r="J303" s="170"/>
      <c r="K303" s="170"/>
      <c r="L303" s="170"/>
      <c r="M303" s="170"/>
      <c r="N303" s="170"/>
      <c r="O303" s="153"/>
      <c r="P303" s="154"/>
      <c r="Q303" s="228">
        <f>Q405</f>
        <v>0</v>
      </c>
      <c r="R303" s="228">
        <f t="shared" ref="R303:Z303" si="214">R405</f>
        <v>0</v>
      </c>
      <c r="S303" s="228">
        <f t="shared" si="214"/>
        <v>0</v>
      </c>
      <c r="T303" s="228">
        <f t="shared" si="214"/>
        <v>0</v>
      </c>
      <c r="U303" s="228">
        <f t="shared" si="214"/>
        <v>0</v>
      </c>
      <c r="V303" s="228">
        <f t="shared" si="214"/>
        <v>0</v>
      </c>
      <c r="W303" s="228">
        <f t="shared" si="214"/>
        <v>0</v>
      </c>
      <c r="X303" s="228">
        <f t="shared" si="214"/>
        <v>0</v>
      </c>
      <c r="Y303" s="228">
        <f t="shared" si="214"/>
        <v>0</v>
      </c>
      <c r="Z303" s="228">
        <f t="shared" si="214"/>
        <v>0</v>
      </c>
      <c r="AA303" s="228"/>
      <c r="AB303" s="224"/>
      <c r="AC303" s="224"/>
      <c r="AD303" s="224"/>
      <c r="AE303" s="224"/>
      <c r="AF303" s="224"/>
      <c r="AG303" s="224"/>
      <c r="AH303" s="224"/>
      <c r="AI303" s="224"/>
      <c r="AJ303" s="224"/>
      <c r="AK303" s="224"/>
      <c r="AL303" s="224"/>
      <c r="AM303" s="224"/>
      <c r="AN303" s="224"/>
      <c r="AO303" s="224"/>
      <c r="AP303" s="224"/>
      <c r="AQ303" s="224"/>
      <c r="AR303" s="224"/>
      <c r="AS303" s="224"/>
      <c r="AT303" s="224"/>
      <c r="AU303" s="224"/>
      <c r="AV303" s="224"/>
      <c r="AW303" s="224"/>
      <c r="AX303" s="224"/>
      <c r="AY303" s="224"/>
      <c r="AZ303" s="224"/>
      <c r="BA303" s="224"/>
      <c r="BB303" s="113"/>
      <c r="BC303" s="2369"/>
      <c r="BD303" s="112"/>
      <c r="BE303" s="112"/>
    </row>
    <row r="304" spans="1:57" x14ac:dyDescent="0.25">
      <c r="A304" s="64"/>
      <c r="B304" s="147" t="s">
        <v>602</v>
      </c>
      <c r="C304" s="147"/>
      <c r="D304" s="112"/>
      <c r="E304" s="157"/>
      <c r="F304" s="157"/>
      <c r="G304" s="157"/>
      <c r="H304" s="157"/>
      <c r="I304" s="158">
        <f>'BS Raw'!I105/$B$1</f>
        <v>35.595277428999999</v>
      </c>
      <c r="J304" s="158">
        <f>'BS Raw'!J105/$B$1</f>
        <v>0</v>
      </c>
      <c r="K304" s="158">
        <f>'BS Raw'!K105/$B$1</f>
        <v>0</v>
      </c>
      <c r="L304" s="158">
        <f>'BS Raw'!L105/$B$1</f>
        <v>0</v>
      </c>
      <c r="M304" s="158">
        <f>'BS Raw'!M105/$B$1</f>
        <v>0</v>
      </c>
      <c r="N304" s="158">
        <f>'BS Raw'!N105/$B$1</f>
        <v>65.452849999999998</v>
      </c>
      <c r="O304" s="158">
        <f>'BS Raw'!O105/$B$1</f>
        <v>62.725647917000003</v>
      </c>
      <c r="P304" s="1783">
        <f>'BS Raw'!P105/$B$1</f>
        <v>76</v>
      </c>
      <c r="Q304" s="120">
        <f>+Q302+Q303</f>
        <v>237.32783785126321</v>
      </c>
      <c r="R304" s="120">
        <f t="shared" ref="R304:Z304" si="215">+R302+R303</f>
        <v>327.52710085320365</v>
      </c>
      <c r="S304" s="120">
        <f t="shared" si="215"/>
        <v>267.1878255508301</v>
      </c>
      <c r="T304" s="120">
        <f t="shared" si="215"/>
        <v>179.41668485297177</v>
      </c>
      <c r="U304" s="120">
        <f t="shared" si="215"/>
        <v>120.34191553268084</v>
      </c>
      <c r="V304" s="120">
        <f t="shared" si="215"/>
        <v>45.526526141799735</v>
      </c>
      <c r="W304" s="120">
        <f t="shared" si="215"/>
        <v>18.436234488137067</v>
      </c>
      <c r="X304" s="120">
        <f t="shared" si="215"/>
        <v>9.5654571258558008</v>
      </c>
      <c r="Y304" s="120">
        <f t="shared" si="215"/>
        <v>3.1884857086186003</v>
      </c>
      <c r="Z304" s="120">
        <f t="shared" si="215"/>
        <v>0</v>
      </c>
      <c r="AA304" s="120"/>
      <c r="AB304" s="121"/>
      <c r="AC304" s="121"/>
      <c r="AD304" s="121"/>
      <c r="AE304" s="121"/>
      <c r="AF304" s="121"/>
      <c r="AG304" s="121"/>
      <c r="AH304" s="121"/>
      <c r="AI304" s="121"/>
      <c r="AJ304" s="121"/>
      <c r="AK304" s="121"/>
      <c r="AL304" s="121"/>
      <c r="AM304" s="121"/>
      <c r="AN304" s="121"/>
      <c r="AO304" s="121"/>
      <c r="AP304" s="121"/>
      <c r="AQ304" s="121"/>
      <c r="AR304" s="121"/>
      <c r="AS304" s="121"/>
      <c r="AT304" s="121"/>
      <c r="AU304" s="121"/>
      <c r="AV304" s="121"/>
      <c r="AW304" s="121"/>
      <c r="AX304" s="121"/>
      <c r="AY304" s="121"/>
      <c r="AZ304" s="121"/>
      <c r="BA304" s="121"/>
      <c r="BB304" s="230"/>
      <c r="BC304" s="2370"/>
      <c r="BD304" s="112"/>
      <c r="BE304" s="112"/>
    </row>
    <row r="305" spans="1:57" s="42" customFormat="1" x14ac:dyDescent="0.25">
      <c r="A305" s="41"/>
      <c r="B305" s="495" t="s">
        <v>603</v>
      </c>
      <c r="C305" s="495"/>
      <c r="D305" s="213"/>
      <c r="E305" s="135"/>
      <c r="F305" s="135"/>
      <c r="G305" s="135"/>
      <c r="H305" s="135"/>
      <c r="I305" s="136">
        <f>IF(ISTEXT('BS Raw'!I11),'BS Raw'!I105/Input!$B$1,I304)</f>
        <v>35.595277428999999</v>
      </c>
      <c r="J305" s="136">
        <f>IF(ISTEXT('BS Raw'!J11),'BS Raw'!J105/Input!$B$1,J304)</f>
        <v>0</v>
      </c>
      <c r="K305" s="136">
        <f>IF(ISTEXT('BS Raw'!K11),'BS Raw'!K105/Input!$B$1,K304)</f>
        <v>0</v>
      </c>
      <c r="L305" s="136">
        <f>IF(ISTEXT('BS Raw'!L11),'BS Raw'!L105/Input!$B$1,L304)</f>
        <v>0</v>
      </c>
      <c r="M305" s="136">
        <f>IF(ISTEXT('BS Raw'!M11),'BS Raw'!M105/Input!$B$1,M304)</f>
        <v>0</v>
      </c>
      <c r="N305" s="136">
        <f>IF(ISTEXT('BS Raw'!N11),'BS Raw'!N105/Input!$B$1,N304)</f>
        <v>65.452849999999998</v>
      </c>
      <c r="O305" s="136">
        <f>IF(ISTEXT('BS Raw'!O11),'BS Raw'!O105/Input!$B$1,O304)</f>
        <v>62.725647917000003</v>
      </c>
      <c r="P305" s="1782">
        <f>IF(ISTEXT('BS Raw'!P11),'BS Raw'!P105/Input!$B$1,P304)</f>
        <v>76</v>
      </c>
      <c r="Q305" s="137">
        <f>IF(ISTEXT('BS Raw'!Q11),'BS Raw'!Q105/Input!$B$1,Q304)</f>
        <v>237.32783785126321</v>
      </c>
      <c r="R305" s="137">
        <f>IF(ISTEXT('BS Raw'!R11),'BS Raw'!R105/Input!$B$1,R304)</f>
        <v>327.52710085320365</v>
      </c>
      <c r="S305" s="137">
        <f>IF(ISTEXT('BS Raw'!S11),'BS Raw'!S105/Input!$B$1,S304)</f>
        <v>267.1878255508301</v>
      </c>
      <c r="T305" s="137">
        <f>IF(ISTEXT('BS Raw'!T11),'BS Raw'!T105/Input!$B$1,T304)</f>
        <v>179.41668485297177</v>
      </c>
      <c r="U305" s="137">
        <f>IF(ISTEXT('BS Raw'!U11),'BS Raw'!U105/Input!$B$1,U304)</f>
        <v>120.34191553268084</v>
      </c>
      <c r="V305" s="137">
        <f>IF(ISTEXT('BS Raw'!V11),'BS Raw'!V105/Input!$B$1,V304)</f>
        <v>45.526526141799735</v>
      </c>
      <c r="W305" s="137">
        <f>IF(ISTEXT('BS Raw'!W11),'BS Raw'!W105/Input!$B$1,W304)</f>
        <v>18.436234488137067</v>
      </c>
      <c r="X305" s="137">
        <f>IF(ISTEXT('BS Raw'!X11),'BS Raw'!X105/Input!$B$1,X304)</f>
        <v>9.5654571258558008</v>
      </c>
      <c r="Y305" s="137">
        <f>IF(ISTEXT('BS Raw'!Y11),'BS Raw'!Y105/Input!$B$1,Y304)</f>
        <v>3.1884857086186003</v>
      </c>
      <c r="Z305" s="137">
        <f>IF(ISTEXT('BS Raw'!Z11),'BS Raw'!Z105/Input!$B$1,Z304)</f>
        <v>0</v>
      </c>
      <c r="AA305" s="137"/>
      <c r="AB305" s="138"/>
      <c r="AC305" s="138"/>
      <c r="AD305" s="138"/>
      <c r="AE305" s="138"/>
      <c r="AF305" s="138"/>
      <c r="AG305" s="138"/>
      <c r="AH305" s="138"/>
      <c r="AI305" s="138"/>
      <c r="AJ305" s="138"/>
      <c r="AK305" s="138"/>
      <c r="AL305" s="138"/>
      <c r="AM305" s="138"/>
      <c r="AN305" s="138"/>
      <c r="AO305" s="138"/>
      <c r="AP305" s="138"/>
      <c r="AQ305" s="138"/>
      <c r="AR305" s="138"/>
      <c r="AS305" s="138"/>
      <c r="AT305" s="138"/>
      <c r="AU305" s="138"/>
      <c r="AV305" s="138"/>
      <c r="AW305" s="138"/>
      <c r="AX305" s="138"/>
      <c r="AY305" s="138"/>
      <c r="AZ305" s="138"/>
      <c r="BA305" s="138"/>
      <c r="BB305" s="216"/>
      <c r="BC305" s="140"/>
      <c r="BD305" s="181"/>
      <c r="BE305" s="181"/>
    </row>
    <row r="306" spans="1:57" s="180" customFormat="1" x14ac:dyDescent="0.25">
      <c r="A306" s="189"/>
      <c r="B306" s="496" t="s">
        <v>506</v>
      </c>
      <c r="C306" s="496"/>
      <c r="E306" s="198"/>
      <c r="F306" s="198"/>
      <c r="G306" s="198"/>
      <c r="H306" s="198"/>
      <c r="I306" s="198"/>
      <c r="J306" s="198"/>
      <c r="K306" s="198"/>
      <c r="L306" s="198"/>
      <c r="M306" s="198"/>
      <c r="N306" s="148"/>
      <c r="O306" s="148"/>
      <c r="P306" s="497"/>
      <c r="Q306" s="149">
        <f>Debt!R58</f>
        <v>7.0000000000000007E-2</v>
      </c>
      <c r="R306" s="149">
        <f>Debt!S58</f>
        <v>7.0000000000000007E-2</v>
      </c>
      <c r="S306" s="149">
        <f>Debt!T58</f>
        <v>7.0000000000000007E-2</v>
      </c>
      <c r="T306" s="149">
        <f>Debt!U58</f>
        <v>7.0000000000000007E-2</v>
      </c>
      <c r="U306" s="149">
        <f>Debt!V58</f>
        <v>7.0000000000000007E-2</v>
      </c>
      <c r="V306" s="149">
        <f>Debt!W58</f>
        <v>7.0000000000000007E-2</v>
      </c>
      <c r="W306" s="149">
        <f>Debt!X58</f>
        <v>7.0000000000000007E-2</v>
      </c>
      <c r="X306" s="149">
        <f>Debt!Y58</f>
        <v>7.0000000000000007E-2</v>
      </c>
      <c r="Y306" s="149">
        <f>Debt!Z58</f>
        <v>7.0000000000000007E-2</v>
      </c>
      <c r="Z306" s="149">
        <f>Debt!AA58</f>
        <v>7.0000000000000007E-2</v>
      </c>
      <c r="AA306" s="149"/>
      <c r="AB306" s="150"/>
      <c r="AC306" s="150"/>
      <c r="AD306" s="150"/>
      <c r="AE306" s="150"/>
      <c r="AF306" s="150"/>
      <c r="AG306" s="150"/>
      <c r="AH306" s="150"/>
      <c r="AI306" s="150"/>
      <c r="AJ306" s="150"/>
      <c r="AK306" s="150"/>
      <c r="AL306" s="150"/>
      <c r="AM306" s="150"/>
      <c r="AN306" s="150"/>
      <c r="AO306" s="150"/>
      <c r="AP306" s="150"/>
      <c r="AQ306" s="150"/>
      <c r="AR306" s="150"/>
      <c r="AS306" s="150"/>
      <c r="AT306" s="150"/>
      <c r="AU306" s="150"/>
      <c r="AV306" s="150"/>
      <c r="AW306" s="150"/>
      <c r="AX306" s="150"/>
      <c r="AY306" s="150"/>
      <c r="AZ306" s="150"/>
      <c r="BA306" s="150"/>
      <c r="BB306" s="148"/>
      <c r="BC306" s="146"/>
    </row>
    <row r="307" spans="1:57" x14ac:dyDescent="0.25">
      <c r="A307" s="64"/>
      <c r="B307" s="488" t="s">
        <v>604</v>
      </c>
      <c r="C307" s="488"/>
      <c r="D307" s="112"/>
      <c r="E307" s="170"/>
      <c r="F307" s="170"/>
      <c r="G307" s="170"/>
      <c r="H307" s="170"/>
      <c r="I307" s="219">
        <f>I72</f>
        <v>0</v>
      </c>
      <c r="J307" s="219">
        <f>J72</f>
        <v>0</v>
      </c>
      <c r="K307" s="219">
        <f t="shared" ref="K307:P307" si="216">K72</f>
        <v>0</v>
      </c>
      <c r="L307" s="219">
        <f t="shared" si="216"/>
        <v>0</v>
      </c>
      <c r="M307" s="219">
        <f t="shared" si="216"/>
        <v>0</v>
      </c>
      <c r="N307" s="219">
        <f t="shared" si="216"/>
        <v>0</v>
      </c>
      <c r="O307" s="219">
        <f t="shared" si="216"/>
        <v>0</v>
      </c>
      <c r="P307" s="1791">
        <f t="shared" si="216"/>
        <v>0</v>
      </c>
      <c r="Q307" s="228">
        <f>Debt!S28</f>
        <v>10.966474324794213</v>
      </c>
      <c r="R307" s="228">
        <f>Debt!T28</f>
        <v>19.76992285465634</v>
      </c>
      <c r="S307" s="228">
        <f>Debt!U28</f>
        <v>20.81502242414118</v>
      </c>
      <c r="T307" s="228">
        <f>Debt!V28</f>
        <v>15.631157864133066</v>
      </c>
      <c r="U307" s="228">
        <f>Debt!W28</f>
        <v>10.491551013497844</v>
      </c>
      <c r="V307" s="228">
        <f>Debt!X28</f>
        <v>5.8053954586068208</v>
      </c>
      <c r="W307" s="228">
        <f>Debt!Y28</f>
        <v>2.2386966220477884</v>
      </c>
      <c r="X307" s="228">
        <f>Debt!Z28</f>
        <v>0.98005920648975053</v>
      </c>
      <c r="Y307" s="228">
        <f>Debt!AA28</f>
        <v>0.4463879992066041</v>
      </c>
      <c r="Z307" s="228">
        <f>Debt!AB28</f>
        <v>0.11159699980165103</v>
      </c>
      <c r="AA307" s="228"/>
      <c r="AB307" s="498"/>
      <c r="AC307" s="498"/>
      <c r="AD307" s="498"/>
      <c r="AE307" s="498"/>
      <c r="AF307" s="498"/>
      <c r="AG307" s="498"/>
      <c r="AH307" s="498"/>
      <c r="AI307" s="498"/>
      <c r="AJ307" s="498"/>
      <c r="AK307" s="498"/>
      <c r="AL307" s="498"/>
      <c r="AM307" s="498"/>
      <c r="AN307" s="498"/>
      <c r="AO307" s="498"/>
      <c r="AP307" s="498"/>
      <c r="AQ307" s="498"/>
      <c r="AR307" s="498"/>
      <c r="AS307" s="498"/>
      <c r="AT307" s="498"/>
      <c r="AU307" s="498"/>
      <c r="AV307" s="498"/>
      <c r="AW307" s="498"/>
      <c r="AX307" s="498"/>
      <c r="AY307" s="498"/>
      <c r="AZ307" s="498"/>
      <c r="BA307" s="498"/>
      <c r="BB307" s="113"/>
      <c r="BD307" s="112"/>
      <c r="BE307" s="112"/>
    </row>
    <row r="308" spans="1:57" s="477" customFormat="1" x14ac:dyDescent="0.25">
      <c r="A308" s="476"/>
      <c r="B308" s="499"/>
      <c r="C308" s="499"/>
      <c r="D308" s="478"/>
      <c r="E308" s="479"/>
      <c r="F308" s="479"/>
      <c r="G308" s="479"/>
      <c r="H308" s="479"/>
      <c r="I308" s="479"/>
      <c r="J308" s="479"/>
      <c r="K308" s="479"/>
      <c r="L308" s="479"/>
      <c r="M308" s="479"/>
      <c r="N308" s="479"/>
      <c r="O308" s="479"/>
      <c r="P308" s="480"/>
      <c r="Q308" s="479"/>
      <c r="R308" s="479"/>
      <c r="S308" s="479"/>
      <c r="T308" s="479"/>
      <c r="U308" s="479"/>
      <c r="V308" s="479"/>
      <c r="W308" s="479"/>
      <c r="X308" s="479"/>
      <c r="Y308" s="479"/>
      <c r="Z308" s="479"/>
      <c r="AA308" s="479"/>
      <c r="AB308" s="479"/>
      <c r="AC308" s="479"/>
      <c r="AD308" s="479"/>
      <c r="AE308" s="479"/>
      <c r="AF308" s="479"/>
      <c r="AG308" s="479"/>
      <c r="AH308" s="479"/>
      <c r="AI308" s="479"/>
      <c r="AJ308" s="479"/>
      <c r="AK308" s="479"/>
      <c r="AL308" s="479"/>
      <c r="AM308" s="479"/>
      <c r="AN308" s="479"/>
      <c r="AO308" s="479"/>
      <c r="AP308" s="479"/>
      <c r="AQ308" s="479"/>
      <c r="AR308" s="479"/>
      <c r="AS308" s="479"/>
      <c r="AT308" s="479"/>
      <c r="AU308" s="479"/>
      <c r="AV308" s="479"/>
      <c r="AW308" s="479"/>
      <c r="AX308" s="479"/>
      <c r="AY308" s="479"/>
      <c r="AZ308" s="479"/>
      <c r="BA308" s="479"/>
      <c r="BB308" s="481"/>
      <c r="BC308" s="482"/>
      <c r="BD308" s="478"/>
      <c r="BE308" s="478"/>
    </row>
    <row r="309" spans="1:57" ht="24" customHeight="1" x14ac:dyDescent="0.25">
      <c r="A309" s="64"/>
      <c r="B309" s="483" t="s">
        <v>605</v>
      </c>
      <c r="C309" s="147"/>
      <c r="D309" s="112"/>
      <c r="E309" s="157"/>
      <c r="F309" s="157"/>
      <c r="G309" s="157"/>
      <c r="H309" s="157"/>
      <c r="I309" s="157"/>
      <c r="J309" s="157"/>
      <c r="K309" s="157"/>
      <c r="L309" s="157"/>
      <c r="M309" s="157"/>
      <c r="N309" s="170"/>
      <c r="O309" s="170"/>
      <c r="P309" s="171"/>
      <c r="Q309" s="224"/>
      <c r="R309" s="224"/>
      <c r="S309" s="224"/>
      <c r="T309" s="224"/>
      <c r="U309" s="224"/>
      <c r="V309" s="224"/>
      <c r="W309" s="224"/>
      <c r="X309" s="224"/>
      <c r="Y309" s="224"/>
      <c r="Z309" s="224"/>
      <c r="AA309" s="224"/>
      <c r="AB309" s="224"/>
      <c r="AC309" s="224"/>
      <c r="AD309" s="224"/>
      <c r="AE309" s="224"/>
      <c r="AF309" s="224"/>
      <c r="AG309" s="224"/>
      <c r="AH309" s="224"/>
      <c r="AI309" s="224"/>
      <c r="AJ309" s="224"/>
      <c r="AK309" s="224"/>
      <c r="AL309" s="224"/>
      <c r="AM309" s="224"/>
      <c r="AN309" s="224"/>
      <c r="AO309" s="224"/>
      <c r="AP309" s="224"/>
      <c r="AQ309" s="224"/>
      <c r="AR309" s="224"/>
      <c r="AS309" s="224"/>
      <c r="AT309" s="224"/>
      <c r="AU309" s="224"/>
      <c r="AV309" s="224"/>
      <c r="AW309" s="224"/>
      <c r="AX309" s="224"/>
      <c r="AY309" s="224"/>
      <c r="AZ309" s="224"/>
      <c r="BA309" s="224"/>
      <c r="BB309" s="113"/>
      <c r="BC309" s="2369"/>
      <c r="BD309" s="112"/>
      <c r="BE309" s="112"/>
    </row>
    <row r="310" spans="1:57" x14ac:dyDescent="0.25">
      <c r="A310" s="64"/>
      <c r="B310" s="488" t="s">
        <v>598</v>
      </c>
      <c r="C310" s="488"/>
      <c r="D310" s="112"/>
      <c r="E310" s="157"/>
      <c r="F310" s="157"/>
      <c r="G310" s="157"/>
      <c r="H310" s="157"/>
      <c r="I310" s="157"/>
      <c r="J310" s="157"/>
      <c r="K310" s="157"/>
      <c r="L310" s="157"/>
      <c r="M310" s="157"/>
      <c r="N310" s="170"/>
      <c r="O310" s="170"/>
      <c r="P310" s="171"/>
      <c r="Q310" s="224"/>
      <c r="R310" s="224"/>
      <c r="S310" s="224"/>
      <c r="T310" s="224"/>
      <c r="U310" s="224"/>
      <c r="V310" s="224"/>
      <c r="W310" s="224"/>
      <c r="X310" s="224"/>
      <c r="Y310" s="224"/>
      <c r="Z310" s="224"/>
      <c r="AA310" s="224"/>
      <c r="AB310" s="224"/>
      <c r="AC310" s="224"/>
      <c r="AD310" s="224"/>
      <c r="AE310" s="224"/>
      <c r="AF310" s="224"/>
      <c r="AG310" s="224"/>
      <c r="AH310" s="224"/>
      <c r="AI310" s="224"/>
      <c r="AJ310" s="224"/>
      <c r="AK310" s="224"/>
      <c r="AL310" s="224"/>
      <c r="AM310" s="224"/>
      <c r="AN310" s="224"/>
      <c r="AO310" s="224"/>
      <c r="AP310" s="224"/>
      <c r="AQ310" s="224"/>
      <c r="AR310" s="224"/>
      <c r="AS310" s="224"/>
      <c r="AT310" s="224"/>
      <c r="AU310" s="224"/>
      <c r="AV310" s="224"/>
      <c r="AW310" s="224"/>
      <c r="AX310" s="224"/>
      <c r="AY310" s="224"/>
      <c r="AZ310" s="224"/>
      <c r="BA310" s="224"/>
      <c r="BB310" s="113"/>
      <c r="BC310" s="2369"/>
      <c r="BD310" s="112"/>
      <c r="BE310" s="112"/>
    </row>
    <row r="311" spans="1:57" x14ac:dyDescent="0.25">
      <c r="A311" s="64"/>
      <c r="B311" s="488" t="s">
        <v>599</v>
      </c>
      <c r="C311" s="488"/>
      <c r="D311" s="112"/>
      <c r="E311" s="170"/>
      <c r="F311" s="170"/>
      <c r="G311" s="170"/>
      <c r="H311" s="170"/>
      <c r="I311" s="170"/>
      <c r="J311" s="170"/>
      <c r="K311" s="170"/>
      <c r="L311" s="170"/>
      <c r="M311" s="170"/>
      <c r="N311" s="170"/>
      <c r="O311" s="170"/>
      <c r="P311" s="171"/>
      <c r="Q311" s="224"/>
      <c r="R311" s="224"/>
      <c r="S311" s="224"/>
      <c r="T311" s="224"/>
      <c r="U311" s="224"/>
      <c r="V311" s="224"/>
      <c r="W311" s="224"/>
      <c r="X311" s="224"/>
      <c r="Y311" s="224"/>
      <c r="Z311" s="224"/>
      <c r="AA311" s="224"/>
      <c r="AB311" s="224"/>
      <c r="AC311" s="224"/>
      <c r="AD311" s="224"/>
      <c r="AE311" s="224"/>
      <c r="AF311" s="224"/>
      <c r="AG311" s="224"/>
      <c r="AH311" s="224"/>
      <c r="AI311" s="224"/>
      <c r="AJ311" s="224"/>
      <c r="AK311" s="224"/>
      <c r="AL311" s="224"/>
      <c r="AM311" s="224"/>
      <c r="AN311" s="224"/>
      <c r="AO311" s="224"/>
      <c r="AP311" s="224"/>
      <c r="AQ311" s="224"/>
      <c r="AR311" s="224"/>
      <c r="AS311" s="224"/>
      <c r="AT311" s="224"/>
      <c r="AU311" s="224"/>
      <c r="AV311" s="224"/>
      <c r="AW311" s="224"/>
      <c r="AX311" s="224"/>
      <c r="AY311" s="224"/>
      <c r="AZ311" s="224"/>
      <c r="BA311" s="224"/>
      <c r="BB311" s="113"/>
      <c r="BC311" s="2369"/>
      <c r="BD311" s="112"/>
      <c r="BE311" s="112"/>
    </row>
    <row r="312" spans="1:57" x14ac:dyDescent="0.25">
      <c r="A312" s="64"/>
      <c r="B312" s="489" t="s">
        <v>606</v>
      </c>
      <c r="C312" s="489"/>
      <c r="D312" s="490"/>
      <c r="E312" s="491"/>
      <c r="F312" s="491"/>
      <c r="G312" s="491"/>
      <c r="H312" s="491"/>
      <c r="I312" s="491"/>
      <c r="J312" s="491"/>
      <c r="K312" s="491"/>
      <c r="L312" s="491"/>
      <c r="M312" s="491"/>
      <c r="N312" s="500"/>
      <c r="O312" s="500"/>
      <c r="P312" s="501"/>
      <c r="Q312" s="502"/>
      <c r="R312" s="502"/>
      <c r="S312" s="502"/>
      <c r="T312" s="502"/>
      <c r="U312" s="502"/>
      <c r="V312" s="502"/>
      <c r="W312" s="502"/>
      <c r="X312" s="502"/>
      <c r="Y312" s="502"/>
      <c r="Z312" s="502"/>
      <c r="AA312" s="502"/>
      <c r="AB312" s="502"/>
      <c r="AC312" s="502"/>
      <c r="AD312" s="502"/>
      <c r="AE312" s="502"/>
      <c r="AF312" s="502"/>
      <c r="AG312" s="502"/>
      <c r="AH312" s="502"/>
      <c r="AI312" s="502"/>
      <c r="AJ312" s="502"/>
      <c r="AK312" s="502"/>
      <c r="AL312" s="502"/>
      <c r="AM312" s="502"/>
      <c r="AN312" s="502"/>
      <c r="AO312" s="502"/>
      <c r="AP312" s="502"/>
      <c r="AQ312" s="502"/>
      <c r="AR312" s="502"/>
      <c r="AS312" s="502"/>
      <c r="AT312" s="502"/>
      <c r="AU312" s="502"/>
      <c r="AV312" s="502"/>
      <c r="AW312" s="502"/>
      <c r="AX312" s="502"/>
      <c r="AY312" s="502"/>
      <c r="AZ312" s="502"/>
      <c r="BA312" s="502"/>
      <c r="BB312" s="230"/>
      <c r="BC312" s="2369"/>
      <c r="BD312" s="112"/>
      <c r="BE312" s="112"/>
    </row>
    <row r="313" spans="1:57" x14ac:dyDescent="0.25">
      <c r="A313" s="64"/>
      <c r="B313" s="488" t="s">
        <v>601</v>
      </c>
      <c r="C313" s="488"/>
      <c r="D313" s="112"/>
      <c r="E313" s="170"/>
      <c r="F313" s="170"/>
      <c r="G313" s="170"/>
      <c r="H313" s="170"/>
      <c r="I313" s="170"/>
      <c r="J313" s="170"/>
      <c r="K313" s="170"/>
      <c r="L313" s="170"/>
      <c r="M313" s="170"/>
      <c r="N313" s="170"/>
      <c r="O313" s="170"/>
      <c r="P313" s="171"/>
      <c r="Q313" s="224"/>
      <c r="R313" s="224"/>
      <c r="S313" s="224"/>
      <c r="T313" s="224"/>
      <c r="U313" s="224"/>
      <c r="V313" s="224"/>
      <c r="W313" s="224"/>
      <c r="X313" s="224"/>
      <c r="Y313" s="224"/>
      <c r="Z313" s="224"/>
      <c r="AA313" s="224"/>
      <c r="AB313" s="224"/>
      <c r="AC313" s="224"/>
      <c r="AD313" s="224"/>
      <c r="AE313" s="224"/>
      <c r="AF313" s="224"/>
      <c r="AG313" s="224"/>
      <c r="AH313" s="224"/>
      <c r="AI313" s="224"/>
      <c r="AJ313" s="224"/>
      <c r="AK313" s="224"/>
      <c r="AL313" s="224"/>
      <c r="AM313" s="224"/>
      <c r="AN313" s="224"/>
      <c r="AO313" s="224"/>
      <c r="AP313" s="224"/>
      <c r="AQ313" s="224"/>
      <c r="AR313" s="224"/>
      <c r="AS313" s="224"/>
      <c r="AT313" s="224"/>
      <c r="AU313" s="224"/>
      <c r="AV313" s="224"/>
      <c r="AW313" s="224"/>
      <c r="AX313" s="224"/>
      <c r="AY313" s="224"/>
      <c r="AZ313" s="224"/>
      <c r="BA313" s="224"/>
      <c r="BB313" s="113"/>
      <c r="BC313" s="2369"/>
      <c r="BD313" s="112"/>
      <c r="BE313" s="112"/>
    </row>
    <row r="314" spans="1:57" x14ac:dyDescent="0.25">
      <c r="A314" s="64"/>
      <c r="B314" s="147" t="s">
        <v>607</v>
      </c>
      <c r="C314" s="147"/>
      <c r="D314" s="112"/>
      <c r="E314" s="157"/>
      <c r="F314" s="157"/>
      <c r="G314" s="157"/>
      <c r="H314" s="157"/>
      <c r="I314" s="157"/>
      <c r="J314" s="157"/>
      <c r="K314" s="157"/>
      <c r="L314" s="157"/>
      <c r="M314" s="503"/>
      <c r="N314" s="157"/>
      <c r="O314" s="157"/>
      <c r="P314" s="300"/>
      <c r="Q314" s="121"/>
      <c r="R314" s="121"/>
      <c r="S314" s="121"/>
      <c r="T314" s="121"/>
      <c r="U314" s="121"/>
      <c r="V314" s="121"/>
      <c r="W314" s="121"/>
      <c r="X314" s="121"/>
      <c r="Y314" s="121"/>
      <c r="Z314" s="121"/>
      <c r="AA314" s="121"/>
      <c r="AB314" s="121"/>
      <c r="AC314" s="121"/>
      <c r="AD314" s="121"/>
      <c r="AE314" s="121"/>
      <c r="AF314" s="121"/>
      <c r="AG314" s="121"/>
      <c r="AH314" s="121"/>
      <c r="AI314" s="121"/>
      <c r="AJ314" s="121"/>
      <c r="AK314" s="121"/>
      <c r="AL314" s="121"/>
      <c r="AM314" s="121"/>
      <c r="AN314" s="121"/>
      <c r="AO314" s="121"/>
      <c r="AP314" s="121"/>
      <c r="AQ314" s="121"/>
      <c r="AR314" s="121"/>
      <c r="AS314" s="121"/>
      <c r="AT314" s="121"/>
      <c r="AU314" s="121"/>
      <c r="AV314" s="121"/>
      <c r="AW314" s="121"/>
      <c r="AX314" s="121"/>
      <c r="AY314" s="121"/>
      <c r="AZ314" s="121"/>
      <c r="BA314" s="121"/>
      <c r="BB314" s="230"/>
      <c r="BC314" s="2370"/>
      <c r="BD314" s="112"/>
      <c r="BE314" s="112"/>
    </row>
    <row r="315" spans="1:57" s="42" customFormat="1" x14ac:dyDescent="0.25">
      <c r="A315" s="41"/>
      <c r="B315" s="495" t="s">
        <v>608</v>
      </c>
      <c r="C315" s="495"/>
      <c r="D315" s="213"/>
      <c r="E315" s="135"/>
      <c r="F315" s="135"/>
      <c r="G315" s="135"/>
      <c r="H315" s="135"/>
      <c r="I315" s="135"/>
      <c r="J315" s="135"/>
      <c r="K315" s="135"/>
      <c r="L315" s="135"/>
      <c r="M315" s="135"/>
      <c r="N315" s="135"/>
      <c r="O315" s="135"/>
      <c r="P315" s="340"/>
      <c r="Q315" s="138"/>
      <c r="R315" s="138"/>
      <c r="S315" s="138"/>
      <c r="T315" s="138"/>
      <c r="U315" s="138"/>
      <c r="V315" s="138"/>
      <c r="W315" s="138"/>
      <c r="X315" s="138"/>
      <c r="Y315" s="138"/>
      <c r="Z315" s="138"/>
      <c r="AA315" s="138"/>
      <c r="AB315" s="138"/>
      <c r="AC315" s="138"/>
      <c r="AD315" s="138"/>
      <c r="AE315" s="138"/>
      <c r="AF315" s="138"/>
      <c r="AG315" s="138"/>
      <c r="AH315" s="138"/>
      <c r="AI315" s="138"/>
      <c r="AJ315" s="138"/>
      <c r="AK315" s="138"/>
      <c r="AL315" s="138"/>
      <c r="AM315" s="138"/>
      <c r="AN315" s="138"/>
      <c r="AO315" s="138"/>
      <c r="AP315" s="138"/>
      <c r="AQ315" s="138"/>
      <c r="AR315" s="138"/>
      <c r="AS315" s="138"/>
      <c r="AT315" s="138"/>
      <c r="AU315" s="138"/>
      <c r="AV315" s="138"/>
      <c r="AW315" s="138"/>
      <c r="AX315" s="138"/>
      <c r="AY315" s="138"/>
      <c r="AZ315" s="138"/>
      <c r="BA315" s="138"/>
      <c r="BB315" s="216"/>
      <c r="BC315" s="140"/>
      <c r="BD315" s="181"/>
      <c r="BE315" s="181"/>
    </row>
    <row r="316" spans="1:57" s="180" customFormat="1" x14ac:dyDescent="0.25">
      <c r="A316" s="189"/>
      <c r="B316" s="496" t="s">
        <v>506</v>
      </c>
      <c r="C316" s="496"/>
      <c r="E316" s="198"/>
      <c r="F316" s="198"/>
      <c r="G316" s="198"/>
      <c r="H316" s="198"/>
      <c r="I316" s="198"/>
      <c r="J316" s="198"/>
      <c r="K316" s="198"/>
      <c r="L316" s="198"/>
      <c r="M316" s="198"/>
      <c r="N316" s="148"/>
      <c r="O316" s="148"/>
      <c r="P316" s="497"/>
      <c r="Q316" s="150"/>
      <c r="R316" s="150"/>
      <c r="S316" s="150"/>
      <c r="T316" s="150"/>
      <c r="U316" s="150"/>
      <c r="V316" s="150"/>
      <c r="W316" s="150"/>
      <c r="X316" s="150"/>
      <c r="Y316" s="150"/>
      <c r="Z316" s="150"/>
      <c r="AA316" s="150"/>
      <c r="AB316" s="150"/>
      <c r="AC316" s="150"/>
      <c r="AD316" s="150"/>
      <c r="AE316" s="150"/>
      <c r="AF316" s="150"/>
      <c r="AG316" s="150"/>
      <c r="AH316" s="150"/>
      <c r="AI316" s="150"/>
      <c r="AJ316" s="150"/>
      <c r="AK316" s="150"/>
      <c r="AL316" s="150"/>
      <c r="AM316" s="150"/>
      <c r="AN316" s="150"/>
      <c r="AO316" s="150"/>
      <c r="AP316" s="150"/>
      <c r="AQ316" s="150"/>
      <c r="AR316" s="150"/>
      <c r="AS316" s="150"/>
      <c r="AT316" s="150"/>
      <c r="AU316" s="150"/>
      <c r="AV316" s="150"/>
      <c r="AW316" s="150"/>
      <c r="AX316" s="150"/>
      <c r="AY316" s="150"/>
      <c r="AZ316" s="150"/>
      <c r="BA316" s="150"/>
      <c r="BB316" s="198"/>
      <c r="BC316" s="146"/>
    </row>
    <row r="317" spans="1:57" x14ac:dyDescent="0.25">
      <c r="A317" s="64"/>
      <c r="B317" s="488" t="s">
        <v>604</v>
      </c>
      <c r="C317" s="488"/>
      <c r="D317" s="112"/>
      <c r="E317" s="170"/>
      <c r="F317" s="170"/>
      <c r="G317" s="170"/>
      <c r="H317" s="170"/>
      <c r="I317" s="170"/>
      <c r="J317" s="170"/>
      <c r="K317" s="170"/>
      <c r="L317" s="170"/>
      <c r="M317" s="170"/>
      <c r="N317" s="145"/>
      <c r="O317" s="145"/>
      <c r="P317" s="504"/>
      <c r="Q317" s="505"/>
      <c r="R317" s="505"/>
      <c r="S317" s="505"/>
      <c r="T317" s="505"/>
      <c r="U317" s="505"/>
      <c r="V317" s="505"/>
      <c r="W317" s="505"/>
      <c r="X317" s="505"/>
      <c r="Y317" s="505"/>
      <c r="Z317" s="505"/>
      <c r="AA317" s="505"/>
      <c r="AB317" s="505"/>
      <c r="AC317" s="505"/>
      <c r="AD317" s="505"/>
      <c r="AE317" s="505"/>
      <c r="AF317" s="505"/>
      <c r="AG317" s="505"/>
      <c r="AH317" s="505"/>
      <c r="AI317" s="505"/>
      <c r="AJ317" s="505"/>
      <c r="AK317" s="505"/>
      <c r="AL317" s="505"/>
      <c r="AM317" s="505"/>
      <c r="AN317" s="505"/>
      <c r="AO317" s="505"/>
      <c r="AP317" s="505"/>
      <c r="AQ317" s="505"/>
      <c r="AR317" s="505"/>
      <c r="AS317" s="505"/>
      <c r="AT317" s="505"/>
      <c r="AU317" s="505"/>
      <c r="AV317" s="505"/>
      <c r="AW317" s="505"/>
      <c r="AX317" s="505"/>
      <c r="AY317" s="505"/>
      <c r="AZ317" s="505"/>
      <c r="BA317" s="505"/>
      <c r="BB317" s="113"/>
      <c r="BD317" s="112"/>
      <c r="BE317" s="112"/>
    </row>
    <row r="318" spans="1:57" s="477" customFormat="1" x14ac:dyDescent="0.25">
      <c r="A318" s="476"/>
      <c r="B318" s="499"/>
      <c r="C318" s="499"/>
      <c r="D318" s="478"/>
      <c r="E318" s="479"/>
      <c r="F318" s="479"/>
      <c r="G318" s="479"/>
      <c r="H318" s="479"/>
      <c r="I318" s="479"/>
      <c r="J318" s="479"/>
      <c r="K318" s="479"/>
      <c r="L318" s="479"/>
      <c r="M318" s="479"/>
      <c r="N318" s="479"/>
      <c r="O318" s="479"/>
      <c r="P318" s="480"/>
      <c r="Q318" s="479"/>
      <c r="R318" s="479"/>
      <c r="S318" s="479"/>
      <c r="T318" s="479"/>
      <c r="U318" s="479"/>
      <c r="V318" s="479"/>
      <c r="W318" s="479"/>
      <c r="X318" s="479"/>
      <c r="Y318" s="479"/>
      <c r="Z318" s="479"/>
      <c r="AA318" s="479"/>
      <c r="AB318" s="479"/>
      <c r="AC318" s="479"/>
      <c r="AD318" s="479"/>
      <c r="AE318" s="479"/>
      <c r="AF318" s="479"/>
      <c r="AG318" s="479"/>
      <c r="AH318" s="479"/>
      <c r="AI318" s="479"/>
      <c r="AJ318" s="479"/>
      <c r="AK318" s="479"/>
      <c r="AL318" s="479"/>
      <c r="AM318" s="479"/>
      <c r="AN318" s="479"/>
      <c r="AO318" s="479"/>
      <c r="AP318" s="479"/>
      <c r="AQ318" s="479"/>
      <c r="AR318" s="479"/>
      <c r="AS318" s="479"/>
      <c r="AT318" s="479"/>
      <c r="AU318" s="479"/>
      <c r="AV318" s="479"/>
      <c r="AW318" s="479"/>
      <c r="AX318" s="479"/>
      <c r="AY318" s="479"/>
      <c r="AZ318" s="479"/>
      <c r="BA318" s="479"/>
      <c r="BB318" s="481"/>
      <c r="BC318" s="482"/>
      <c r="BD318" s="478"/>
      <c r="BE318" s="478"/>
    </row>
    <row r="319" spans="1:57" ht="25.5" customHeight="1" x14ac:dyDescent="0.25">
      <c r="A319" s="64"/>
      <c r="B319" s="483" t="s">
        <v>609</v>
      </c>
      <c r="C319" s="147"/>
      <c r="D319" s="112"/>
      <c r="E319" s="157"/>
      <c r="F319" s="157"/>
      <c r="G319" s="157"/>
      <c r="H319" s="157"/>
      <c r="I319" s="157"/>
      <c r="J319" s="157"/>
      <c r="K319" s="157"/>
      <c r="L319" s="157"/>
      <c r="M319" s="157"/>
      <c r="N319" s="170"/>
      <c r="O319" s="170"/>
      <c r="P319" s="171"/>
      <c r="Q319" s="224"/>
      <c r="R319" s="224"/>
      <c r="S319" s="224"/>
      <c r="T319" s="224"/>
      <c r="U319" s="224"/>
      <c r="V319" s="224"/>
      <c r="W319" s="224"/>
      <c r="X319" s="224"/>
      <c r="Y319" s="224"/>
      <c r="Z319" s="224"/>
      <c r="AA319" s="224"/>
      <c r="AB319" s="224"/>
      <c r="AC319" s="224"/>
      <c r="AD319" s="224"/>
      <c r="AE319" s="224"/>
      <c r="AF319" s="224"/>
      <c r="AG319" s="224"/>
      <c r="AH319" s="224"/>
      <c r="AI319" s="224"/>
      <c r="AJ319" s="224"/>
      <c r="AK319" s="224"/>
      <c r="AL319" s="224"/>
      <c r="AM319" s="224"/>
      <c r="AN319" s="224"/>
      <c r="AO319" s="224"/>
      <c r="AP319" s="224"/>
      <c r="AQ319" s="224"/>
      <c r="AR319" s="224"/>
      <c r="AS319" s="224"/>
      <c r="AT319" s="224"/>
      <c r="AU319" s="224"/>
      <c r="AV319" s="224"/>
      <c r="AW319" s="224"/>
      <c r="AX319" s="224"/>
      <c r="AY319" s="224"/>
      <c r="AZ319" s="224"/>
      <c r="BA319" s="224"/>
      <c r="BB319" s="113"/>
      <c r="BC319" s="2369"/>
      <c r="BD319" s="112"/>
      <c r="BE319" s="112"/>
    </row>
    <row r="320" spans="1:57" x14ac:dyDescent="0.25">
      <c r="A320" s="64"/>
      <c r="B320" s="488" t="s">
        <v>598</v>
      </c>
      <c r="C320" s="488"/>
      <c r="D320" s="112"/>
      <c r="E320" s="157"/>
      <c r="F320" s="157"/>
      <c r="G320" s="157"/>
      <c r="H320" s="157"/>
      <c r="I320" s="157"/>
      <c r="J320" s="157"/>
      <c r="K320" s="157"/>
      <c r="L320" s="157"/>
      <c r="M320" s="157"/>
      <c r="N320" s="170"/>
      <c r="O320" s="170"/>
      <c r="P320" s="171"/>
      <c r="Q320" s="224"/>
      <c r="R320" s="224"/>
      <c r="S320" s="224"/>
      <c r="T320" s="224"/>
      <c r="U320" s="224"/>
      <c r="V320" s="224"/>
      <c r="W320" s="224"/>
      <c r="X320" s="224"/>
      <c r="Y320" s="224"/>
      <c r="Z320" s="224"/>
      <c r="AA320" s="224"/>
      <c r="AB320" s="224"/>
      <c r="AC320" s="224"/>
      <c r="AD320" s="224"/>
      <c r="AE320" s="224"/>
      <c r="AF320" s="224"/>
      <c r="AG320" s="224"/>
      <c r="AH320" s="224"/>
      <c r="AI320" s="224"/>
      <c r="AJ320" s="224"/>
      <c r="AK320" s="224"/>
      <c r="AL320" s="224"/>
      <c r="AM320" s="224"/>
      <c r="AN320" s="224"/>
      <c r="AO320" s="224"/>
      <c r="AP320" s="224"/>
      <c r="AQ320" s="224"/>
      <c r="AR320" s="224"/>
      <c r="AS320" s="224"/>
      <c r="AT320" s="224"/>
      <c r="AU320" s="224"/>
      <c r="AV320" s="224"/>
      <c r="AW320" s="224"/>
      <c r="AX320" s="224"/>
      <c r="AY320" s="224"/>
      <c r="AZ320" s="224"/>
      <c r="BA320" s="224"/>
      <c r="BB320" s="113"/>
      <c r="BC320" s="2369"/>
      <c r="BD320" s="112"/>
      <c r="BE320" s="112"/>
    </row>
    <row r="321" spans="1:57" x14ac:dyDescent="0.25">
      <c r="A321" s="64"/>
      <c r="B321" s="488" t="s">
        <v>599</v>
      </c>
      <c r="C321" s="488"/>
      <c r="D321" s="112"/>
      <c r="E321" s="170"/>
      <c r="F321" s="170"/>
      <c r="G321" s="170"/>
      <c r="H321" s="170"/>
      <c r="I321" s="170"/>
      <c r="J321" s="170"/>
      <c r="K321" s="170"/>
      <c r="L321" s="170"/>
      <c r="M321" s="170"/>
      <c r="N321" s="170"/>
      <c r="O321" s="170"/>
      <c r="P321" s="171"/>
      <c r="Q321" s="224"/>
      <c r="R321" s="224"/>
      <c r="S321" s="224"/>
      <c r="T321" s="224"/>
      <c r="U321" s="224"/>
      <c r="V321" s="224"/>
      <c r="W321" s="224"/>
      <c r="X321" s="224"/>
      <c r="Y321" s="224"/>
      <c r="Z321" s="224"/>
      <c r="AA321" s="224"/>
      <c r="AB321" s="224"/>
      <c r="AC321" s="224"/>
      <c r="AD321" s="224"/>
      <c r="AE321" s="224"/>
      <c r="AF321" s="224"/>
      <c r="AG321" s="224"/>
      <c r="AH321" s="224"/>
      <c r="AI321" s="224"/>
      <c r="AJ321" s="224"/>
      <c r="AK321" s="224"/>
      <c r="AL321" s="224"/>
      <c r="AM321" s="224"/>
      <c r="AN321" s="224"/>
      <c r="AO321" s="224"/>
      <c r="AP321" s="224"/>
      <c r="AQ321" s="224"/>
      <c r="AR321" s="224"/>
      <c r="AS321" s="224"/>
      <c r="AT321" s="224"/>
      <c r="AU321" s="224"/>
      <c r="AV321" s="224"/>
      <c r="AW321" s="224"/>
      <c r="AX321" s="224"/>
      <c r="AY321" s="224"/>
      <c r="AZ321" s="224"/>
      <c r="BA321" s="224"/>
      <c r="BB321" s="113"/>
      <c r="BC321" s="2369"/>
      <c r="BD321" s="112"/>
      <c r="BE321" s="112"/>
    </row>
    <row r="322" spans="1:57" x14ac:dyDescent="0.25">
      <c r="A322" s="64"/>
      <c r="B322" s="489" t="s">
        <v>610</v>
      </c>
      <c r="C322" s="489"/>
      <c r="D322" s="490"/>
      <c r="E322" s="491"/>
      <c r="F322" s="491"/>
      <c r="G322" s="491"/>
      <c r="H322" s="491"/>
      <c r="I322" s="491"/>
      <c r="J322" s="491"/>
      <c r="K322" s="491"/>
      <c r="L322" s="491"/>
      <c r="M322" s="491"/>
      <c r="N322" s="500"/>
      <c r="O322" s="500"/>
      <c r="P322" s="501"/>
      <c r="Q322" s="502"/>
      <c r="R322" s="502"/>
      <c r="S322" s="502"/>
      <c r="T322" s="502"/>
      <c r="U322" s="502"/>
      <c r="V322" s="502"/>
      <c r="W322" s="502"/>
      <c r="X322" s="502"/>
      <c r="Y322" s="502"/>
      <c r="Z322" s="502"/>
      <c r="AA322" s="502"/>
      <c r="AB322" s="502"/>
      <c r="AC322" s="502"/>
      <c r="AD322" s="502"/>
      <c r="AE322" s="502"/>
      <c r="AF322" s="502"/>
      <c r="AG322" s="502"/>
      <c r="AH322" s="502"/>
      <c r="AI322" s="502"/>
      <c r="AJ322" s="502"/>
      <c r="AK322" s="502"/>
      <c r="AL322" s="502"/>
      <c r="AM322" s="502"/>
      <c r="AN322" s="502"/>
      <c r="AO322" s="502"/>
      <c r="AP322" s="502"/>
      <c r="AQ322" s="502"/>
      <c r="AR322" s="502"/>
      <c r="AS322" s="502"/>
      <c r="AT322" s="502"/>
      <c r="AU322" s="502"/>
      <c r="AV322" s="502"/>
      <c r="AW322" s="502"/>
      <c r="AX322" s="502"/>
      <c r="AY322" s="502"/>
      <c r="AZ322" s="502"/>
      <c r="BA322" s="502"/>
      <c r="BB322" s="230"/>
      <c r="BC322" s="2369"/>
      <c r="BD322" s="112"/>
      <c r="BE322" s="112"/>
    </row>
    <row r="323" spans="1:57" x14ac:dyDescent="0.25">
      <c r="A323" s="64"/>
      <c r="B323" s="488" t="s">
        <v>601</v>
      </c>
      <c r="C323" s="488"/>
      <c r="D323" s="112"/>
      <c r="E323" s="170"/>
      <c r="F323" s="170"/>
      <c r="G323" s="170"/>
      <c r="H323" s="170"/>
      <c r="I323" s="170"/>
      <c r="J323" s="170"/>
      <c r="K323" s="170"/>
      <c r="L323" s="170"/>
      <c r="M323" s="170"/>
      <c r="N323" s="170"/>
      <c r="O323" s="170"/>
      <c r="P323" s="171"/>
      <c r="Q323" s="224"/>
      <c r="R323" s="224"/>
      <c r="S323" s="224"/>
      <c r="T323" s="224"/>
      <c r="U323" s="224"/>
      <c r="V323" s="224"/>
      <c r="W323" s="224"/>
      <c r="X323" s="224"/>
      <c r="Y323" s="224"/>
      <c r="Z323" s="224"/>
      <c r="AA323" s="224"/>
      <c r="AB323" s="224"/>
      <c r="AC323" s="224"/>
      <c r="AD323" s="224"/>
      <c r="AE323" s="224"/>
      <c r="AF323" s="224"/>
      <c r="AG323" s="224"/>
      <c r="AH323" s="224"/>
      <c r="AI323" s="224"/>
      <c r="AJ323" s="224"/>
      <c r="AK323" s="224"/>
      <c r="AL323" s="224"/>
      <c r="AM323" s="224"/>
      <c r="AN323" s="224"/>
      <c r="AO323" s="224"/>
      <c r="AP323" s="224"/>
      <c r="AQ323" s="224"/>
      <c r="AR323" s="224"/>
      <c r="AS323" s="224"/>
      <c r="AT323" s="224"/>
      <c r="AU323" s="224"/>
      <c r="AV323" s="224"/>
      <c r="AW323" s="224"/>
      <c r="AX323" s="224"/>
      <c r="AY323" s="224"/>
      <c r="AZ323" s="224"/>
      <c r="BA323" s="224"/>
      <c r="BB323" s="113"/>
      <c r="BC323" s="2369"/>
      <c r="BD323" s="112"/>
      <c r="BE323" s="112"/>
    </row>
    <row r="324" spans="1:57" x14ac:dyDescent="0.25">
      <c r="A324" s="64"/>
      <c r="B324" s="147" t="s">
        <v>611</v>
      </c>
      <c r="C324" s="147"/>
      <c r="D324" s="112"/>
      <c r="E324" s="157"/>
      <c r="F324" s="157"/>
      <c r="G324" s="157"/>
      <c r="H324" s="157"/>
      <c r="I324" s="157"/>
      <c r="J324" s="157"/>
      <c r="K324" s="157"/>
      <c r="L324" s="157"/>
      <c r="M324" s="157"/>
      <c r="N324" s="157"/>
      <c r="O324" s="157"/>
      <c r="P324" s="300"/>
      <c r="Q324" s="121"/>
      <c r="R324" s="121"/>
      <c r="S324" s="121"/>
      <c r="T324" s="121"/>
      <c r="U324" s="121"/>
      <c r="V324" s="121"/>
      <c r="W324" s="121"/>
      <c r="X324" s="121"/>
      <c r="Y324" s="121"/>
      <c r="Z324" s="121"/>
      <c r="AA324" s="121"/>
      <c r="AB324" s="121"/>
      <c r="AC324" s="121"/>
      <c r="AD324" s="121"/>
      <c r="AE324" s="121"/>
      <c r="AF324" s="121"/>
      <c r="AG324" s="121"/>
      <c r="AH324" s="121"/>
      <c r="AI324" s="121"/>
      <c r="AJ324" s="121"/>
      <c r="AK324" s="121"/>
      <c r="AL324" s="121"/>
      <c r="AM324" s="121"/>
      <c r="AN324" s="121"/>
      <c r="AO324" s="121"/>
      <c r="AP324" s="121"/>
      <c r="AQ324" s="121"/>
      <c r="AR324" s="121"/>
      <c r="AS324" s="121"/>
      <c r="AT324" s="121"/>
      <c r="AU324" s="121"/>
      <c r="AV324" s="121"/>
      <c r="AW324" s="121"/>
      <c r="AX324" s="121"/>
      <c r="AY324" s="121"/>
      <c r="AZ324" s="121"/>
      <c r="BA324" s="121"/>
      <c r="BB324" s="230"/>
      <c r="BC324" s="2370"/>
      <c r="BD324" s="112"/>
      <c r="BE324" s="112"/>
    </row>
    <row r="325" spans="1:57" s="42" customFormat="1" x14ac:dyDescent="0.25">
      <c r="A325" s="41"/>
      <c r="B325" s="495" t="s">
        <v>612</v>
      </c>
      <c r="C325" s="495"/>
      <c r="D325" s="213"/>
      <c r="E325" s="135"/>
      <c r="F325" s="135"/>
      <c r="G325" s="135"/>
      <c r="H325" s="135"/>
      <c r="I325" s="135"/>
      <c r="J325" s="135"/>
      <c r="K325" s="135"/>
      <c r="L325" s="135"/>
      <c r="M325" s="135"/>
      <c r="N325" s="135"/>
      <c r="O325" s="135"/>
      <c r="P325" s="340"/>
      <c r="Q325" s="138"/>
      <c r="R325" s="138"/>
      <c r="S325" s="138"/>
      <c r="T325" s="138"/>
      <c r="U325" s="138"/>
      <c r="V325" s="138"/>
      <c r="W325" s="138"/>
      <c r="X325" s="138"/>
      <c r="Y325" s="138"/>
      <c r="Z325" s="138"/>
      <c r="AA325" s="138"/>
      <c r="AB325" s="138"/>
      <c r="AC325" s="138"/>
      <c r="AD325" s="138"/>
      <c r="AE325" s="138"/>
      <c r="AF325" s="138"/>
      <c r="AG325" s="138"/>
      <c r="AH325" s="138"/>
      <c r="AI325" s="138"/>
      <c r="AJ325" s="138"/>
      <c r="AK325" s="138"/>
      <c r="AL325" s="138"/>
      <c r="AM325" s="138"/>
      <c r="AN325" s="138"/>
      <c r="AO325" s="138"/>
      <c r="AP325" s="138"/>
      <c r="AQ325" s="138"/>
      <c r="AR325" s="138"/>
      <c r="AS325" s="138"/>
      <c r="AT325" s="138"/>
      <c r="AU325" s="138"/>
      <c r="AV325" s="138"/>
      <c r="AW325" s="138"/>
      <c r="AX325" s="138"/>
      <c r="AY325" s="138"/>
      <c r="AZ325" s="138"/>
      <c r="BA325" s="138"/>
      <c r="BB325" s="216"/>
      <c r="BC325" s="140"/>
      <c r="BD325" s="181"/>
      <c r="BE325" s="181"/>
    </row>
    <row r="326" spans="1:57" s="180" customFormat="1" x14ac:dyDescent="0.25">
      <c r="A326" s="189"/>
      <c r="B326" s="496" t="s">
        <v>506</v>
      </c>
      <c r="C326" s="496"/>
      <c r="E326" s="198"/>
      <c r="F326" s="198"/>
      <c r="G326" s="198"/>
      <c r="H326" s="198"/>
      <c r="I326" s="198"/>
      <c r="J326" s="198"/>
      <c r="K326" s="198"/>
      <c r="L326" s="198"/>
      <c r="M326" s="198"/>
      <c r="N326" s="148"/>
      <c r="O326" s="148"/>
      <c r="P326" s="497"/>
      <c r="Q326" s="150"/>
      <c r="R326" s="150"/>
      <c r="S326" s="150"/>
      <c r="T326" s="150"/>
      <c r="U326" s="150"/>
      <c r="V326" s="150"/>
      <c r="W326" s="150"/>
      <c r="X326" s="150"/>
      <c r="Y326" s="150"/>
      <c r="Z326" s="150"/>
      <c r="AA326" s="150"/>
      <c r="AB326" s="150"/>
      <c r="AC326" s="150"/>
      <c r="AD326" s="150"/>
      <c r="AE326" s="150"/>
      <c r="AF326" s="150"/>
      <c r="AG326" s="150"/>
      <c r="AH326" s="150"/>
      <c r="AI326" s="150"/>
      <c r="AJ326" s="150"/>
      <c r="AK326" s="150"/>
      <c r="AL326" s="150"/>
      <c r="AM326" s="150"/>
      <c r="AN326" s="150"/>
      <c r="AO326" s="150"/>
      <c r="AP326" s="150"/>
      <c r="AQ326" s="150"/>
      <c r="AR326" s="150"/>
      <c r="AS326" s="150"/>
      <c r="AT326" s="150"/>
      <c r="AU326" s="150"/>
      <c r="AV326" s="150"/>
      <c r="AW326" s="150"/>
      <c r="AX326" s="150"/>
      <c r="AY326" s="150"/>
      <c r="AZ326" s="150"/>
      <c r="BA326" s="150"/>
      <c r="BB326" s="198"/>
      <c r="BC326" s="146"/>
    </row>
    <row r="327" spans="1:57" x14ac:dyDescent="0.25">
      <c r="A327" s="64"/>
      <c r="B327" s="488" t="s">
        <v>604</v>
      </c>
      <c r="C327" s="488"/>
      <c r="D327" s="112"/>
      <c r="E327" s="170"/>
      <c r="F327" s="170"/>
      <c r="G327" s="170"/>
      <c r="H327" s="170"/>
      <c r="I327" s="170"/>
      <c r="J327" s="170"/>
      <c r="K327" s="170"/>
      <c r="L327" s="170"/>
      <c r="M327" s="170"/>
      <c r="N327" s="506"/>
      <c r="O327" s="506"/>
      <c r="P327" s="507"/>
      <c r="Q327" s="498"/>
      <c r="R327" s="498"/>
      <c r="S327" s="498"/>
      <c r="T327" s="498"/>
      <c r="U327" s="498"/>
      <c r="V327" s="498"/>
      <c r="W327" s="498"/>
      <c r="X327" s="498"/>
      <c r="Y327" s="498"/>
      <c r="Z327" s="498"/>
      <c r="AA327" s="498"/>
      <c r="AB327" s="498"/>
      <c r="AC327" s="498"/>
      <c r="AD327" s="498"/>
      <c r="AE327" s="498"/>
      <c r="AF327" s="498"/>
      <c r="AG327" s="498"/>
      <c r="AH327" s="498"/>
      <c r="AI327" s="498"/>
      <c r="AJ327" s="498"/>
      <c r="AK327" s="498"/>
      <c r="AL327" s="498"/>
      <c r="AM327" s="498"/>
      <c r="AN327" s="498"/>
      <c r="AO327" s="498"/>
      <c r="AP327" s="498"/>
      <c r="AQ327" s="498"/>
      <c r="AR327" s="498"/>
      <c r="AS327" s="498"/>
      <c r="AT327" s="498"/>
      <c r="AU327" s="498"/>
      <c r="AV327" s="498"/>
      <c r="AW327" s="498"/>
      <c r="AX327" s="498"/>
      <c r="AY327" s="498"/>
      <c r="AZ327" s="498"/>
      <c r="BA327" s="498"/>
      <c r="BB327" s="113"/>
      <c r="BD327" s="112"/>
      <c r="BE327" s="112"/>
    </row>
    <row r="328" spans="1:57" s="477" customFormat="1" x14ac:dyDescent="0.25">
      <c r="A328" s="476"/>
      <c r="D328" s="478"/>
      <c r="E328" s="479"/>
      <c r="F328" s="479"/>
      <c r="G328" s="479"/>
      <c r="H328" s="479"/>
      <c r="I328" s="479"/>
      <c r="J328" s="479"/>
      <c r="K328" s="479"/>
      <c r="L328" s="479"/>
      <c r="M328" s="479"/>
      <c r="N328" s="479"/>
      <c r="O328" s="479"/>
      <c r="P328" s="480"/>
      <c r="Q328" s="479"/>
      <c r="R328" s="479"/>
      <c r="S328" s="479"/>
      <c r="T328" s="479"/>
      <c r="U328" s="479"/>
      <c r="V328" s="479"/>
      <c r="W328" s="479"/>
      <c r="X328" s="479"/>
      <c r="Y328" s="479"/>
      <c r="Z328" s="479"/>
      <c r="AA328" s="479"/>
      <c r="AB328" s="479"/>
      <c r="AC328" s="479"/>
      <c r="AD328" s="479"/>
      <c r="AE328" s="479"/>
      <c r="AF328" s="479"/>
      <c r="AG328" s="479"/>
      <c r="AH328" s="479"/>
      <c r="AI328" s="479"/>
      <c r="AJ328" s="479"/>
      <c r="AK328" s="479"/>
      <c r="AL328" s="479"/>
      <c r="AM328" s="479"/>
      <c r="AN328" s="479"/>
      <c r="AO328" s="479"/>
      <c r="AP328" s="479"/>
      <c r="AQ328" s="479"/>
      <c r="AR328" s="479"/>
      <c r="AS328" s="479"/>
      <c r="AT328" s="479"/>
      <c r="AU328" s="479"/>
      <c r="AV328" s="479"/>
      <c r="AW328" s="479"/>
      <c r="AX328" s="479"/>
      <c r="AY328" s="479"/>
      <c r="AZ328" s="479"/>
      <c r="BA328" s="479"/>
      <c r="BB328" s="481"/>
      <c r="BC328" s="482"/>
      <c r="BD328" s="478"/>
      <c r="BE328" s="478"/>
    </row>
    <row r="329" spans="1:57" x14ac:dyDescent="0.25">
      <c r="A329" s="64">
        <v>20</v>
      </c>
      <c r="B329" s="29" t="s">
        <v>613</v>
      </c>
      <c r="D329" s="112"/>
      <c r="E329" s="170"/>
      <c r="F329" s="170"/>
      <c r="G329" s="170"/>
      <c r="H329" s="170"/>
      <c r="I329" s="219">
        <f>+I304+I314+I324</f>
        <v>35.595277428999999</v>
      </c>
      <c r="J329" s="219">
        <f>+J304+J314+J324</f>
        <v>0</v>
      </c>
      <c r="K329" s="219">
        <f t="shared" ref="K329:P329" si="217">+K304+K314+K324</f>
        <v>0</v>
      </c>
      <c r="L329" s="219">
        <f t="shared" si="217"/>
        <v>0</v>
      </c>
      <c r="M329" s="219">
        <f t="shared" si="217"/>
        <v>0</v>
      </c>
      <c r="N329" s="219">
        <f t="shared" si="217"/>
        <v>65.452849999999998</v>
      </c>
      <c r="O329" s="219">
        <f t="shared" si="217"/>
        <v>62.725647917000003</v>
      </c>
      <c r="P329" s="1791">
        <f t="shared" si="217"/>
        <v>76</v>
      </c>
      <c r="Q329" s="508">
        <f>+Q304+Q314+Q324</f>
        <v>237.32783785126321</v>
      </c>
      <c r="R329" s="508">
        <f t="shared" ref="R329:Z329" si="218">+R304+R314+R324</f>
        <v>327.52710085320365</v>
      </c>
      <c r="S329" s="508">
        <f t="shared" si="218"/>
        <v>267.1878255508301</v>
      </c>
      <c r="T329" s="508">
        <f t="shared" si="218"/>
        <v>179.41668485297177</v>
      </c>
      <c r="U329" s="508">
        <f t="shared" si="218"/>
        <v>120.34191553268084</v>
      </c>
      <c r="V329" s="508">
        <f t="shared" si="218"/>
        <v>45.526526141799735</v>
      </c>
      <c r="W329" s="508">
        <f t="shared" si="218"/>
        <v>18.436234488137067</v>
      </c>
      <c r="X329" s="508">
        <f t="shared" si="218"/>
        <v>9.5654571258558008</v>
      </c>
      <c r="Y329" s="508">
        <f t="shared" si="218"/>
        <v>3.1884857086186003</v>
      </c>
      <c r="Z329" s="508">
        <f t="shared" si="218"/>
        <v>0</v>
      </c>
      <c r="AA329" s="508"/>
      <c r="AB329" s="509"/>
      <c r="AC329" s="509"/>
      <c r="AD329" s="509"/>
      <c r="AE329" s="509"/>
      <c r="AF329" s="509"/>
      <c r="AG329" s="509"/>
      <c r="AH329" s="509"/>
      <c r="AI329" s="509"/>
      <c r="AJ329" s="509"/>
      <c r="AK329" s="509"/>
      <c r="AL329" s="509"/>
      <c r="AM329" s="509"/>
      <c r="AN329" s="509"/>
      <c r="AO329" s="509"/>
      <c r="AP329" s="509"/>
      <c r="AQ329" s="509"/>
      <c r="AR329" s="509"/>
      <c r="AS329" s="509"/>
      <c r="AT329" s="509"/>
      <c r="AU329" s="509"/>
      <c r="AV329" s="509"/>
      <c r="AW329" s="509"/>
      <c r="AX329" s="509"/>
      <c r="AY329" s="509"/>
      <c r="AZ329" s="509"/>
      <c r="BA329" s="509"/>
      <c r="BB329" s="113"/>
      <c r="BD329" s="112"/>
      <c r="BE329" s="112"/>
    </row>
    <row r="330" spans="1:57" s="117" customFormat="1" x14ac:dyDescent="0.25">
      <c r="A330" s="132"/>
      <c r="B330" s="133" t="s">
        <v>613</v>
      </c>
      <c r="C330" s="133"/>
      <c r="D330" s="134"/>
      <c r="E330" s="135"/>
      <c r="F330" s="135"/>
      <c r="G330" s="135"/>
      <c r="H330" s="135"/>
      <c r="I330" s="136">
        <f>IF(ISTEXT('BS Raw'!I11),'BS Raw'!I105/$B$1,I329)</f>
        <v>35.595277428999999</v>
      </c>
      <c r="J330" s="136">
        <f>IF(ISTEXT('BS Raw'!J11),'BS Raw'!J105/$B$1,J329)</f>
        <v>0</v>
      </c>
      <c r="K330" s="136">
        <f>IF(ISTEXT('BS Raw'!K11),'BS Raw'!K105/$B$1,K329)</f>
        <v>0</v>
      </c>
      <c r="L330" s="136">
        <f>IF(ISTEXT('BS Raw'!L11),'BS Raw'!L105/$B$1,L329)</f>
        <v>0</v>
      </c>
      <c r="M330" s="136">
        <f>IF(ISTEXT('BS Raw'!M11),'BS Raw'!M105/$B$1,M329)</f>
        <v>0</v>
      </c>
      <c r="N330" s="136">
        <f>IF(ISTEXT('BS Raw'!N11),'BS Raw'!N105/$B$1,N329)</f>
        <v>65.452849999999998</v>
      </c>
      <c r="O330" s="136">
        <f>IF(ISTEXT('BS Raw'!O11),'BS Raw'!O105/$B$1,O329)</f>
        <v>62.725647917000003</v>
      </c>
      <c r="P330" s="1782">
        <f>IF(ISTEXT('BS Raw'!P11),'BS Raw'!P105/$B$1,P329)</f>
        <v>76</v>
      </c>
      <c r="Q330" s="137">
        <f>IF(ISTEXT('BS Raw'!Q11),'BS Raw'!Q105/$B$1,Q329)</f>
        <v>237.32783785126321</v>
      </c>
      <c r="R330" s="137">
        <f>IF(ISTEXT('BS Raw'!R11),'BS Raw'!R105/$B$1,R329)</f>
        <v>327.52710085320365</v>
      </c>
      <c r="S330" s="137">
        <f>IF(ISTEXT('BS Raw'!S11),'BS Raw'!S105/$B$1,S329)</f>
        <v>267.1878255508301</v>
      </c>
      <c r="T330" s="137">
        <f>IF(ISTEXT('BS Raw'!T11),'BS Raw'!T105/$B$1,T329)</f>
        <v>179.41668485297177</v>
      </c>
      <c r="U330" s="137">
        <f>IF(ISTEXT('BS Raw'!U11),'BS Raw'!U105/$B$1,U329)</f>
        <v>120.34191553268084</v>
      </c>
      <c r="V330" s="137">
        <f>IF(ISTEXT('BS Raw'!V11),'BS Raw'!V105/$B$1,V329)</f>
        <v>45.526526141799735</v>
      </c>
      <c r="W330" s="137">
        <f>IF(ISTEXT('BS Raw'!W11),'BS Raw'!W105/$B$1,W329)</f>
        <v>18.436234488137067</v>
      </c>
      <c r="X330" s="137">
        <f>IF(ISTEXT('BS Raw'!X11),'BS Raw'!X105/$B$1,X329)</f>
        <v>9.5654571258558008</v>
      </c>
      <c r="Y330" s="137">
        <f>IF(ISTEXT('BS Raw'!Y11),'BS Raw'!Y105/$B$1,Y329)</f>
        <v>3.1884857086186003</v>
      </c>
      <c r="Z330" s="137">
        <f>IF(ISTEXT('BS Raw'!Z11),'BS Raw'!Z105/$B$1,Z329)</f>
        <v>0</v>
      </c>
      <c r="AA330" s="137"/>
      <c r="AB330" s="138"/>
      <c r="AC330" s="138"/>
      <c r="AD330" s="138"/>
      <c r="AE330" s="138"/>
      <c r="AF330" s="138"/>
      <c r="AG330" s="138"/>
      <c r="AH330" s="138"/>
      <c r="AI330" s="138"/>
      <c r="AJ330" s="138"/>
      <c r="AK330" s="138"/>
      <c r="AL330" s="138"/>
      <c r="AM330" s="138"/>
      <c r="AN330" s="138"/>
      <c r="AO330" s="138"/>
      <c r="AP330" s="138"/>
      <c r="AQ330" s="138"/>
      <c r="AR330" s="138"/>
      <c r="AS330" s="138"/>
      <c r="AT330" s="138"/>
      <c r="AU330" s="138"/>
      <c r="AV330" s="138"/>
      <c r="AW330" s="138"/>
      <c r="AX330" s="138"/>
      <c r="AY330" s="138"/>
      <c r="AZ330" s="138"/>
      <c r="BA330" s="138"/>
      <c r="BB330" s="155"/>
      <c r="BC330" s="447"/>
    </row>
    <row r="331" spans="1:57" x14ac:dyDescent="0.25">
      <c r="A331" s="64"/>
      <c r="D331" s="112"/>
      <c r="E331" s="170"/>
      <c r="F331" s="170"/>
      <c r="G331" s="170"/>
      <c r="H331" s="170"/>
      <c r="I331" s="170"/>
      <c r="J331" s="170"/>
      <c r="K331" s="170"/>
      <c r="L331" s="170"/>
      <c r="M331" s="170"/>
      <c r="N331" s="170"/>
      <c r="O331" s="170"/>
      <c r="P331" s="171"/>
      <c r="Q331" s="170"/>
      <c r="R331" s="170"/>
      <c r="S331" s="170"/>
      <c r="T331" s="170"/>
      <c r="U331" s="170"/>
      <c r="V331" s="170"/>
      <c r="W331" s="170"/>
      <c r="X331" s="170"/>
      <c r="Y331" s="170"/>
      <c r="Z331" s="170"/>
      <c r="AA331" s="170"/>
      <c r="AB331" s="170"/>
      <c r="AC331" s="170"/>
      <c r="AD331" s="170"/>
      <c r="AE331" s="170"/>
      <c r="AF331" s="170"/>
      <c r="AG331" s="170"/>
      <c r="AH331" s="170"/>
      <c r="AI331" s="170"/>
      <c r="AJ331" s="170"/>
      <c r="AK331" s="170"/>
      <c r="AL331" s="170"/>
      <c r="AM331" s="170"/>
      <c r="AN331" s="170"/>
      <c r="AO331" s="170"/>
      <c r="AP331" s="170"/>
      <c r="AQ331" s="170"/>
      <c r="AR331" s="170"/>
      <c r="AS331" s="170"/>
      <c r="AT331" s="170"/>
      <c r="AU331" s="170"/>
      <c r="AV331" s="170"/>
      <c r="AW331" s="170"/>
      <c r="AX331" s="170"/>
      <c r="AY331" s="170"/>
      <c r="AZ331" s="170"/>
      <c r="BA331" s="170"/>
      <c r="BB331" s="113"/>
      <c r="BD331" s="112"/>
      <c r="BE331" s="112"/>
    </row>
    <row r="332" spans="1:57" x14ac:dyDescent="0.25">
      <c r="A332" s="64">
        <v>21</v>
      </c>
      <c r="B332" s="29" t="s">
        <v>614</v>
      </c>
      <c r="D332" s="112"/>
      <c r="E332" s="157"/>
      <c r="F332" s="157"/>
      <c r="G332" s="157"/>
      <c r="H332" s="157"/>
      <c r="I332" s="158">
        <f>'BS Raw'!I106/Input!$B$1</f>
        <v>0</v>
      </c>
      <c r="J332" s="158">
        <f>'BS Raw'!J106/Input!$B$1</f>
        <v>0</v>
      </c>
      <c r="K332" s="158">
        <f>'BS Raw'!K106/Input!$B$1</f>
        <v>0</v>
      </c>
      <c r="L332" s="158">
        <f>'BS Raw'!L106/Input!$B$1</f>
        <v>0</v>
      </c>
      <c r="M332" s="158">
        <f>'BS Raw'!M106/Input!$B$1</f>
        <v>0</v>
      </c>
      <c r="N332" s="158">
        <f>'BS Raw'!N106/Input!$B$1</f>
        <v>0</v>
      </c>
      <c r="O332" s="158">
        <f>'BS Raw'!O106/Input!$B$1</f>
        <v>0</v>
      </c>
      <c r="P332" s="1783">
        <f>'BS Raw'!P106/Input!$B$1</f>
        <v>0</v>
      </c>
      <c r="Q332" s="228">
        <f>P332+Q333-Q334-Q335</f>
        <v>0</v>
      </c>
      <c r="R332" s="228">
        <f t="shared" ref="R332:Z332" si="219">Q332+R333-R334-R335</f>
        <v>0</v>
      </c>
      <c r="S332" s="228">
        <f t="shared" si="219"/>
        <v>0</v>
      </c>
      <c r="T332" s="228">
        <f t="shared" si="219"/>
        <v>0</v>
      </c>
      <c r="U332" s="228">
        <f t="shared" si="219"/>
        <v>0</v>
      </c>
      <c r="V332" s="228">
        <f t="shared" si="219"/>
        <v>0</v>
      </c>
      <c r="W332" s="228">
        <f t="shared" si="219"/>
        <v>0</v>
      </c>
      <c r="X332" s="228">
        <f t="shared" si="219"/>
        <v>0</v>
      </c>
      <c r="Y332" s="228">
        <f t="shared" si="219"/>
        <v>0</v>
      </c>
      <c r="Z332" s="228">
        <f t="shared" si="219"/>
        <v>0</v>
      </c>
      <c r="AA332" s="228"/>
      <c r="AB332" s="224"/>
      <c r="AC332" s="224"/>
      <c r="AD332" s="224"/>
      <c r="AE332" s="224"/>
      <c r="AF332" s="224"/>
      <c r="AG332" s="224"/>
      <c r="AH332" s="224"/>
      <c r="AI332" s="224"/>
      <c r="AJ332" s="224"/>
      <c r="AK332" s="224"/>
      <c r="AL332" s="224"/>
      <c r="AM332" s="224"/>
      <c r="AN332" s="224"/>
      <c r="AO332" s="224"/>
      <c r="AP332" s="224"/>
      <c r="AQ332" s="224"/>
      <c r="AR332" s="224"/>
      <c r="AS332" s="224"/>
      <c r="AT332" s="224"/>
      <c r="AU332" s="224"/>
      <c r="AV332" s="224"/>
      <c r="AW332" s="224"/>
      <c r="AX332" s="224"/>
      <c r="AY332" s="224"/>
      <c r="AZ332" s="224"/>
      <c r="BA332" s="224"/>
      <c r="BB332" s="113"/>
      <c r="BC332" s="323"/>
      <c r="BD332" s="112"/>
      <c r="BE332" s="112"/>
    </row>
    <row r="333" spans="1:57" x14ac:dyDescent="0.25">
      <c r="A333" s="64"/>
      <c r="B333" s="147" t="s">
        <v>615</v>
      </c>
      <c r="C333" s="147"/>
      <c r="D333" s="112"/>
      <c r="E333" s="170"/>
      <c r="F333" s="170"/>
      <c r="G333" s="170"/>
      <c r="H333" s="170"/>
      <c r="I333" s="170"/>
      <c r="J333" s="170"/>
      <c r="K333" s="170"/>
      <c r="L333" s="170"/>
      <c r="M333" s="170"/>
      <c r="N333" s="170"/>
      <c r="O333" s="170"/>
      <c r="P333" s="171"/>
      <c r="Q333" s="222"/>
      <c r="R333" s="222"/>
      <c r="S333" s="222"/>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222"/>
      <c r="AP333" s="222"/>
      <c r="AQ333" s="222"/>
      <c r="AR333" s="222"/>
      <c r="AS333" s="222"/>
      <c r="AT333" s="222"/>
      <c r="AU333" s="222"/>
      <c r="AV333" s="222"/>
      <c r="AW333" s="222"/>
      <c r="AX333" s="222"/>
      <c r="AY333" s="222"/>
      <c r="AZ333" s="222"/>
      <c r="BA333" s="222"/>
      <c r="BB333" s="113"/>
      <c r="BC333" s="323"/>
      <c r="BD333" s="112"/>
      <c r="BE333" s="112"/>
    </row>
    <row r="334" spans="1:57" x14ac:dyDescent="0.25">
      <c r="A334" s="64"/>
      <c r="B334" s="147" t="s">
        <v>616</v>
      </c>
      <c r="C334" s="147"/>
      <c r="D334" s="112"/>
      <c r="E334" s="170"/>
      <c r="F334" s="170"/>
      <c r="G334" s="170"/>
      <c r="H334" s="170"/>
      <c r="I334" s="170"/>
      <c r="J334" s="170"/>
      <c r="K334" s="170"/>
      <c r="L334" s="170"/>
      <c r="M334" s="170"/>
      <c r="N334" s="157"/>
      <c r="O334" s="157"/>
      <c r="P334" s="300"/>
      <c r="Q334" s="244"/>
      <c r="R334" s="244"/>
      <c r="S334" s="244"/>
      <c r="T334" s="244"/>
      <c r="U334" s="244"/>
      <c r="V334" s="244"/>
      <c r="W334" s="244"/>
      <c r="X334" s="244"/>
      <c r="Y334" s="244"/>
      <c r="Z334" s="244"/>
      <c r="AA334" s="244"/>
      <c r="AB334" s="244"/>
      <c r="AC334" s="244"/>
      <c r="AD334" s="244"/>
      <c r="AE334" s="244"/>
      <c r="AF334" s="244"/>
      <c r="AG334" s="244"/>
      <c r="AH334" s="244"/>
      <c r="AI334" s="244"/>
      <c r="AJ334" s="244"/>
      <c r="AK334" s="244"/>
      <c r="AL334" s="244"/>
      <c r="AM334" s="244"/>
      <c r="AN334" s="244"/>
      <c r="AO334" s="244"/>
      <c r="AP334" s="244"/>
      <c r="AQ334" s="244"/>
      <c r="AR334" s="244"/>
      <c r="AS334" s="244"/>
      <c r="AT334" s="244"/>
      <c r="AU334" s="244"/>
      <c r="AV334" s="244"/>
      <c r="AW334" s="244"/>
      <c r="AX334" s="244"/>
      <c r="AY334" s="244"/>
      <c r="AZ334" s="244"/>
      <c r="BA334" s="244"/>
      <c r="BB334" s="230"/>
      <c r="BC334" s="123"/>
      <c r="BD334" s="112"/>
      <c r="BE334" s="112"/>
    </row>
    <row r="335" spans="1:57" x14ac:dyDescent="0.25">
      <c r="A335" s="64"/>
      <c r="B335" s="510" t="s">
        <v>617</v>
      </c>
      <c r="C335" s="510"/>
      <c r="D335" s="511"/>
      <c r="E335" s="512"/>
      <c r="F335" s="512"/>
      <c r="G335" s="512"/>
      <c r="H335" s="512"/>
      <c r="I335" s="512"/>
      <c r="J335" s="512"/>
      <c r="K335" s="512"/>
      <c r="L335" s="512"/>
      <c r="M335" s="512"/>
      <c r="N335" s="512"/>
      <c r="O335" s="512"/>
      <c r="P335" s="440"/>
      <c r="Q335" s="513"/>
      <c r="R335" s="513"/>
      <c r="S335" s="513"/>
      <c r="T335" s="513"/>
      <c r="U335" s="513"/>
      <c r="V335" s="513"/>
      <c r="W335" s="513"/>
      <c r="X335" s="513"/>
      <c r="Y335" s="513"/>
      <c r="Z335" s="513"/>
      <c r="AA335" s="513"/>
      <c r="AB335" s="513"/>
      <c r="AC335" s="513"/>
      <c r="AD335" s="513"/>
      <c r="AE335" s="513"/>
      <c r="AF335" s="513"/>
      <c r="AG335" s="513"/>
      <c r="AH335" s="513"/>
      <c r="AI335" s="513"/>
      <c r="AJ335" s="513"/>
      <c r="AK335" s="513"/>
      <c r="AL335" s="513"/>
      <c r="AM335" s="513"/>
      <c r="AN335" s="513"/>
      <c r="AO335" s="513"/>
      <c r="AP335" s="513"/>
      <c r="AQ335" s="513"/>
      <c r="AR335" s="513"/>
      <c r="AS335" s="513"/>
      <c r="AT335" s="513"/>
      <c r="AU335" s="513"/>
      <c r="AV335" s="513"/>
      <c r="AW335" s="513"/>
      <c r="AX335" s="513"/>
      <c r="AY335" s="513"/>
      <c r="AZ335" s="513"/>
      <c r="BA335" s="513"/>
      <c r="BB335" s="514"/>
      <c r="BC335" s="255"/>
      <c r="BD335" s="112"/>
      <c r="BE335" s="112"/>
    </row>
    <row r="336" spans="1:57" s="117" customFormat="1" x14ac:dyDescent="0.25">
      <c r="A336" s="132"/>
      <c r="B336" s="151" t="s">
        <v>614</v>
      </c>
      <c r="C336" s="151"/>
      <c r="E336" s="153"/>
      <c r="F336" s="153"/>
      <c r="G336" s="153"/>
      <c r="H336" s="153"/>
      <c r="I336" s="515">
        <f>IF(ISTEXT('BS Raw'!I11),'BS Raw'!I106/Input!$B$1,Input!I332)</f>
        <v>0</v>
      </c>
      <c r="J336" s="515">
        <f>IF(ISTEXT('BS Raw'!J11),'BS Raw'!J106/Input!$B$1,Input!J332)</f>
        <v>0</v>
      </c>
      <c r="K336" s="515">
        <f>IF(ISTEXT('BS Raw'!K11),'BS Raw'!K106/Input!$B$1,Input!K332)</f>
        <v>0</v>
      </c>
      <c r="L336" s="515">
        <f>IF(ISTEXT('BS Raw'!L11),'BS Raw'!L106/Input!$B$1,Input!L332)</f>
        <v>0</v>
      </c>
      <c r="M336" s="515">
        <f>IF(ISTEXT('BS Raw'!M11),'BS Raw'!M106/Input!$B$1,Input!M332)</f>
        <v>0</v>
      </c>
      <c r="N336" s="515">
        <f>IF(ISTEXT('BS Raw'!N11),'BS Raw'!N106/Input!$B$1,Input!N332)</f>
        <v>0</v>
      </c>
      <c r="O336" s="515">
        <f>IF(ISTEXT('BS Raw'!O11),'BS Raw'!O106/Input!$B$1,Input!O332)</f>
        <v>0</v>
      </c>
      <c r="P336" s="1817">
        <f>IF(ISTEXT('BS Raw'!P11),'BS Raw'!P106/Input!$B$1,Input!P332)</f>
        <v>0</v>
      </c>
      <c r="Q336" s="516">
        <f>IF(ISTEXT('BS Raw'!Q11),'BS Raw'!Q106/Input!$B$1,Input!Q332)</f>
        <v>0</v>
      </c>
      <c r="R336" s="516">
        <f>IF(ISTEXT('BS Raw'!R11),'BS Raw'!R106/Input!$B$1,Input!R332)</f>
        <v>0</v>
      </c>
      <c r="S336" s="516">
        <f>IF(ISTEXT('BS Raw'!S11),'BS Raw'!S106/Input!$B$1,Input!S332)</f>
        <v>0</v>
      </c>
      <c r="T336" s="516">
        <f>IF(ISTEXT('BS Raw'!T11),'BS Raw'!T106/Input!$B$1,Input!T332)</f>
        <v>0</v>
      </c>
      <c r="U336" s="516">
        <f>IF(ISTEXT('BS Raw'!U11),'BS Raw'!U106/Input!$B$1,Input!U332)</f>
        <v>0</v>
      </c>
      <c r="V336" s="516">
        <f>IF(ISTEXT('BS Raw'!V11),'BS Raw'!V106/Input!$B$1,Input!V332)</f>
        <v>0</v>
      </c>
      <c r="W336" s="516">
        <f>IF(ISTEXT('BS Raw'!W11),'BS Raw'!W106/Input!$B$1,Input!W332)</f>
        <v>0</v>
      </c>
      <c r="X336" s="516">
        <f>IF(ISTEXT('BS Raw'!X11),'BS Raw'!X106/Input!$B$1,Input!X332)</f>
        <v>0</v>
      </c>
      <c r="Y336" s="516">
        <f>IF(ISTEXT('BS Raw'!Y11),'BS Raw'!Y106/Input!$B$1,Input!Y332)</f>
        <v>0</v>
      </c>
      <c r="Z336" s="516">
        <f>IF(ISTEXT('BS Raw'!Z11),'BS Raw'!Z106/Input!$B$1,Input!Z332)</f>
        <v>0</v>
      </c>
      <c r="AA336" s="516"/>
      <c r="AB336" s="517"/>
      <c r="AC336" s="517"/>
      <c r="AD336" s="517"/>
      <c r="AE336" s="517"/>
      <c r="AF336" s="517"/>
      <c r="AG336" s="517"/>
      <c r="AH336" s="517"/>
      <c r="AI336" s="517"/>
      <c r="AJ336" s="517"/>
      <c r="AK336" s="517"/>
      <c r="AL336" s="517"/>
      <c r="AM336" s="517"/>
      <c r="AN336" s="517"/>
      <c r="AO336" s="517"/>
      <c r="AP336" s="517"/>
      <c r="AQ336" s="517"/>
      <c r="AR336" s="517"/>
      <c r="AS336" s="517"/>
      <c r="AT336" s="517"/>
      <c r="AU336" s="517"/>
      <c r="AV336" s="517"/>
      <c r="AW336" s="517"/>
      <c r="AX336" s="517"/>
      <c r="AY336" s="517"/>
      <c r="AZ336" s="517"/>
      <c r="BA336" s="517"/>
      <c r="BB336" s="155"/>
      <c r="BC336" s="123"/>
    </row>
    <row r="337" spans="1:57" s="180" customFormat="1" x14ac:dyDescent="0.25">
      <c r="A337" s="189"/>
      <c r="B337" s="175" t="s">
        <v>506</v>
      </c>
      <c r="C337" s="175"/>
      <c r="E337" s="198"/>
      <c r="F337" s="198"/>
      <c r="G337" s="198"/>
      <c r="H337" s="198"/>
      <c r="I337" s="198"/>
      <c r="J337" s="198"/>
      <c r="K337" s="198"/>
      <c r="L337" s="198"/>
      <c r="M337" s="198"/>
      <c r="N337" s="198"/>
      <c r="O337" s="198"/>
      <c r="P337" s="381"/>
      <c r="Q337" s="261"/>
      <c r="R337" s="261"/>
      <c r="S337" s="261"/>
      <c r="T337" s="261"/>
      <c r="U337" s="261"/>
      <c r="V337" s="261"/>
      <c r="W337" s="261"/>
      <c r="X337" s="261"/>
      <c r="Y337" s="261"/>
      <c r="Z337" s="261"/>
      <c r="AA337" s="261"/>
      <c r="AB337" s="261"/>
      <c r="AC337" s="261"/>
      <c r="AD337" s="261"/>
      <c r="AE337" s="261"/>
      <c r="AF337" s="261"/>
      <c r="AG337" s="261"/>
      <c r="AH337" s="261"/>
      <c r="AI337" s="261"/>
      <c r="AJ337" s="261"/>
      <c r="AK337" s="261"/>
      <c r="AL337" s="261"/>
      <c r="AM337" s="261"/>
      <c r="AN337" s="261"/>
      <c r="AO337" s="261"/>
      <c r="AP337" s="261"/>
      <c r="AQ337" s="261"/>
      <c r="AR337" s="261"/>
      <c r="AS337" s="261"/>
      <c r="AT337" s="261"/>
      <c r="AU337" s="261"/>
      <c r="AV337" s="261"/>
      <c r="AW337" s="261"/>
      <c r="AX337" s="261"/>
      <c r="AY337" s="261"/>
      <c r="AZ337" s="261"/>
      <c r="BA337" s="261"/>
      <c r="BB337" s="198"/>
      <c r="BC337" s="146"/>
    </row>
    <row r="338" spans="1:57" x14ac:dyDescent="0.25">
      <c r="A338" s="64"/>
      <c r="B338" s="147" t="s">
        <v>604</v>
      </c>
      <c r="C338" s="147"/>
      <c r="D338" s="112"/>
      <c r="E338" s="170"/>
      <c r="F338" s="170"/>
      <c r="G338" s="170"/>
      <c r="H338" s="170"/>
      <c r="I338" s="170"/>
      <c r="J338" s="170"/>
      <c r="K338" s="170"/>
      <c r="L338" s="170"/>
      <c r="M338" s="170"/>
      <c r="N338" s="170"/>
      <c r="O338" s="170"/>
      <c r="P338" s="171"/>
      <c r="Q338" s="224"/>
      <c r="R338" s="224"/>
      <c r="S338" s="224"/>
      <c r="T338" s="224"/>
      <c r="U338" s="224"/>
      <c r="V338" s="224"/>
      <c r="W338" s="224"/>
      <c r="X338" s="224"/>
      <c r="Y338" s="224"/>
      <c r="Z338" s="224"/>
      <c r="AA338" s="224"/>
      <c r="AB338" s="224"/>
      <c r="AC338" s="224"/>
      <c r="AD338" s="224"/>
      <c r="AE338" s="224"/>
      <c r="AF338" s="224"/>
      <c r="AG338" s="224"/>
      <c r="AH338" s="224"/>
      <c r="AI338" s="224"/>
      <c r="AJ338" s="224"/>
      <c r="AK338" s="224"/>
      <c r="AL338" s="224"/>
      <c r="AM338" s="224"/>
      <c r="AN338" s="224"/>
      <c r="AO338" s="224"/>
      <c r="AP338" s="224"/>
      <c r="AQ338" s="224"/>
      <c r="AR338" s="224"/>
      <c r="AS338" s="224"/>
      <c r="AT338" s="224"/>
      <c r="AU338" s="224"/>
      <c r="AV338" s="224"/>
      <c r="AW338" s="224"/>
      <c r="AX338" s="224"/>
      <c r="AY338" s="224"/>
      <c r="AZ338" s="224"/>
      <c r="BA338" s="224"/>
      <c r="BB338" s="113"/>
      <c r="BD338" s="112"/>
      <c r="BE338" s="112"/>
    </row>
    <row r="339" spans="1:57" x14ac:dyDescent="0.25">
      <c r="A339" s="64"/>
      <c r="D339" s="112"/>
      <c r="E339" s="170"/>
      <c r="F339" s="170"/>
      <c r="G339" s="170"/>
      <c r="H339" s="170"/>
      <c r="I339" s="170"/>
      <c r="J339" s="170"/>
      <c r="K339" s="170"/>
      <c r="L339" s="170"/>
      <c r="M339" s="170"/>
      <c r="N339" s="170"/>
      <c r="O339" s="170"/>
      <c r="P339" s="171"/>
      <c r="Q339" s="170"/>
      <c r="R339" s="170"/>
      <c r="S339" s="170"/>
      <c r="T339" s="170"/>
      <c r="U339" s="170"/>
      <c r="V339" s="170"/>
      <c r="W339" s="170"/>
      <c r="X339" s="170"/>
      <c r="Y339" s="170"/>
      <c r="Z339" s="170"/>
      <c r="AA339" s="170"/>
      <c r="AB339" s="170"/>
      <c r="AC339" s="170"/>
      <c r="AD339" s="170"/>
      <c r="AE339" s="170"/>
      <c r="AF339" s="170"/>
      <c r="AG339" s="170"/>
      <c r="AH339" s="170"/>
      <c r="AI339" s="170"/>
      <c r="AJ339" s="170"/>
      <c r="AK339" s="170"/>
      <c r="AL339" s="170"/>
      <c r="AM339" s="170"/>
      <c r="AN339" s="170"/>
      <c r="AO339" s="170"/>
      <c r="AP339" s="170"/>
      <c r="AQ339" s="170"/>
      <c r="AR339" s="170"/>
      <c r="AS339" s="170"/>
      <c r="AT339" s="170"/>
      <c r="AU339" s="170"/>
      <c r="AV339" s="170"/>
      <c r="AW339" s="170"/>
      <c r="AX339" s="170"/>
      <c r="AY339" s="170"/>
      <c r="AZ339" s="170"/>
      <c r="BA339" s="170"/>
      <c r="BB339" s="113"/>
      <c r="BD339" s="112"/>
      <c r="BE339" s="112"/>
    </row>
    <row r="340" spans="1:57" x14ac:dyDescent="0.25">
      <c r="A340" s="64">
        <v>22</v>
      </c>
      <c r="B340" s="29" t="s">
        <v>618</v>
      </c>
      <c r="D340" s="112"/>
      <c r="E340" s="66"/>
      <c r="F340" s="66"/>
      <c r="G340" s="66"/>
      <c r="H340" s="66"/>
      <c r="I340" s="220">
        <f>'BS Raw'!I98/Input!$B$1</f>
        <v>0</v>
      </c>
      <c r="J340" s="220">
        <f>'BS Raw'!J98/Input!$B$1</f>
        <v>0</v>
      </c>
      <c r="K340" s="220">
        <f>'BS Raw'!K98/Input!$B$1</f>
        <v>0</v>
      </c>
      <c r="L340" s="220">
        <f>'BS Raw'!L98/Input!$B$1</f>
        <v>0</v>
      </c>
      <c r="M340" s="220">
        <f>'BS Raw'!M98/Input!$B$1</f>
        <v>0</v>
      </c>
      <c r="N340" s="220">
        <f>'BS Raw'!N98/Input!$B$1</f>
        <v>0</v>
      </c>
      <c r="O340" s="220">
        <f>'BS Raw'!O98/Input!$B$1</f>
        <v>0</v>
      </c>
      <c r="P340" s="1789">
        <f>'BS Raw'!P98/Input!$B$1</f>
        <v>0</v>
      </c>
      <c r="Q340" s="120">
        <f>Q5*Q341</f>
        <v>0</v>
      </c>
      <c r="R340" s="120">
        <f t="shared" ref="R340:Z340" si="220">R5*R341</f>
        <v>0</v>
      </c>
      <c r="S340" s="120">
        <f t="shared" si="220"/>
        <v>0</v>
      </c>
      <c r="T340" s="120">
        <f t="shared" si="220"/>
        <v>0</v>
      </c>
      <c r="U340" s="120">
        <f t="shared" si="220"/>
        <v>0</v>
      </c>
      <c r="V340" s="120">
        <f t="shared" si="220"/>
        <v>0</v>
      </c>
      <c r="W340" s="120">
        <f t="shared" si="220"/>
        <v>0</v>
      </c>
      <c r="X340" s="120">
        <f t="shared" si="220"/>
        <v>0</v>
      </c>
      <c r="Y340" s="120">
        <f t="shared" si="220"/>
        <v>0</v>
      </c>
      <c r="Z340" s="120">
        <f t="shared" si="220"/>
        <v>0</v>
      </c>
      <c r="AA340" s="120"/>
      <c r="AB340" s="121"/>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c r="AX340" s="121"/>
      <c r="AY340" s="121"/>
      <c r="AZ340" s="121"/>
      <c r="BA340" s="121"/>
      <c r="BB340" s="230"/>
      <c r="BC340" s="382"/>
      <c r="BD340" s="112"/>
      <c r="BE340" s="112"/>
    </row>
    <row r="341" spans="1:57" s="180" customFormat="1" x14ac:dyDescent="0.25">
      <c r="A341" s="189"/>
      <c r="B341" s="175" t="s">
        <v>404</v>
      </c>
      <c r="C341" s="175"/>
      <c r="E341" s="196"/>
      <c r="F341" s="196"/>
      <c r="G341" s="196"/>
      <c r="H341" s="196"/>
      <c r="I341" s="259">
        <f>I343/I7</f>
        <v>0</v>
      </c>
      <c r="J341" s="259">
        <f>J343/J7</f>
        <v>0</v>
      </c>
      <c r="K341" s="259">
        <f t="shared" ref="K341:P341" si="221">K343/K7</f>
        <v>0</v>
      </c>
      <c r="L341" s="259">
        <f t="shared" si="221"/>
        <v>0</v>
      </c>
      <c r="M341" s="259">
        <f t="shared" si="221"/>
        <v>0</v>
      </c>
      <c r="N341" s="259">
        <f t="shared" si="221"/>
        <v>0</v>
      </c>
      <c r="O341" s="259">
        <f t="shared" si="221"/>
        <v>0</v>
      </c>
      <c r="P341" s="1244">
        <f t="shared" si="221"/>
        <v>0</v>
      </c>
      <c r="Q341" s="273">
        <f>P341</f>
        <v>0</v>
      </c>
      <c r="R341" s="273">
        <f t="shared" ref="R341:Z341" si="222">Q341</f>
        <v>0</v>
      </c>
      <c r="S341" s="273">
        <f t="shared" si="222"/>
        <v>0</v>
      </c>
      <c r="T341" s="273">
        <f t="shared" si="222"/>
        <v>0</v>
      </c>
      <c r="U341" s="273">
        <f t="shared" si="222"/>
        <v>0</v>
      </c>
      <c r="V341" s="273">
        <f t="shared" si="222"/>
        <v>0</v>
      </c>
      <c r="W341" s="273">
        <f t="shared" si="222"/>
        <v>0</v>
      </c>
      <c r="X341" s="273">
        <f t="shared" si="222"/>
        <v>0</v>
      </c>
      <c r="Y341" s="273">
        <f t="shared" si="222"/>
        <v>0</v>
      </c>
      <c r="Z341" s="273">
        <f t="shared" si="222"/>
        <v>0</v>
      </c>
      <c r="AA341" s="273"/>
      <c r="AB341" s="274"/>
      <c r="AC341" s="274"/>
      <c r="AD341" s="274"/>
      <c r="AE341" s="274"/>
      <c r="AF341" s="274"/>
      <c r="AG341" s="274"/>
      <c r="AH341" s="274"/>
      <c r="AI341" s="274"/>
      <c r="AJ341" s="274"/>
      <c r="AK341" s="274"/>
      <c r="AL341" s="274"/>
      <c r="AM341" s="274"/>
      <c r="AN341" s="274"/>
      <c r="AO341" s="274"/>
      <c r="AP341" s="274"/>
      <c r="AQ341" s="274"/>
      <c r="AR341" s="274"/>
      <c r="AS341" s="274"/>
      <c r="AT341" s="274"/>
      <c r="AU341" s="274"/>
      <c r="AV341" s="274"/>
      <c r="AW341" s="274"/>
      <c r="AX341" s="274"/>
      <c r="AY341" s="274"/>
      <c r="AZ341" s="274"/>
      <c r="BA341" s="274"/>
      <c r="BC341" s="323"/>
    </row>
    <row r="342" spans="1:57" s="180" customFormat="1" x14ac:dyDescent="0.25">
      <c r="A342" s="189"/>
      <c r="B342" s="175" t="s">
        <v>512</v>
      </c>
      <c r="C342" s="175"/>
      <c r="E342" s="198"/>
      <c r="F342" s="198"/>
      <c r="G342" s="198"/>
      <c r="H342" s="198"/>
      <c r="I342" s="198"/>
      <c r="J342" s="198"/>
      <c r="K342" s="198"/>
      <c r="L342" s="198"/>
      <c r="M342" s="198"/>
      <c r="N342" s="198"/>
      <c r="O342" s="198"/>
      <c r="P342" s="381"/>
      <c r="Q342" s="261"/>
      <c r="R342" s="261"/>
      <c r="S342" s="261"/>
      <c r="T342" s="261"/>
      <c r="U342" s="261"/>
      <c r="V342" s="261"/>
      <c r="W342" s="261"/>
      <c r="X342" s="261"/>
      <c r="Y342" s="261"/>
      <c r="Z342" s="261"/>
      <c r="AA342" s="261"/>
      <c r="AB342" s="261"/>
      <c r="AC342" s="261"/>
      <c r="AD342" s="261"/>
      <c r="AE342" s="261"/>
      <c r="AF342" s="261"/>
      <c r="AG342" s="261"/>
      <c r="AH342" s="261"/>
      <c r="AI342" s="261"/>
      <c r="AJ342" s="261"/>
      <c r="AK342" s="261"/>
      <c r="AL342" s="261"/>
      <c r="AM342" s="261"/>
      <c r="AN342" s="261"/>
      <c r="AO342" s="261"/>
      <c r="AP342" s="261"/>
      <c r="AQ342" s="261"/>
      <c r="AR342" s="261"/>
      <c r="AS342" s="261"/>
      <c r="AT342" s="261"/>
      <c r="AU342" s="261"/>
      <c r="AV342" s="261"/>
      <c r="AW342" s="261"/>
      <c r="AX342" s="261"/>
      <c r="AY342" s="261"/>
      <c r="AZ342" s="261"/>
      <c r="BA342" s="261"/>
      <c r="BB342" s="198"/>
      <c r="BC342" s="275"/>
    </row>
    <row r="343" spans="1:57" s="117" customFormat="1" x14ac:dyDescent="0.25">
      <c r="A343" s="132"/>
      <c r="B343" s="133" t="s">
        <v>619</v>
      </c>
      <c r="C343" s="133"/>
      <c r="D343" s="134"/>
      <c r="E343" s="166"/>
      <c r="F343" s="166"/>
      <c r="G343" s="166"/>
      <c r="H343" s="166"/>
      <c r="I343" s="167">
        <f>IF(ISTEXT('BS Raw'!I11),'BS Raw'!I98/Input!$B$1,Input!I340)</f>
        <v>0</v>
      </c>
      <c r="J343" s="167">
        <f>IF(ISTEXT('BS Raw'!J11),'BS Raw'!J98/Input!$B$1,Input!J340)</f>
        <v>0</v>
      </c>
      <c r="K343" s="167">
        <f>IF(ISTEXT('BS Raw'!K11),'BS Raw'!K98/Input!$B$1,Input!K340)</f>
        <v>0</v>
      </c>
      <c r="L343" s="167">
        <f>IF(ISTEXT('BS Raw'!L11),'BS Raw'!L98/Input!$B$1,Input!L340)</f>
        <v>0</v>
      </c>
      <c r="M343" s="167">
        <f>IF(ISTEXT('BS Raw'!M11),'BS Raw'!M98/Input!$B$1,Input!M340)</f>
        <v>0</v>
      </c>
      <c r="N343" s="167">
        <f>IF(ISTEXT('BS Raw'!N11),'BS Raw'!N98/Input!$B$1,Input!N340)</f>
        <v>0</v>
      </c>
      <c r="O343" s="167">
        <f>IF(ISTEXT('BS Raw'!O11),'BS Raw'!O98/Input!$B$1,Input!O340)</f>
        <v>0</v>
      </c>
      <c r="P343" s="743">
        <f>IF(ISTEXT('BS Raw'!P11),'BS Raw'!P98/Input!$B$1,Input!P340)</f>
        <v>0</v>
      </c>
      <c r="Q343" s="168">
        <f>IF(ISTEXT('BS Raw'!Q11),'BS Raw'!Q98/Input!$B$1,Input!Q340)</f>
        <v>0</v>
      </c>
      <c r="R343" s="168">
        <f>IF(ISTEXT('BS Raw'!R11),'BS Raw'!R98/Input!$B$1,Input!R340)</f>
        <v>0</v>
      </c>
      <c r="S343" s="168">
        <f>IF(ISTEXT('BS Raw'!S11),'BS Raw'!S98/Input!$B$1,Input!S340)</f>
        <v>0</v>
      </c>
      <c r="T343" s="168">
        <f>IF(ISTEXT('BS Raw'!T11),'BS Raw'!T98/Input!$B$1,Input!T340)</f>
        <v>0</v>
      </c>
      <c r="U343" s="168">
        <f>IF(ISTEXT('BS Raw'!U11),'BS Raw'!U98/Input!$B$1,Input!U340)</f>
        <v>0</v>
      </c>
      <c r="V343" s="168">
        <f>IF(ISTEXT('BS Raw'!V11),'BS Raw'!V98/Input!$B$1,Input!V340)</f>
        <v>0</v>
      </c>
      <c r="W343" s="168">
        <f>IF(ISTEXT('BS Raw'!W11),'BS Raw'!W98/Input!$B$1,Input!W340)</f>
        <v>0</v>
      </c>
      <c r="X343" s="168">
        <f>IF(ISTEXT('BS Raw'!X11),'BS Raw'!X98/Input!$B$1,Input!X340)</f>
        <v>0</v>
      </c>
      <c r="Y343" s="168">
        <f>IF(ISTEXT('BS Raw'!Y11),'BS Raw'!Y98/Input!$B$1,Input!Y340)</f>
        <v>0</v>
      </c>
      <c r="Z343" s="168">
        <f>IF(ISTEXT('BS Raw'!Z11),'BS Raw'!Z98/Input!$B$1,Input!Z340)</f>
        <v>0</v>
      </c>
      <c r="AA343" s="168"/>
      <c r="AB343" s="169"/>
      <c r="AC343" s="169"/>
      <c r="AD343" s="169"/>
      <c r="AE343" s="169"/>
      <c r="AF343" s="169"/>
      <c r="AG343" s="169"/>
      <c r="AH343" s="169"/>
      <c r="AI343" s="169"/>
      <c r="AJ343" s="169"/>
      <c r="AK343" s="169"/>
      <c r="AL343" s="169"/>
      <c r="AM343" s="169"/>
      <c r="AN343" s="169"/>
      <c r="AO343" s="169"/>
      <c r="AP343" s="169"/>
      <c r="AQ343" s="169"/>
      <c r="AR343" s="169"/>
      <c r="AS343" s="169"/>
      <c r="AT343" s="169"/>
      <c r="AU343" s="169"/>
      <c r="AV343" s="169"/>
      <c r="AW343" s="169"/>
      <c r="AX343" s="169"/>
      <c r="AY343" s="169"/>
      <c r="AZ343" s="169"/>
      <c r="BA343" s="169"/>
      <c r="BB343" s="134"/>
      <c r="BC343" s="140"/>
    </row>
    <row r="344" spans="1:57" x14ac:dyDescent="0.25">
      <c r="A344" s="64"/>
      <c r="D344" s="112"/>
      <c r="E344" s="170"/>
      <c r="F344" s="170"/>
      <c r="G344" s="170"/>
      <c r="H344" s="170"/>
      <c r="I344" s="170"/>
      <c r="J344" s="170"/>
      <c r="K344" s="170"/>
      <c r="L344" s="170"/>
      <c r="M344" s="170"/>
      <c r="N344" s="170"/>
      <c r="O344" s="170"/>
      <c r="P344" s="171"/>
      <c r="Q344" s="170"/>
      <c r="R344" s="170"/>
      <c r="S344" s="170"/>
      <c r="T344" s="170"/>
      <c r="U344" s="170"/>
      <c r="V344" s="170"/>
      <c r="W344" s="170"/>
      <c r="X344" s="170"/>
      <c r="Y344" s="170"/>
      <c r="Z344" s="170"/>
      <c r="AA344" s="170"/>
      <c r="AB344" s="170"/>
      <c r="AC344" s="170"/>
      <c r="AD344" s="170"/>
      <c r="AE344" s="170"/>
      <c r="AF344" s="170"/>
      <c r="AG344" s="170"/>
      <c r="AH344" s="170"/>
      <c r="AI344" s="170"/>
      <c r="AJ344" s="170"/>
      <c r="AK344" s="170"/>
      <c r="AL344" s="170"/>
      <c r="AM344" s="170"/>
      <c r="AN344" s="170"/>
      <c r="AO344" s="170"/>
      <c r="AP344" s="170"/>
      <c r="AQ344" s="170"/>
      <c r="AR344" s="170"/>
      <c r="AS344" s="170"/>
      <c r="AT344" s="170"/>
      <c r="AU344" s="170"/>
      <c r="AV344" s="170"/>
      <c r="AW344" s="170"/>
      <c r="AX344" s="170"/>
      <c r="AY344" s="170"/>
      <c r="AZ344" s="170"/>
      <c r="BA344" s="170"/>
      <c r="BB344" s="113"/>
      <c r="BD344" s="112"/>
      <c r="BE344" s="112"/>
    </row>
    <row r="345" spans="1:57" x14ac:dyDescent="0.25">
      <c r="A345" s="64">
        <v>23</v>
      </c>
      <c r="B345" s="29" t="s">
        <v>620</v>
      </c>
      <c r="D345" s="217"/>
      <c r="E345" s="118"/>
      <c r="F345" s="118"/>
      <c r="G345" s="118"/>
      <c r="H345" s="118"/>
      <c r="I345" s="119">
        <f>('BS Raw'!I97-'BS Raw'!I98-'BS Raw'!I105-'BS Raw'!I106)/Input!$B$1</f>
        <v>1.346204562000004</v>
      </c>
      <c r="J345" s="119">
        <f>('BS Raw'!J97-'BS Raw'!J98-'BS Raw'!J105-'BS Raw'!J106)/Input!$B$1</f>
        <v>31.699796257999999</v>
      </c>
      <c r="K345" s="119">
        <f>('BS Raw'!K97-'BS Raw'!K98-'BS Raw'!K105-'BS Raw'!K106)/Input!$B$1</f>
        <v>49.074599169000003</v>
      </c>
      <c r="L345" s="119">
        <f>('BS Raw'!L97-'BS Raw'!L98-'BS Raw'!L105-'BS Raw'!L106)/Input!$B$1</f>
        <v>55.369126815000001</v>
      </c>
      <c r="M345" s="119">
        <f>('BS Raw'!M97-'BS Raw'!M98-'BS Raw'!M105-'BS Raw'!M106)/Input!$B$1</f>
        <v>46.366882521999997</v>
      </c>
      <c r="N345" s="119">
        <f>('BS Raw'!N97-'BS Raw'!N98-'BS Raw'!N105-'BS Raw'!N106)/Input!$B$1</f>
        <v>42.279639824</v>
      </c>
      <c r="O345" s="119">
        <f>('BS Raw'!O97-'BS Raw'!O98-'BS Raw'!O105-'BS Raw'!O106)/Input!$B$1</f>
        <v>38.18591490499999</v>
      </c>
      <c r="P345" s="671">
        <f>('BS Raw'!P97-'BS Raw'!P98-'BS Raw'!P105-'BS Raw'!P106)/Input!$B$1</f>
        <v>49.091748203999998</v>
      </c>
      <c r="Q345" s="120">
        <f>Q5*Q346</f>
        <v>52.749439056214307</v>
      </c>
      <c r="R345" s="120">
        <f t="shared" ref="R345:Z345" si="223">R5*R346</f>
        <v>55.031219780851288</v>
      </c>
      <c r="S345" s="120">
        <f t="shared" si="223"/>
        <v>69.477243741891172</v>
      </c>
      <c r="T345" s="120">
        <f t="shared" si="223"/>
        <v>74.107148892536387</v>
      </c>
      <c r="U345" s="120">
        <f t="shared" si="223"/>
        <v>78.754758111194064</v>
      </c>
      <c r="V345" s="120">
        <f t="shared" si="223"/>
        <v>82.589048353868122</v>
      </c>
      <c r="W345" s="120">
        <f t="shared" si="223"/>
        <v>87.373329773579414</v>
      </c>
      <c r="X345" s="120">
        <f t="shared" si="223"/>
        <v>90.748061952768609</v>
      </c>
      <c r="Y345" s="120">
        <f t="shared" si="223"/>
        <v>94.401355681865752</v>
      </c>
      <c r="Z345" s="120">
        <f t="shared" si="223"/>
        <v>98.360688191633486</v>
      </c>
      <c r="AA345" s="120"/>
      <c r="AB345" s="121"/>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c r="AW345" s="121"/>
      <c r="AX345" s="121"/>
      <c r="AY345" s="121"/>
      <c r="AZ345" s="121"/>
      <c r="BA345" s="121"/>
      <c r="BB345" s="230"/>
      <c r="BD345" s="112"/>
      <c r="BE345" s="112"/>
    </row>
    <row r="346" spans="1:57" s="180" customFormat="1" x14ac:dyDescent="0.25">
      <c r="A346" s="189"/>
      <c r="B346" s="175" t="s">
        <v>404</v>
      </c>
      <c r="C346" s="175"/>
      <c r="E346" s="196"/>
      <c r="F346" s="196"/>
      <c r="G346" s="196"/>
      <c r="H346" s="196"/>
      <c r="I346" s="259">
        <f>I347/I$7</f>
        <v>5.4905009361745172E-4</v>
      </c>
      <c r="J346" s="259">
        <f>J347/J$7</f>
        <v>2.5875947541135372E-2</v>
      </c>
      <c r="K346" s="259">
        <f t="shared" ref="K346:P346" si="224">K347/K$7</f>
        <v>3.5435435165966964E-2</v>
      </c>
      <c r="L346" s="259">
        <f t="shared" si="224"/>
        <v>3.9884767350461772E-2</v>
      </c>
      <c r="M346" s="259">
        <f t="shared" si="224"/>
        <v>3.3094987705904425E-2</v>
      </c>
      <c r="N346" s="259">
        <f t="shared" si="224"/>
        <v>3.3509286942034686E-2</v>
      </c>
      <c r="O346" s="259">
        <f t="shared" si="224"/>
        <v>3.0379762805271625E-2</v>
      </c>
      <c r="P346" s="1244">
        <f t="shared" si="224"/>
        <v>3.1499269623837298E-2</v>
      </c>
      <c r="Q346" s="260">
        <f>P346</f>
        <v>3.1499269623837298E-2</v>
      </c>
      <c r="R346" s="260">
        <f t="shared" ref="R346:Z346" si="225">Q346</f>
        <v>3.1499269623837298E-2</v>
      </c>
      <c r="S346" s="260">
        <f t="shared" si="225"/>
        <v>3.1499269623837298E-2</v>
      </c>
      <c r="T346" s="260">
        <f t="shared" si="225"/>
        <v>3.1499269623837298E-2</v>
      </c>
      <c r="U346" s="260">
        <f t="shared" si="225"/>
        <v>3.1499269623837298E-2</v>
      </c>
      <c r="V346" s="260">
        <f t="shared" si="225"/>
        <v>3.1499269623837298E-2</v>
      </c>
      <c r="W346" s="260">
        <f t="shared" si="225"/>
        <v>3.1499269623837298E-2</v>
      </c>
      <c r="X346" s="260">
        <f t="shared" si="225"/>
        <v>3.1499269623837298E-2</v>
      </c>
      <c r="Y346" s="260">
        <f t="shared" si="225"/>
        <v>3.1499269623837298E-2</v>
      </c>
      <c r="Z346" s="260">
        <f t="shared" si="225"/>
        <v>3.1499269623837298E-2</v>
      </c>
      <c r="AA346" s="260"/>
      <c r="AB346" s="334"/>
      <c r="AC346" s="334"/>
      <c r="AD346" s="334"/>
      <c r="AE346" s="334"/>
      <c r="AF346" s="334"/>
      <c r="AG346" s="334"/>
      <c r="AH346" s="334"/>
      <c r="AI346" s="334"/>
      <c r="AJ346" s="334"/>
      <c r="AK346" s="334"/>
      <c r="AL346" s="334"/>
      <c r="AM346" s="334"/>
      <c r="AN346" s="334"/>
      <c r="AO346" s="334"/>
      <c r="AP346" s="334"/>
      <c r="AQ346" s="334"/>
      <c r="AR346" s="334"/>
      <c r="AS346" s="334"/>
      <c r="AT346" s="334"/>
      <c r="AU346" s="334"/>
      <c r="AV346" s="334"/>
      <c r="AW346" s="334"/>
      <c r="AX346" s="334"/>
      <c r="AY346" s="334"/>
      <c r="AZ346" s="334"/>
      <c r="BA346" s="334"/>
      <c r="BB346" s="198"/>
      <c r="BC346" s="103"/>
    </row>
    <row r="347" spans="1:57" s="281" customFormat="1" x14ac:dyDescent="0.25">
      <c r="A347" s="132"/>
      <c r="B347" s="133" t="s">
        <v>621</v>
      </c>
      <c r="C347" s="133"/>
      <c r="D347" s="445"/>
      <c r="E347" s="166"/>
      <c r="F347" s="166"/>
      <c r="G347" s="166"/>
      <c r="H347" s="166"/>
      <c r="I347" s="167">
        <f>IF(ISTEXT('BS Raw'!I11),('BS Raw'!I97-'BS Raw'!I98-'BS Raw'!I105-'BS Raw'!I106)/Input!$B$1,I345)</f>
        <v>1.346204562000004</v>
      </c>
      <c r="J347" s="167">
        <f>IF(ISTEXT('BS Raw'!J11),('BS Raw'!J97-'BS Raw'!J98-'BS Raw'!J105-'BS Raw'!J106)/Input!$B$1,J345)</f>
        <v>31.699796257999999</v>
      </c>
      <c r="K347" s="167">
        <f>IF(ISTEXT('BS Raw'!K11),('BS Raw'!K97-'BS Raw'!K98-'BS Raw'!K105-'BS Raw'!K106)/Input!$B$1,K345)</f>
        <v>49.074599169000003</v>
      </c>
      <c r="L347" s="167">
        <f>IF(ISTEXT('BS Raw'!L11),('BS Raw'!L97-'BS Raw'!L98-'BS Raw'!L105-'BS Raw'!L106)/Input!$B$1,L345)</f>
        <v>55.369126815000001</v>
      </c>
      <c r="M347" s="167">
        <f>IF(ISTEXT('BS Raw'!M11),('BS Raw'!M97-'BS Raw'!M98-'BS Raw'!M105-'BS Raw'!M106)/Input!$B$1,M345)</f>
        <v>46.366882521999997</v>
      </c>
      <c r="N347" s="167">
        <f>IF(ISTEXT('BS Raw'!N11),('BS Raw'!N97-'BS Raw'!N98-'BS Raw'!N105-'BS Raw'!N106)/Input!$B$1,N345)</f>
        <v>42.279639824</v>
      </c>
      <c r="O347" s="167">
        <f>IF(ISTEXT('BS Raw'!O11),('BS Raw'!O97-'BS Raw'!O98-'BS Raw'!O105-'BS Raw'!O106)/Input!$B$1,O345)</f>
        <v>38.18591490499999</v>
      </c>
      <c r="P347" s="743">
        <f>IF(ISTEXT('BS Raw'!P11),('BS Raw'!P97-'BS Raw'!P98-'BS Raw'!P105-'BS Raw'!P106)/Input!$B$1,P345)</f>
        <v>49.091748203999998</v>
      </c>
      <c r="Q347" s="168">
        <f>IF(ISTEXT('BS Raw'!Q11),('BS Raw'!Q97-'BS Raw'!Q98-'BS Raw'!Q105-'BS Raw'!Q106)/Input!$B$1,Q345)</f>
        <v>52.749439056214307</v>
      </c>
      <c r="R347" s="168">
        <f>IF(ISTEXT('BS Raw'!R11),('BS Raw'!R97-'BS Raw'!R98-'BS Raw'!R105-'BS Raw'!R106)/Input!$B$1,R345)</f>
        <v>55.031219780851288</v>
      </c>
      <c r="S347" s="168">
        <f>IF(ISTEXT('BS Raw'!S11),('BS Raw'!S97-'BS Raw'!S98-'BS Raw'!S105-'BS Raw'!S106)/Input!$B$1,S345)</f>
        <v>69.477243741891172</v>
      </c>
      <c r="T347" s="168">
        <f>IF(ISTEXT('BS Raw'!T11),('BS Raw'!T97-'BS Raw'!T98-'BS Raw'!T105-'BS Raw'!T106)/Input!$B$1,T345)</f>
        <v>74.107148892536387</v>
      </c>
      <c r="U347" s="168">
        <f>IF(ISTEXT('BS Raw'!U11),('BS Raw'!U97-'BS Raw'!U98-'BS Raw'!U105-'BS Raw'!U106)/Input!$B$1,U345)</f>
        <v>78.754758111194064</v>
      </c>
      <c r="V347" s="168">
        <f>IF(ISTEXT('BS Raw'!V11),('BS Raw'!V97-'BS Raw'!V98-'BS Raw'!V105-'BS Raw'!V106)/Input!$B$1,V345)</f>
        <v>82.589048353868122</v>
      </c>
      <c r="W347" s="168">
        <f>IF(ISTEXT('BS Raw'!W11),('BS Raw'!W97-'BS Raw'!W98-'BS Raw'!W105-'BS Raw'!W106)/Input!$B$1,W345)</f>
        <v>87.373329773579414</v>
      </c>
      <c r="X347" s="168">
        <f>IF(ISTEXT('BS Raw'!X11),('BS Raw'!X97-'BS Raw'!X98-'BS Raw'!X105-'BS Raw'!X106)/Input!$B$1,X345)</f>
        <v>90.748061952768609</v>
      </c>
      <c r="Y347" s="168">
        <f>IF(ISTEXT('BS Raw'!Y11),('BS Raw'!Y97-'BS Raw'!Y98-'BS Raw'!Y105-'BS Raw'!Y106)/Input!$B$1,Y345)</f>
        <v>94.401355681865752</v>
      </c>
      <c r="Z347" s="168">
        <f>IF(ISTEXT('BS Raw'!Z11),('BS Raw'!Z97-'BS Raw'!Z98-'BS Raw'!Z105-'BS Raw'!Z106)/Input!$B$1,Z345)</f>
        <v>98.360688191633486</v>
      </c>
      <c r="AA347" s="168"/>
      <c r="AB347" s="169"/>
      <c r="AC347" s="169"/>
      <c r="AD347" s="169"/>
      <c r="AE347" s="169"/>
      <c r="AF347" s="169"/>
      <c r="AG347" s="169"/>
      <c r="AH347" s="169"/>
      <c r="AI347" s="169"/>
      <c r="AJ347" s="169"/>
      <c r="AK347" s="169"/>
      <c r="AL347" s="169"/>
      <c r="AM347" s="169"/>
      <c r="AN347" s="169"/>
      <c r="AO347" s="169"/>
      <c r="AP347" s="169"/>
      <c r="AQ347" s="169"/>
      <c r="AR347" s="169"/>
      <c r="AS347" s="169"/>
      <c r="AT347" s="169"/>
      <c r="AU347" s="169"/>
      <c r="AV347" s="169"/>
      <c r="AW347" s="169"/>
      <c r="AX347" s="169"/>
      <c r="AY347" s="169"/>
      <c r="AZ347" s="169"/>
      <c r="BA347" s="169"/>
      <c r="BB347" s="446"/>
      <c r="BC347" s="140"/>
    </row>
    <row r="348" spans="1:57" x14ac:dyDescent="0.25">
      <c r="A348" s="64"/>
      <c r="D348" s="112"/>
      <c r="E348" s="170"/>
      <c r="F348" s="170"/>
      <c r="G348" s="170"/>
      <c r="H348" s="170"/>
      <c r="I348" s="170"/>
      <c r="J348" s="170"/>
      <c r="K348" s="170"/>
      <c r="L348" s="170"/>
      <c r="M348" s="170"/>
      <c r="N348" s="170"/>
      <c r="O348" s="170"/>
      <c r="P348" s="171"/>
      <c r="Q348" s="170"/>
      <c r="R348" s="170"/>
      <c r="S348" s="170"/>
      <c r="T348" s="170"/>
      <c r="U348" s="170"/>
      <c r="V348" s="170"/>
      <c r="W348" s="170"/>
      <c r="X348" s="170"/>
      <c r="Y348" s="170"/>
      <c r="Z348" s="170"/>
      <c r="AA348" s="170"/>
      <c r="AB348" s="170"/>
      <c r="AC348" s="170"/>
      <c r="AD348" s="170"/>
      <c r="AE348" s="170"/>
      <c r="AF348" s="170"/>
      <c r="AG348" s="170"/>
      <c r="AH348" s="170"/>
      <c r="AI348" s="170"/>
      <c r="AJ348" s="170"/>
      <c r="AK348" s="170"/>
      <c r="AL348" s="170"/>
      <c r="AM348" s="170"/>
      <c r="AN348" s="170"/>
      <c r="AO348" s="170"/>
      <c r="AP348" s="170"/>
      <c r="AQ348" s="170"/>
      <c r="AR348" s="170"/>
      <c r="AS348" s="170"/>
      <c r="AT348" s="170"/>
      <c r="AU348" s="170"/>
      <c r="AV348" s="170"/>
      <c r="AW348" s="170"/>
      <c r="AX348" s="170"/>
      <c r="AY348" s="170"/>
      <c r="AZ348" s="170"/>
      <c r="BA348" s="170"/>
      <c r="BB348" s="113"/>
      <c r="BD348" s="112"/>
      <c r="BE348" s="112"/>
    </row>
    <row r="349" spans="1:57" x14ac:dyDescent="0.25">
      <c r="A349" s="64"/>
      <c r="B349" s="518" t="s">
        <v>622</v>
      </c>
      <c r="C349" s="518"/>
      <c r="D349" s="112"/>
      <c r="E349" s="170"/>
      <c r="F349" s="170"/>
      <c r="G349" s="170"/>
      <c r="H349" s="170"/>
      <c r="I349" s="119">
        <f>+I329+I332+I340+I345</f>
        <v>36.941481991000003</v>
      </c>
      <c r="J349" s="119">
        <f>+J329+J332+J340+J345</f>
        <v>31.699796257999999</v>
      </c>
      <c r="K349" s="119">
        <f t="shared" ref="K349:Z349" si="226">+K329+K332+K340+K345</f>
        <v>49.074599169000003</v>
      </c>
      <c r="L349" s="119">
        <f t="shared" si="226"/>
        <v>55.369126815000001</v>
      </c>
      <c r="M349" s="119">
        <f t="shared" si="226"/>
        <v>46.366882521999997</v>
      </c>
      <c r="N349" s="119">
        <f t="shared" si="226"/>
        <v>107.732489824</v>
      </c>
      <c r="O349" s="119">
        <f t="shared" si="226"/>
        <v>100.91156282199999</v>
      </c>
      <c r="P349" s="671">
        <f t="shared" si="226"/>
        <v>125.091748204</v>
      </c>
      <c r="Q349" s="119">
        <f t="shared" si="226"/>
        <v>290.07727690747754</v>
      </c>
      <c r="R349" s="119">
        <f t="shared" si="226"/>
        <v>382.55832063405495</v>
      </c>
      <c r="S349" s="119">
        <f t="shared" si="226"/>
        <v>336.66506929272128</v>
      </c>
      <c r="T349" s="119">
        <f t="shared" si="226"/>
        <v>253.52383374550817</v>
      </c>
      <c r="U349" s="119">
        <f t="shared" si="226"/>
        <v>199.09667364387491</v>
      </c>
      <c r="V349" s="119">
        <f t="shared" si="226"/>
        <v>128.11557449566786</v>
      </c>
      <c r="W349" s="119">
        <f t="shared" si="226"/>
        <v>105.80956426171647</v>
      </c>
      <c r="X349" s="119">
        <f t="shared" si="226"/>
        <v>100.31351907862441</v>
      </c>
      <c r="Y349" s="119">
        <f t="shared" si="226"/>
        <v>97.589841390484352</v>
      </c>
      <c r="Z349" s="119">
        <f t="shared" si="226"/>
        <v>98.360688191633486</v>
      </c>
      <c r="AA349" s="228"/>
      <c r="AB349" s="224"/>
      <c r="AC349" s="224"/>
      <c r="AD349" s="224"/>
      <c r="AE349" s="224"/>
      <c r="AF349" s="224"/>
      <c r="AG349" s="224"/>
      <c r="AH349" s="224"/>
      <c r="AI349" s="224"/>
      <c r="AJ349" s="224"/>
      <c r="AK349" s="224"/>
      <c r="AL349" s="224"/>
      <c r="AM349" s="224"/>
      <c r="AN349" s="224"/>
      <c r="AO349" s="224"/>
      <c r="AP349" s="224"/>
      <c r="AQ349" s="224"/>
      <c r="AR349" s="224"/>
      <c r="AS349" s="224"/>
      <c r="AT349" s="224"/>
      <c r="AU349" s="224"/>
      <c r="AV349" s="224"/>
      <c r="AW349" s="224"/>
      <c r="AX349" s="224"/>
      <c r="AY349" s="224"/>
      <c r="AZ349" s="224"/>
      <c r="BA349" s="224"/>
      <c r="BB349" s="113"/>
      <c r="BD349" s="112"/>
      <c r="BE349" s="112"/>
    </row>
    <row r="350" spans="1:57" s="42" customFormat="1" x14ac:dyDescent="0.25">
      <c r="A350" s="41"/>
      <c r="B350" s="212" t="s">
        <v>623</v>
      </c>
      <c r="C350" s="212"/>
      <c r="D350" s="213"/>
      <c r="E350" s="214"/>
      <c r="F350" s="214"/>
      <c r="G350" s="214"/>
      <c r="H350" s="214"/>
      <c r="I350" s="215">
        <f>I330+I336+I343+I347</f>
        <v>36.941481991000003</v>
      </c>
      <c r="J350" s="215">
        <f>J330+J336+J343+J347</f>
        <v>31.699796257999999</v>
      </c>
      <c r="K350" s="215">
        <f t="shared" ref="K350:Z350" si="227">K330+K336+K343+K347</f>
        <v>49.074599169000003</v>
      </c>
      <c r="L350" s="215">
        <f t="shared" si="227"/>
        <v>55.369126815000001</v>
      </c>
      <c r="M350" s="215">
        <f t="shared" si="227"/>
        <v>46.366882521999997</v>
      </c>
      <c r="N350" s="215">
        <f t="shared" si="227"/>
        <v>107.732489824</v>
      </c>
      <c r="O350" s="215">
        <f t="shared" si="227"/>
        <v>100.91156282199999</v>
      </c>
      <c r="P350" s="1788">
        <f t="shared" si="227"/>
        <v>125.091748204</v>
      </c>
      <c r="Q350" s="215">
        <f t="shared" si="227"/>
        <v>290.07727690747754</v>
      </c>
      <c r="R350" s="215">
        <f t="shared" si="227"/>
        <v>382.55832063405495</v>
      </c>
      <c r="S350" s="215">
        <f t="shared" si="227"/>
        <v>336.66506929272128</v>
      </c>
      <c r="T350" s="215">
        <f t="shared" si="227"/>
        <v>253.52383374550817</v>
      </c>
      <c r="U350" s="215">
        <f t="shared" si="227"/>
        <v>199.09667364387491</v>
      </c>
      <c r="V350" s="215">
        <f t="shared" si="227"/>
        <v>128.11557449566786</v>
      </c>
      <c r="W350" s="215">
        <f t="shared" si="227"/>
        <v>105.80956426171647</v>
      </c>
      <c r="X350" s="215">
        <f t="shared" si="227"/>
        <v>100.31351907862441</v>
      </c>
      <c r="Y350" s="215">
        <f t="shared" si="227"/>
        <v>97.589841390484352</v>
      </c>
      <c r="Z350" s="215">
        <f t="shared" si="227"/>
        <v>98.360688191633486</v>
      </c>
      <c r="AA350" s="519"/>
      <c r="AB350" s="520"/>
      <c r="AC350" s="520"/>
      <c r="AD350" s="520"/>
      <c r="AE350" s="520"/>
      <c r="AF350" s="520"/>
      <c r="AG350" s="520"/>
      <c r="AH350" s="520"/>
      <c r="AI350" s="520"/>
      <c r="AJ350" s="520"/>
      <c r="AK350" s="520"/>
      <c r="AL350" s="520"/>
      <c r="AM350" s="520"/>
      <c r="AN350" s="520"/>
      <c r="AO350" s="520"/>
      <c r="AP350" s="520"/>
      <c r="AQ350" s="520"/>
      <c r="AR350" s="520"/>
      <c r="AS350" s="520"/>
      <c r="AT350" s="520"/>
      <c r="AU350" s="520"/>
      <c r="AV350" s="520"/>
      <c r="AW350" s="520"/>
      <c r="AX350" s="520"/>
      <c r="AY350" s="520"/>
      <c r="AZ350" s="520"/>
      <c r="BA350" s="520"/>
      <c r="BB350" s="181"/>
      <c r="BC350" s="103"/>
      <c r="BD350" s="181"/>
      <c r="BE350" s="181"/>
    </row>
    <row r="351" spans="1:57" s="42" customFormat="1" x14ac:dyDescent="0.25">
      <c r="A351" s="41"/>
      <c r="D351" s="181"/>
      <c r="E351" s="44"/>
      <c r="F351" s="44"/>
      <c r="G351" s="44"/>
      <c r="H351" s="44"/>
      <c r="I351" s="44"/>
      <c r="J351" s="44"/>
      <c r="K351" s="44"/>
      <c r="L351" s="44"/>
      <c r="M351" s="44"/>
      <c r="N351" s="44"/>
      <c r="O351" s="44"/>
      <c r="P351" s="521"/>
      <c r="Q351" s="153"/>
      <c r="R351" s="153"/>
      <c r="S351" s="44"/>
      <c r="T351" s="44"/>
      <c r="U351" s="44"/>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c r="AR351" s="44"/>
      <c r="AS351" s="44"/>
      <c r="AT351" s="44"/>
      <c r="AU351" s="44"/>
      <c r="AV351" s="44"/>
      <c r="AW351" s="44"/>
      <c r="AX351" s="44"/>
      <c r="AY351" s="44"/>
      <c r="AZ351" s="44"/>
      <c r="BA351" s="44"/>
      <c r="BB351" s="181"/>
      <c r="BC351" s="103"/>
      <c r="BD351" s="181"/>
      <c r="BE351" s="181"/>
    </row>
    <row r="352" spans="1:57" s="258" customFormat="1" x14ac:dyDescent="0.25">
      <c r="A352" s="115"/>
      <c r="B352" s="116" t="s">
        <v>624</v>
      </c>
      <c r="C352" s="116"/>
      <c r="E352" s="118"/>
      <c r="F352" s="118"/>
      <c r="G352" s="118"/>
      <c r="H352" s="118"/>
      <c r="I352" s="258">
        <f>I349+I295</f>
        <v>736.59704525400002</v>
      </c>
      <c r="J352" s="258">
        <f>J349+J295</f>
        <v>513.788543129</v>
      </c>
      <c r="K352" s="258">
        <f t="shared" ref="K352:Z352" si="228">K349+K295</f>
        <v>661.23068370899989</v>
      </c>
      <c r="L352" s="258">
        <f t="shared" si="228"/>
        <v>711.17976863000001</v>
      </c>
      <c r="M352" s="258">
        <f t="shared" si="228"/>
        <v>543.68658799399998</v>
      </c>
      <c r="N352" s="258">
        <f t="shared" si="228"/>
        <v>688.04459979299997</v>
      </c>
      <c r="O352" s="258">
        <f t="shared" si="228"/>
        <v>448.78390649300002</v>
      </c>
      <c r="P352" s="1818">
        <f t="shared" si="228"/>
        <v>418.35302252000002</v>
      </c>
      <c r="Q352" s="1780">
        <f t="shared" ca="1" si="228"/>
        <v>810.4997443841329</v>
      </c>
      <c r="R352" s="1780">
        <f t="shared" ca="1" si="228"/>
        <v>918.32413183260178</v>
      </c>
      <c r="S352" s="1780">
        <f t="shared" ca="1" si="228"/>
        <v>996.07297670416256</v>
      </c>
      <c r="T352" s="1780">
        <f t="shared" ca="1" si="228"/>
        <v>949.41800988027239</v>
      </c>
      <c r="U352" s="1780">
        <f t="shared" ca="1" si="228"/>
        <v>833.12225630098965</v>
      </c>
      <c r="V352" s="1780">
        <f t="shared" ca="1" si="228"/>
        <v>793.56355063000262</v>
      </c>
      <c r="W352" s="1780">
        <f t="shared" ca="1" si="228"/>
        <v>672.40703395580795</v>
      </c>
      <c r="X352" s="1780">
        <f t="shared" ca="1" si="228"/>
        <v>702.26809178135841</v>
      </c>
      <c r="Y352" s="1780">
        <f t="shared" ca="1" si="228"/>
        <v>695.50938806469276</v>
      </c>
      <c r="Z352" s="1780">
        <f t="shared" ca="1" si="228"/>
        <v>696.23342230044386</v>
      </c>
      <c r="AA352" s="172"/>
      <c r="AB352" s="173"/>
      <c r="AC352" s="173"/>
      <c r="AD352" s="173"/>
      <c r="AE352" s="173"/>
      <c r="AF352" s="173"/>
      <c r="AG352" s="173"/>
      <c r="AH352" s="173"/>
      <c r="AI352" s="173"/>
      <c r="AJ352" s="173"/>
      <c r="AK352" s="173"/>
      <c r="AL352" s="173"/>
      <c r="AM352" s="173"/>
      <c r="AN352" s="173"/>
      <c r="AO352" s="173"/>
      <c r="AP352" s="173"/>
      <c r="AQ352" s="173"/>
      <c r="AR352" s="173"/>
      <c r="AS352" s="173"/>
      <c r="AT352" s="173"/>
      <c r="AU352" s="173"/>
      <c r="AV352" s="173"/>
      <c r="AW352" s="173"/>
      <c r="AX352" s="173"/>
      <c r="AY352" s="173"/>
      <c r="AZ352" s="173"/>
      <c r="BA352" s="173"/>
      <c r="BC352" s="123"/>
    </row>
    <row r="353" spans="1:57" s="281" customFormat="1" x14ac:dyDescent="0.25">
      <c r="A353" s="132"/>
      <c r="B353" s="133" t="s">
        <v>624</v>
      </c>
      <c r="C353" s="133"/>
      <c r="D353" s="445"/>
      <c r="E353" s="166"/>
      <c r="F353" s="166"/>
      <c r="G353" s="166"/>
      <c r="H353" s="166"/>
      <c r="I353" s="167">
        <f>I296+I350</f>
        <v>736.59704525400002</v>
      </c>
      <c r="J353" s="167">
        <f>J296+J350</f>
        <v>513.788543129</v>
      </c>
      <c r="K353" s="167">
        <f t="shared" ref="K353:Z353" si="229">K296+K350</f>
        <v>661.230683709</v>
      </c>
      <c r="L353" s="167">
        <f t="shared" si="229"/>
        <v>711.17976863000001</v>
      </c>
      <c r="M353" s="167">
        <f t="shared" si="229"/>
        <v>543.68658799399998</v>
      </c>
      <c r="N353" s="167">
        <f t="shared" si="229"/>
        <v>688.04459979299997</v>
      </c>
      <c r="O353" s="167">
        <f t="shared" si="229"/>
        <v>448.78390649300002</v>
      </c>
      <c r="P353" s="743">
        <f t="shared" si="229"/>
        <v>418.35302252000002</v>
      </c>
      <c r="Q353" s="168">
        <f t="shared" ca="1" si="229"/>
        <v>810.4997443841329</v>
      </c>
      <c r="R353" s="168">
        <f t="shared" ca="1" si="229"/>
        <v>918.32413183260155</v>
      </c>
      <c r="S353" s="168">
        <f t="shared" ca="1" si="229"/>
        <v>996.07297670416256</v>
      </c>
      <c r="T353" s="168">
        <f t="shared" ca="1" si="229"/>
        <v>949.41800988027239</v>
      </c>
      <c r="U353" s="168">
        <f t="shared" ca="1" si="229"/>
        <v>833.12225630098942</v>
      </c>
      <c r="V353" s="168">
        <f t="shared" ca="1" si="229"/>
        <v>793.56355063000262</v>
      </c>
      <c r="W353" s="168">
        <f t="shared" ca="1" si="229"/>
        <v>672.40703395580795</v>
      </c>
      <c r="X353" s="168">
        <f t="shared" ca="1" si="229"/>
        <v>702.26809178135841</v>
      </c>
      <c r="Y353" s="168">
        <f t="shared" ca="1" si="229"/>
        <v>695.50938806469276</v>
      </c>
      <c r="Z353" s="168">
        <f t="shared" ca="1" si="229"/>
        <v>696.23342230044386</v>
      </c>
      <c r="AA353" s="168"/>
      <c r="AB353" s="169"/>
      <c r="AC353" s="169"/>
      <c r="AD353" s="169"/>
      <c r="AE353" s="169"/>
      <c r="AF353" s="169"/>
      <c r="AG353" s="169"/>
      <c r="AH353" s="169"/>
      <c r="AI353" s="169"/>
      <c r="AJ353" s="169"/>
      <c r="AK353" s="169"/>
      <c r="AL353" s="169"/>
      <c r="AM353" s="169"/>
      <c r="AN353" s="169"/>
      <c r="AO353" s="169"/>
      <c r="AP353" s="169"/>
      <c r="AQ353" s="169"/>
      <c r="AR353" s="169"/>
      <c r="AS353" s="169"/>
      <c r="AT353" s="169"/>
      <c r="AU353" s="169"/>
      <c r="AV353" s="169"/>
      <c r="AW353" s="169"/>
      <c r="AX353" s="169"/>
      <c r="AY353" s="169"/>
      <c r="AZ353" s="169"/>
      <c r="BA353" s="169"/>
      <c r="BB353" s="445"/>
      <c r="BC353" s="140"/>
    </row>
    <row r="354" spans="1:57" s="426" customFormat="1" x14ac:dyDescent="0.25">
      <c r="A354" s="425"/>
      <c r="B354" s="426" t="s">
        <v>468</v>
      </c>
      <c r="D354" s="427"/>
      <c r="E354" s="428"/>
      <c r="F354" s="428"/>
      <c r="G354" s="428"/>
      <c r="H354" s="428"/>
      <c r="I354" s="429">
        <f>IF(ISTEXT('BS Raw'!I11),I353-'BS Raw'!I81/Input!$B$1,"chưa có BCTC")</f>
        <v>0</v>
      </c>
      <c r="J354" s="429">
        <f>IF(ISTEXT('BS Raw'!J11),J353-'BS Raw'!J81/Input!$B$1,"chưa có BCTC")</f>
        <v>0</v>
      </c>
      <c r="K354" s="429">
        <f>IF(ISTEXT('BS Raw'!K11),K353-'BS Raw'!K81/Input!$B$1,"chưa có BCTC")</f>
        <v>0</v>
      </c>
      <c r="L354" s="429">
        <f>IF(ISTEXT('BS Raw'!L11),L353-'BS Raw'!L81/Input!$B$1,"chưa có BCTC")</f>
        <v>0</v>
      </c>
      <c r="M354" s="429">
        <f>IF(ISTEXT('BS Raw'!M11),M353-'BS Raw'!M81/Input!$B$1,"chưa có BCTC")</f>
        <v>0</v>
      </c>
      <c r="N354" s="429">
        <f>IF(ISTEXT('BS Raw'!N11),N353-'BS Raw'!N81/Input!$B$1,"chưa có BCTC")</f>
        <v>0</v>
      </c>
      <c r="O354" s="429">
        <f>IF(ISTEXT('BS Raw'!O11),O353-'BS Raw'!O81/Input!$B$1,"chưa có BCTC")</f>
        <v>0</v>
      </c>
      <c r="P354" s="786">
        <f>IF(ISTEXT('BS Raw'!P11),P353-'BS Raw'!P81/Input!$B$1,"chưa có BCTC")</f>
        <v>0</v>
      </c>
      <c r="Q354" s="429" t="str">
        <f>IF(ISTEXT('BS Raw'!Q11),Q353-'BS Raw'!Q81/Input!$B$1,"chưa có BCTC")</f>
        <v>chưa có BCTC</v>
      </c>
      <c r="R354" s="429" t="str">
        <f>IF(ISTEXT('BS Raw'!R11),R353-'BS Raw'!R81/Input!$B$1,"chưa có BCTC")</f>
        <v>chưa có BCTC</v>
      </c>
      <c r="S354" s="429" t="str">
        <f>IF(ISTEXT('BS Raw'!S11),S353-'BS Raw'!S81/Input!$B$1,"chưa có BCTC")</f>
        <v>chưa có BCTC</v>
      </c>
      <c r="T354" s="429" t="str">
        <f>IF(ISTEXT('BS Raw'!T11),T353-'BS Raw'!T81/Input!$B$1,"chưa có BCTC")</f>
        <v>chưa có BCTC</v>
      </c>
      <c r="U354" s="429" t="str">
        <f>IF(ISTEXT('BS Raw'!U11),U353-'BS Raw'!U81/Input!$B$1,"chưa có BCTC")</f>
        <v>chưa có BCTC</v>
      </c>
      <c r="V354" s="429" t="str">
        <f>IF(ISTEXT('BS Raw'!V11),V353-'BS Raw'!V81/Input!$B$1,"chưa có BCTC")</f>
        <v>chưa có BCTC</v>
      </c>
      <c r="W354" s="429" t="str">
        <f>IF(ISTEXT('BS Raw'!W11),W353-'BS Raw'!W81/Input!$B$1,"chưa có BCTC")</f>
        <v>chưa có BCTC</v>
      </c>
      <c r="X354" s="429" t="str">
        <f>IF(ISTEXT('BS Raw'!X11),X353-'BS Raw'!X81/Input!$B$1,"chưa có BCTC")</f>
        <v>chưa có BCTC</v>
      </c>
      <c r="Y354" s="429" t="str">
        <f>IF(ISTEXT('BS Raw'!Y11),Y353-'BS Raw'!Y81/Input!$B$1,"chưa có BCTC")</f>
        <v>chưa có BCTC</v>
      </c>
      <c r="Z354" s="429" t="str">
        <f>IF(ISTEXT('BS Raw'!Z11),Z353-'BS Raw'!Z81/Input!$B$1,"chưa có BCTC")</f>
        <v>chưa có BCTC</v>
      </c>
      <c r="AA354" s="428"/>
      <c r="AB354" s="428"/>
      <c r="AC354" s="428"/>
      <c r="AD354" s="428"/>
      <c r="AE354" s="428"/>
      <c r="AF354" s="428"/>
      <c r="AG354" s="428"/>
      <c r="AH354" s="428"/>
      <c r="AI354" s="428"/>
      <c r="AJ354" s="428"/>
      <c r="AK354" s="428"/>
      <c r="AL354" s="428"/>
      <c r="AM354" s="428"/>
      <c r="AN354" s="428"/>
      <c r="AO354" s="428"/>
      <c r="AP354" s="428"/>
      <c r="AQ354" s="428"/>
      <c r="AR354" s="428"/>
      <c r="AS354" s="428"/>
      <c r="AT354" s="428"/>
      <c r="AU354" s="428"/>
      <c r="AV354" s="428"/>
      <c r="AW354" s="428"/>
      <c r="AX354" s="428"/>
      <c r="AY354" s="428"/>
      <c r="AZ354" s="428"/>
      <c r="BA354" s="428"/>
      <c r="BB354" s="427"/>
      <c r="BC354" s="430"/>
      <c r="BD354" s="427"/>
      <c r="BE354" s="427"/>
    </row>
    <row r="355" spans="1:57" x14ac:dyDescent="0.25">
      <c r="A355" s="64"/>
      <c r="D355" s="112"/>
      <c r="E355" s="170"/>
      <c r="F355" s="170"/>
      <c r="G355" s="170"/>
      <c r="H355" s="170"/>
      <c r="I355" s="170"/>
      <c r="J355" s="170"/>
      <c r="K355" s="170"/>
      <c r="L355" s="170"/>
      <c r="M355" s="170"/>
      <c r="N355" s="170"/>
      <c r="O355" s="170"/>
      <c r="P355" s="171"/>
      <c r="Q355" s="170"/>
      <c r="R355" s="170"/>
      <c r="S355" s="170"/>
      <c r="T355" s="170"/>
      <c r="U355" s="170"/>
      <c r="V355" s="170"/>
      <c r="W355" s="170"/>
      <c r="X355" s="170"/>
      <c r="Y355" s="170"/>
      <c r="Z355" s="170"/>
      <c r="AA355" s="170"/>
      <c r="AB355" s="170"/>
      <c r="AC355" s="170"/>
      <c r="AD355" s="170"/>
      <c r="AE355" s="170"/>
      <c r="AF355" s="170"/>
      <c r="AG355" s="170"/>
      <c r="AH355" s="170"/>
      <c r="AI355" s="170"/>
      <c r="AJ355" s="170"/>
      <c r="AK355" s="170"/>
      <c r="AL355" s="170"/>
      <c r="AM355" s="170"/>
      <c r="AN355" s="170"/>
      <c r="AO355" s="170"/>
      <c r="AP355" s="170"/>
      <c r="AQ355" s="170"/>
      <c r="AR355" s="170"/>
      <c r="AS355" s="170"/>
      <c r="AT355" s="170"/>
      <c r="AU355" s="170"/>
      <c r="AV355" s="170"/>
      <c r="AW355" s="170"/>
      <c r="AX355" s="170"/>
      <c r="AY355" s="170"/>
      <c r="AZ355" s="170"/>
      <c r="BA355" s="170"/>
      <c r="BB355" s="113"/>
      <c r="BD355" s="112"/>
      <c r="BE355" s="112"/>
    </row>
    <row r="356" spans="1:57" x14ac:dyDescent="0.25">
      <c r="A356" s="64"/>
      <c r="B356" s="356" t="s">
        <v>625</v>
      </c>
      <c r="C356" s="356"/>
      <c r="D356" s="112"/>
      <c r="E356" s="170"/>
      <c r="F356" s="170"/>
      <c r="G356" s="170"/>
      <c r="H356" s="170"/>
      <c r="I356" s="170"/>
      <c r="J356" s="170"/>
      <c r="K356" s="170"/>
      <c r="L356" s="170"/>
      <c r="M356" s="170"/>
      <c r="N356" s="170"/>
      <c r="O356" s="170"/>
      <c r="P356" s="171"/>
      <c r="Q356" s="170"/>
      <c r="R356" s="170"/>
      <c r="S356" s="170"/>
      <c r="T356" s="170"/>
      <c r="U356" s="170"/>
      <c r="V356" s="170"/>
      <c r="W356" s="170"/>
      <c r="X356" s="170"/>
      <c r="Y356" s="170"/>
      <c r="Z356" s="170"/>
      <c r="AA356" s="170"/>
      <c r="AB356" s="170"/>
      <c r="AC356" s="170"/>
      <c r="AD356" s="170"/>
      <c r="AE356" s="170"/>
      <c r="AF356" s="170"/>
      <c r="AG356" s="170"/>
      <c r="AH356" s="170"/>
      <c r="AI356" s="170"/>
      <c r="AJ356" s="170"/>
      <c r="AK356" s="170"/>
      <c r="AL356" s="170"/>
      <c r="AM356" s="170"/>
      <c r="AN356" s="170"/>
      <c r="AO356" s="170"/>
      <c r="AP356" s="170"/>
      <c r="AQ356" s="170"/>
      <c r="AR356" s="170"/>
      <c r="AS356" s="170"/>
      <c r="AT356" s="170"/>
      <c r="AU356" s="170"/>
      <c r="AV356" s="170"/>
      <c r="AW356" s="170"/>
      <c r="AX356" s="170"/>
      <c r="AY356" s="170"/>
      <c r="AZ356" s="170"/>
      <c r="BA356" s="170"/>
      <c r="BB356" s="113"/>
      <c r="BD356" s="112"/>
      <c r="BE356" s="112"/>
    </row>
    <row r="357" spans="1:57" x14ac:dyDescent="0.25">
      <c r="A357" s="64">
        <v>24</v>
      </c>
      <c r="B357" s="29" t="s">
        <v>626</v>
      </c>
      <c r="D357" s="112"/>
      <c r="E357" s="157"/>
      <c r="F357" s="157"/>
      <c r="G357" s="157"/>
      <c r="H357" s="157"/>
      <c r="I357" s="158">
        <f>'BS Raw'!I130/Input!$B$1</f>
        <v>13.365182869</v>
      </c>
      <c r="J357" s="158">
        <f>'BS Raw'!J130/Input!$B$1</f>
        <v>0</v>
      </c>
      <c r="K357" s="158">
        <f>'BS Raw'!K130/Input!$B$1</f>
        <v>0</v>
      </c>
      <c r="L357" s="158">
        <f>'BS Raw'!L130/Input!$B$1</f>
        <v>0</v>
      </c>
      <c r="M357" s="158">
        <f>'BS Raw'!M130/Input!$B$1</f>
        <v>0</v>
      </c>
      <c r="N357" s="158">
        <f>'BS Raw'!N130/Input!$B$1</f>
        <v>0</v>
      </c>
      <c r="O357" s="158">
        <f>'BS Raw'!O130/Input!$B$1</f>
        <v>0</v>
      </c>
      <c r="P357" s="1783">
        <f>'BS Raw'!P130/Input!$B$1</f>
        <v>0</v>
      </c>
      <c r="Q357" s="120">
        <f ca="1">+P357+Q358</f>
        <v>0</v>
      </c>
      <c r="R357" s="120">
        <f t="shared" ref="R357:Z357" ca="1" si="230">+Q357+R358</f>
        <v>0</v>
      </c>
      <c r="S357" s="120">
        <f t="shared" ca="1" si="230"/>
        <v>0</v>
      </c>
      <c r="T357" s="120">
        <f t="shared" ca="1" si="230"/>
        <v>0</v>
      </c>
      <c r="U357" s="120">
        <f t="shared" ca="1" si="230"/>
        <v>0</v>
      </c>
      <c r="V357" s="120">
        <f t="shared" ca="1" si="230"/>
        <v>0</v>
      </c>
      <c r="W357" s="120">
        <f t="shared" ca="1" si="230"/>
        <v>0</v>
      </c>
      <c r="X357" s="120">
        <f t="shared" ca="1" si="230"/>
        <v>0</v>
      </c>
      <c r="Y357" s="120">
        <f t="shared" ca="1" si="230"/>
        <v>0</v>
      </c>
      <c r="Z357" s="120">
        <f t="shared" ca="1" si="230"/>
        <v>0</v>
      </c>
      <c r="AA357" s="120"/>
      <c r="AB357" s="121"/>
      <c r="AC357" s="121"/>
      <c r="AD357" s="121"/>
      <c r="AE357" s="121"/>
      <c r="AF357" s="121"/>
      <c r="AG357" s="121"/>
      <c r="AH357" s="121"/>
      <c r="AI357" s="121"/>
      <c r="AJ357" s="121"/>
      <c r="AK357" s="121"/>
      <c r="AL357" s="121"/>
      <c r="AM357" s="121"/>
      <c r="AN357" s="121"/>
      <c r="AO357" s="121"/>
      <c r="AP357" s="121"/>
      <c r="AQ357" s="121"/>
      <c r="AR357" s="121"/>
      <c r="AS357" s="121"/>
      <c r="AT357" s="121"/>
      <c r="AU357" s="121"/>
      <c r="AV357" s="121"/>
      <c r="AW357" s="121"/>
      <c r="AX357" s="121"/>
      <c r="AY357" s="121"/>
      <c r="AZ357" s="121"/>
      <c r="BA357" s="121"/>
      <c r="BB357" s="230"/>
      <c r="BC357" s="123"/>
      <c r="BD357" s="112"/>
      <c r="BE357" s="112"/>
    </row>
    <row r="358" spans="1:57" x14ac:dyDescent="0.25">
      <c r="A358" s="64"/>
      <c r="B358" s="147" t="s">
        <v>627</v>
      </c>
      <c r="C358" s="147"/>
      <c r="D358" s="112"/>
      <c r="E358" s="170"/>
      <c r="F358" s="170"/>
      <c r="G358" s="170"/>
      <c r="H358" s="170"/>
      <c r="I358" s="170"/>
      <c r="J358" s="170"/>
      <c r="K358" s="170"/>
      <c r="L358" s="170"/>
      <c r="M358" s="170"/>
      <c r="N358" s="170"/>
      <c r="O358" s="170"/>
      <c r="P358" s="171"/>
      <c r="Q358" s="228">
        <f ca="1">+Q98</f>
        <v>0</v>
      </c>
      <c r="R358" s="228">
        <f t="shared" ref="R358:Z358" ca="1" si="231">+R98</f>
        <v>0</v>
      </c>
      <c r="S358" s="228">
        <f t="shared" ca="1" si="231"/>
        <v>0</v>
      </c>
      <c r="T358" s="228">
        <f t="shared" ca="1" si="231"/>
        <v>0</v>
      </c>
      <c r="U358" s="228">
        <f t="shared" ca="1" si="231"/>
        <v>0</v>
      </c>
      <c r="V358" s="228">
        <f t="shared" ca="1" si="231"/>
        <v>0</v>
      </c>
      <c r="W358" s="228">
        <f t="shared" ca="1" si="231"/>
        <v>0</v>
      </c>
      <c r="X358" s="228">
        <f t="shared" ca="1" si="231"/>
        <v>0</v>
      </c>
      <c r="Y358" s="228">
        <f t="shared" ca="1" si="231"/>
        <v>0</v>
      </c>
      <c r="Z358" s="228">
        <f t="shared" ca="1" si="231"/>
        <v>0</v>
      </c>
      <c r="AA358" s="228"/>
      <c r="AB358" s="224"/>
      <c r="AC358" s="224"/>
      <c r="AD358" s="224"/>
      <c r="AE358" s="224"/>
      <c r="AF358" s="224"/>
      <c r="AG358" s="224"/>
      <c r="AH358" s="224"/>
      <c r="AI358" s="224"/>
      <c r="AJ358" s="224"/>
      <c r="AK358" s="224"/>
      <c r="AL358" s="224"/>
      <c r="AM358" s="224"/>
      <c r="AN358" s="224"/>
      <c r="AO358" s="224"/>
      <c r="AP358" s="224"/>
      <c r="AQ358" s="224"/>
      <c r="AR358" s="224"/>
      <c r="AS358" s="224"/>
      <c r="AT358" s="224"/>
      <c r="AU358" s="224"/>
      <c r="AV358" s="224"/>
      <c r="AW358" s="224"/>
      <c r="AX358" s="224"/>
      <c r="AY358" s="224"/>
      <c r="AZ358" s="224"/>
      <c r="BA358" s="224"/>
      <c r="BB358" s="113"/>
      <c r="BD358" s="112"/>
      <c r="BE358" s="112"/>
    </row>
    <row r="359" spans="1:57" s="117" customFormat="1" x14ac:dyDescent="0.25">
      <c r="A359" s="132"/>
      <c r="B359" s="133" t="s">
        <v>628</v>
      </c>
      <c r="C359" s="133"/>
      <c r="D359" s="134"/>
      <c r="E359" s="135"/>
      <c r="F359" s="135"/>
      <c r="G359" s="135"/>
      <c r="H359" s="135"/>
      <c r="I359" s="136">
        <f>IF(ISTEXT('BS Raw'!I11),'BS Raw'!I130/Input!$B$1,Input!I357)</f>
        <v>13.365182869</v>
      </c>
      <c r="J359" s="136">
        <f>IF(ISTEXT('BS Raw'!J11),'BS Raw'!J130/Input!$B$1,Input!J357)</f>
        <v>0</v>
      </c>
      <c r="K359" s="136">
        <f>IF(ISTEXT('BS Raw'!K11),'BS Raw'!K130/Input!$B$1,Input!K357)</f>
        <v>0</v>
      </c>
      <c r="L359" s="136">
        <f>IF(ISTEXT('BS Raw'!L11),'BS Raw'!L130/Input!$B$1,Input!L357)</f>
        <v>0</v>
      </c>
      <c r="M359" s="136">
        <f>IF(ISTEXT('BS Raw'!M11),'BS Raw'!M130/Input!$B$1,Input!M357)</f>
        <v>0</v>
      </c>
      <c r="N359" s="136">
        <f>IF(ISTEXT('BS Raw'!N11),'BS Raw'!N130/Input!$B$1,Input!N357)</f>
        <v>0</v>
      </c>
      <c r="O359" s="136">
        <f>IF(ISTEXT('BS Raw'!O11),'BS Raw'!O130/Input!$B$1,Input!O357)</f>
        <v>0</v>
      </c>
      <c r="P359" s="1782">
        <f>IF(ISTEXT('BS Raw'!P11),'BS Raw'!P130/Input!$B$1,Input!P357)</f>
        <v>0</v>
      </c>
      <c r="Q359" s="137">
        <f ca="1">IF(ISTEXT('BS Raw'!Q11),'BS Raw'!Q130/Input!$B$1,Input!Q357)</f>
        <v>0</v>
      </c>
      <c r="R359" s="137">
        <f ca="1">IF(ISTEXT('BS Raw'!R11),'BS Raw'!R130/Input!$B$1,Input!R357)</f>
        <v>0</v>
      </c>
      <c r="S359" s="137">
        <f ca="1">IF(ISTEXT('BS Raw'!S11),'BS Raw'!S130/Input!$B$1,Input!S357)</f>
        <v>0</v>
      </c>
      <c r="T359" s="137">
        <f ca="1">IF(ISTEXT('BS Raw'!T11),'BS Raw'!T130/Input!$B$1,Input!T357)</f>
        <v>0</v>
      </c>
      <c r="U359" s="137">
        <f ca="1">IF(ISTEXT('BS Raw'!U11),'BS Raw'!U130/Input!$B$1,Input!U357)</f>
        <v>0</v>
      </c>
      <c r="V359" s="137">
        <f ca="1">IF(ISTEXT('BS Raw'!V11),'BS Raw'!V130/Input!$B$1,Input!V357)</f>
        <v>0</v>
      </c>
      <c r="W359" s="137">
        <f ca="1">IF(ISTEXT('BS Raw'!W11),'BS Raw'!W130/Input!$B$1,Input!W357)</f>
        <v>0</v>
      </c>
      <c r="X359" s="137">
        <f ca="1">IF(ISTEXT('BS Raw'!X11),'BS Raw'!X130/Input!$B$1,Input!X357)</f>
        <v>0</v>
      </c>
      <c r="Y359" s="137">
        <f ca="1">IF(ISTEXT('BS Raw'!Y11),'BS Raw'!Y130/Input!$B$1,Input!Y357)</f>
        <v>0</v>
      </c>
      <c r="Z359" s="137">
        <f ca="1">IF(ISTEXT('BS Raw'!Z11),'BS Raw'!Z130/Input!$B$1,Input!Z357)</f>
        <v>0</v>
      </c>
      <c r="AA359" s="137"/>
      <c r="AB359" s="138"/>
      <c r="AC359" s="138"/>
      <c r="AD359" s="138"/>
      <c r="AE359" s="138"/>
      <c r="AF359" s="138"/>
      <c r="AG359" s="138"/>
      <c r="AH359" s="138"/>
      <c r="AI359" s="138"/>
      <c r="AJ359" s="138"/>
      <c r="AK359" s="138"/>
      <c r="AL359" s="138"/>
      <c r="AM359" s="138"/>
      <c r="AN359" s="138"/>
      <c r="AO359" s="138"/>
      <c r="AP359" s="138"/>
      <c r="AQ359" s="138"/>
      <c r="AR359" s="138"/>
      <c r="AS359" s="138"/>
      <c r="AT359" s="138"/>
      <c r="AU359" s="138"/>
      <c r="AV359" s="138"/>
      <c r="AW359" s="138"/>
      <c r="AX359" s="138"/>
      <c r="AY359" s="138"/>
      <c r="AZ359" s="138"/>
      <c r="BA359" s="138"/>
      <c r="BB359" s="139"/>
      <c r="BC359" s="140"/>
    </row>
    <row r="360" spans="1:57" x14ac:dyDescent="0.25">
      <c r="A360" s="64"/>
      <c r="D360" s="112"/>
      <c r="E360" s="170"/>
      <c r="F360" s="170"/>
      <c r="G360" s="170"/>
      <c r="H360" s="170"/>
      <c r="I360" s="170"/>
      <c r="J360" s="170"/>
      <c r="K360" s="170"/>
      <c r="L360" s="170"/>
      <c r="M360" s="170"/>
      <c r="N360" s="170"/>
      <c r="O360" s="170"/>
      <c r="P360" s="171"/>
      <c r="Q360" s="170"/>
      <c r="R360" s="170"/>
      <c r="S360" s="170"/>
      <c r="T360" s="170"/>
      <c r="U360" s="170"/>
      <c r="V360" s="170"/>
      <c r="W360" s="170"/>
      <c r="X360" s="170"/>
      <c r="Y360" s="170"/>
      <c r="Z360" s="170"/>
      <c r="AA360" s="170"/>
      <c r="AB360" s="170"/>
      <c r="AC360" s="170"/>
      <c r="AD360" s="170"/>
      <c r="AE360" s="170"/>
      <c r="AF360" s="170"/>
      <c r="AG360" s="170"/>
      <c r="AH360" s="170"/>
      <c r="AI360" s="170"/>
      <c r="AJ360" s="170"/>
      <c r="AK360" s="170"/>
      <c r="AL360" s="170"/>
      <c r="AM360" s="170"/>
      <c r="AN360" s="170"/>
      <c r="AO360" s="170"/>
      <c r="AP360" s="170"/>
      <c r="AQ360" s="170"/>
      <c r="AR360" s="170"/>
      <c r="AS360" s="170"/>
      <c r="AT360" s="170"/>
      <c r="AU360" s="170"/>
      <c r="AV360" s="170"/>
      <c r="AW360" s="170"/>
      <c r="AX360" s="170"/>
      <c r="AY360" s="170"/>
      <c r="AZ360" s="170"/>
      <c r="BA360" s="170"/>
      <c r="BB360" s="113"/>
      <c r="BD360" s="112"/>
      <c r="BE360" s="112"/>
    </row>
    <row r="361" spans="1:57" x14ac:dyDescent="0.25">
      <c r="A361" s="64"/>
      <c r="B361" s="356" t="s">
        <v>629</v>
      </c>
      <c r="C361" s="356"/>
      <c r="D361" s="112"/>
      <c r="E361" s="170"/>
      <c r="F361" s="170"/>
      <c r="G361" s="170"/>
      <c r="H361" s="170"/>
      <c r="I361" s="170"/>
      <c r="J361" s="170"/>
      <c r="K361" s="170"/>
      <c r="L361" s="170"/>
      <c r="M361" s="170"/>
      <c r="N361" s="170"/>
      <c r="O361" s="170"/>
      <c r="P361" s="171"/>
      <c r="Q361" s="170"/>
      <c r="R361" s="170"/>
      <c r="S361" s="170"/>
      <c r="T361" s="170"/>
      <c r="U361" s="170"/>
      <c r="V361" s="170"/>
      <c r="W361" s="170"/>
      <c r="X361" s="170"/>
      <c r="Y361" s="170"/>
      <c r="Z361" s="170"/>
      <c r="AA361" s="170"/>
      <c r="AB361" s="170"/>
      <c r="AC361" s="170"/>
      <c r="AD361" s="170"/>
      <c r="AE361" s="170"/>
      <c r="AF361" s="170"/>
      <c r="AG361" s="170"/>
      <c r="AH361" s="170"/>
      <c r="AI361" s="170"/>
      <c r="AJ361" s="170"/>
      <c r="AK361" s="170"/>
      <c r="AL361" s="170"/>
      <c r="AM361" s="170"/>
      <c r="AN361" s="170"/>
      <c r="AO361" s="170"/>
      <c r="AP361" s="170"/>
      <c r="AQ361" s="170"/>
      <c r="AR361" s="170"/>
      <c r="AS361" s="170"/>
      <c r="AT361" s="170"/>
      <c r="AU361" s="170"/>
      <c r="AV361" s="170"/>
      <c r="AW361" s="170"/>
      <c r="AX361" s="170"/>
      <c r="AY361" s="170"/>
      <c r="AZ361" s="170"/>
      <c r="BA361" s="170"/>
      <c r="BB361" s="113"/>
      <c r="BD361" s="112"/>
      <c r="BE361" s="112"/>
    </row>
    <row r="362" spans="1:57" x14ac:dyDescent="0.25">
      <c r="A362" s="64">
        <v>25</v>
      </c>
      <c r="B362" s="29" t="s">
        <v>630</v>
      </c>
      <c r="D362" s="112"/>
      <c r="E362" s="157"/>
      <c r="F362" s="157"/>
      <c r="G362" s="157"/>
      <c r="H362" s="157"/>
      <c r="I362" s="158">
        <f>'BS Raw'!I107/Input!$B$1</f>
        <v>0</v>
      </c>
      <c r="J362" s="158">
        <f>'BS Raw'!J107/Input!$B$1</f>
        <v>0</v>
      </c>
      <c r="K362" s="158">
        <f>'BS Raw'!K107/Input!$B$1</f>
        <v>0</v>
      </c>
      <c r="L362" s="158">
        <f>'BS Raw'!L107/Input!$B$1</f>
        <v>0</v>
      </c>
      <c r="M362" s="158">
        <f>'BS Raw'!M107/Input!$B$1</f>
        <v>0</v>
      </c>
      <c r="N362" s="158">
        <f>'BS Raw'!N107/Input!$B$1</f>
        <v>0</v>
      </c>
      <c r="O362" s="158">
        <f>'BS Raw'!O107/Input!$B$1</f>
        <v>0</v>
      </c>
      <c r="P362" s="1783">
        <f>'BS Raw'!P107/Input!$B$1</f>
        <v>0</v>
      </c>
      <c r="Q362" s="120">
        <f>+P362+Q365</f>
        <v>0</v>
      </c>
      <c r="R362" s="120">
        <f t="shared" ref="R362:AA362" si="232">+Q362+R365</f>
        <v>0</v>
      </c>
      <c r="S362" s="120">
        <f t="shared" si="232"/>
        <v>0</v>
      </c>
      <c r="T362" s="120">
        <f t="shared" si="232"/>
        <v>0</v>
      </c>
      <c r="U362" s="120">
        <f t="shared" si="232"/>
        <v>0</v>
      </c>
      <c r="V362" s="120">
        <f t="shared" si="232"/>
        <v>0</v>
      </c>
      <c r="W362" s="120">
        <f t="shared" si="232"/>
        <v>0</v>
      </c>
      <c r="X362" s="120">
        <f t="shared" si="232"/>
        <v>0</v>
      </c>
      <c r="Y362" s="120">
        <f t="shared" si="232"/>
        <v>0</v>
      </c>
      <c r="Z362" s="120">
        <f t="shared" si="232"/>
        <v>0</v>
      </c>
      <c r="AA362" s="120">
        <f t="shared" si="232"/>
        <v>0</v>
      </c>
      <c r="AB362" s="121"/>
      <c r="AC362" s="121"/>
      <c r="AD362" s="121"/>
      <c r="AE362" s="121"/>
      <c r="AF362" s="121"/>
      <c r="AG362" s="121"/>
      <c r="AH362" s="121"/>
      <c r="AI362" s="121"/>
      <c r="AJ362" s="121"/>
      <c r="AK362" s="121"/>
      <c r="AL362" s="121"/>
      <c r="AM362" s="121"/>
      <c r="AN362" s="121"/>
      <c r="AO362" s="121"/>
      <c r="AP362" s="121"/>
      <c r="AQ362" s="121"/>
      <c r="AR362" s="121"/>
      <c r="AS362" s="121"/>
      <c r="AT362" s="121"/>
      <c r="AU362" s="121"/>
      <c r="AV362" s="121"/>
      <c r="AW362" s="121"/>
      <c r="AX362" s="121"/>
      <c r="AY362" s="121"/>
      <c r="AZ362" s="121"/>
      <c r="BA362" s="121"/>
      <c r="BB362" s="230"/>
      <c r="BC362" s="123"/>
      <c r="BD362" s="112"/>
      <c r="BE362" s="112"/>
    </row>
    <row r="363" spans="1:57" s="180" customFormat="1" x14ac:dyDescent="0.25">
      <c r="A363" s="189"/>
      <c r="B363" s="175" t="s">
        <v>631</v>
      </c>
      <c r="C363" s="175"/>
      <c r="E363" s="198"/>
      <c r="F363" s="198"/>
      <c r="G363" s="198"/>
      <c r="H363" s="198"/>
      <c r="I363" s="198"/>
      <c r="J363" s="198"/>
      <c r="K363" s="198"/>
      <c r="L363" s="198"/>
      <c r="M363" s="198"/>
      <c r="N363" s="198"/>
      <c r="O363" s="198"/>
      <c r="P363" s="381"/>
      <c r="Q363" s="261"/>
      <c r="R363" s="261"/>
      <c r="S363" s="261"/>
      <c r="T363" s="261"/>
      <c r="U363" s="261"/>
      <c r="V363" s="261"/>
      <c r="W363" s="261"/>
      <c r="X363" s="261"/>
      <c r="Y363" s="261"/>
      <c r="Z363" s="261"/>
      <c r="AA363" s="261"/>
      <c r="AB363" s="261"/>
      <c r="AC363" s="261"/>
      <c r="AD363" s="261"/>
      <c r="AE363" s="261"/>
      <c r="AF363" s="261"/>
      <c r="AG363" s="261"/>
      <c r="AH363" s="261"/>
      <c r="AI363" s="261"/>
      <c r="AJ363" s="261"/>
      <c r="AK363" s="261"/>
      <c r="AL363" s="261"/>
      <c r="AM363" s="261"/>
      <c r="AN363" s="261"/>
      <c r="AO363" s="261"/>
      <c r="AP363" s="261"/>
      <c r="AQ363" s="261"/>
      <c r="AR363" s="261"/>
      <c r="AS363" s="261"/>
      <c r="AT363" s="261"/>
      <c r="AU363" s="261"/>
      <c r="AV363" s="261"/>
      <c r="AW363" s="261"/>
      <c r="AX363" s="261"/>
      <c r="AY363" s="261"/>
      <c r="AZ363" s="261"/>
      <c r="BA363" s="261"/>
      <c r="BB363" s="198"/>
      <c r="BC363" s="146"/>
    </row>
    <row r="364" spans="1:57" x14ac:dyDescent="0.25">
      <c r="A364" s="64"/>
      <c r="B364" s="147" t="s">
        <v>489</v>
      </c>
      <c r="C364" s="147"/>
      <c r="D364" s="112"/>
      <c r="E364" s="170"/>
      <c r="F364" s="170"/>
      <c r="G364" s="170"/>
      <c r="H364" s="170"/>
      <c r="I364" s="170"/>
      <c r="J364" s="170"/>
      <c r="K364" s="170"/>
      <c r="L364" s="170"/>
      <c r="M364" s="170"/>
      <c r="N364" s="170"/>
      <c r="O364" s="170"/>
      <c r="P364" s="171"/>
      <c r="Q364" s="224"/>
      <c r="R364" s="224"/>
      <c r="S364" s="224"/>
      <c r="T364" s="224"/>
      <c r="U364" s="224"/>
      <c r="V364" s="224"/>
      <c r="W364" s="224"/>
      <c r="X364" s="224"/>
      <c r="Y364" s="224"/>
      <c r="Z364" s="224"/>
      <c r="AA364" s="224"/>
      <c r="AB364" s="224"/>
      <c r="AC364" s="224"/>
      <c r="AD364" s="224"/>
      <c r="AE364" s="224"/>
      <c r="AF364" s="224"/>
      <c r="AG364" s="224"/>
      <c r="AH364" s="224"/>
      <c r="AI364" s="224"/>
      <c r="AJ364" s="224"/>
      <c r="AK364" s="224"/>
      <c r="AL364" s="224"/>
      <c r="AM364" s="224"/>
      <c r="AN364" s="224"/>
      <c r="AO364" s="224"/>
      <c r="AP364" s="224"/>
      <c r="AQ364" s="224"/>
      <c r="AR364" s="224"/>
      <c r="AS364" s="224"/>
      <c r="AT364" s="224"/>
      <c r="AU364" s="224"/>
      <c r="AV364" s="224"/>
      <c r="AW364" s="224"/>
      <c r="AX364" s="224"/>
      <c r="AY364" s="224"/>
      <c r="AZ364" s="224"/>
      <c r="BA364" s="224"/>
      <c r="BB364" s="113"/>
      <c r="BC364" s="123"/>
      <c r="BD364" s="112"/>
      <c r="BE364" s="112"/>
    </row>
    <row r="365" spans="1:57" x14ac:dyDescent="0.25">
      <c r="A365" s="64"/>
      <c r="B365" s="147" t="s">
        <v>632</v>
      </c>
      <c r="C365" s="147"/>
      <c r="D365" s="112"/>
      <c r="E365" s="170"/>
      <c r="F365" s="170"/>
      <c r="G365" s="170"/>
      <c r="H365" s="170"/>
      <c r="I365" s="170"/>
      <c r="J365" s="170"/>
      <c r="K365" s="170"/>
      <c r="L365" s="170"/>
      <c r="M365" s="512"/>
      <c r="N365" s="170"/>
      <c r="O365" s="170"/>
      <c r="P365" s="171"/>
      <c r="Q365" s="222"/>
      <c r="R365" s="222"/>
      <c r="S365" s="222"/>
      <c r="T365" s="222"/>
      <c r="U365" s="222"/>
      <c r="V365" s="222"/>
      <c r="W365" s="222"/>
      <c r="X365" s="222"/>
      <c r="Y365" s="222"/>
      <c r="Z365" s="222"/>
      <c r="AA365" s="222"/>
      <c r="AB365" s="222"/>
      <c r="AC365" s="222"/>
      <c r="AD365" s="222"/>
      <c r="AE365" s="222"/>
      <c r="AF365" s="222"/>
      <c r="AG365" s="222"/>
      <c r="AH365" s="222"/>
      <c r="AI365" s="222"/>
      <c r="AJ365" s="222"/>
      <c r="AK365" s="222"/>
      <c r="AL365" s="222"/>
      <c r="AM365" s="222"/>
      <c r="AN365" s="222"/>
      <c r="AO365" s="222"/>
      <c r="AP365" s="222"/>
      <c r="AQ365" s="222"/>
      <c r="AR365" s="222"/>
      <c r="AS365" s="222"/>
      <c r="AT365" s="222"/>
      <c r="AU365" s="222"/>
      <c r="AV365" s="222"/>
      <c r="AW365" s="222"/>
      <c r="AX365" s="222"/>
      <c r="AY365" s="222"/>
      <c r="AZ365" s="222"/>
      <c r="BA365" s="222"/>
      <c r="BB365" s="113"/>
      <c r="BC365" s="123"/>
      <c r="BD365" s="112"/>
      <c r="BE365" s="112"/>
    </row>
    <row r="366" spans="1:57" s="117" customFormat="1" x14ac:dyDescent="0.25">
      <c r="A366" s="132"/>
      <c r="B366" s="133" t="s">
        <v>633</v>
      </c>
      <c r="C366" s="133"/>
      <c r="D366" s="134"/>
      <c r="E366" s="135"/>
      <c r="F366" s="135"/>
      <c r="G366" s="135"/>
      <c r="H366" s="135"/>
      <c r="I366" s="136">
        <f>IF(ISTEXT('BS Raw'!I11),'BS Raw'!I107/Input!$B$1,Input!I362)</f>
        <v>0</v>
      </c>
      <c r="J366" s="136">
        <f>IF(ISTEXT('BS Raw'!J11),'BS Raw'!J107/Input!$B$1,Input!J362)</f>
        <v>0</v>
      </c>
      <c r="K366" s="136">
        <f>IF(ISTEXT('BS Raw'!K11),'BS Raw'!K107/Input!$B$1,Input!K362)</f>
        <v>0</v>
      </c>
      <c r="L366" s="136">
        <f>IF(ISTEXT('BS Raw'!L11),'BS Raw'!L107/Input!$B$1,Input!L362)</f>
        <v>0</v>
      </c>
      <c r="M366" s="136">
        <f>IF(ISTEXT('BS Raw'!M11),'BS Raw'!M107/Input!$B$1,Input!M362)</f>
        <v>0</v>
      </c>
      <c r="N366" s="136">
        <f>IF(ISTEXT('BS Raw'!N11),'BS Raw'!N107/Input!$B$1,Input!N362)</f>
        <v>0</v>
      </c>
      <c r="O366" s="136">
        <f>IF(ISTEXT('BS Raw'!O11),'BS Raw'!O107/Input!$B$1,Input!O362)</f>
        <v>0</v>
      </c>
      <c r="P366" s="1782">
        <f>IF(ISTEXT('BS Raw'!P11),'BS Raw'!P107/Input!$B$1,Input!P362)</f>
        <v>0</v>
      </c>
      <c r="Q366" s="137">
        <f>IF(ISTEXT('BS Raw'!Q11),'BS Raw'!Q107/Input!$B$1,Input!Q362)</f>
        <v>0</v>
      </c>
      <c r="R366" s="137">
        <f>IF(ISTEXT('BS Raw'!R11),'BS Raw'!R107/Input!$B$1,Input!R362)</f>
        <v>0</v>
      </c>
      <c r="S366" s="137">
        <f>IF(ISTEXT('BS Raw'!S11),'BS Raw'!S107/Input!$B$1,Input!S362)</f>
        <v>0</v>
      </c>
      <c r="T366" s="137">
        <f>IF(ISTEXT('BS Raw'!T11),'BS Raw'!T107/Input!$B$1,Input!T362)</f>
        <v>0</v>
      </c>
      <c r="U366" s="137">
        <f>IF(ISTEXT('BS Raw'!U11),'BS Raw'!U107/Input!$B$1,Input!U362)</f>
        <v>0</v>
      </c>
      <c r="V366" s="137">
        <f>IF(ISTEXT('BS Raw'!V11),'BS Raw'!V107/Input!$B$1,Input!V362)</f>
        <v>0</v>
      </c>
      <c r="W366" s="137">
        <f>IF(ISTEXT('BS Raw'!W11),'BS Raw'!W107/Input!$B$1,Input!W362)</f>
        <v>0</v>
      </c>
      <c r="X366" s="137">
        <f>IF(ISTEXT('BS Raw'!X11),'BS Raw'!X107/Input!$B$1,Input!X362)</f>
        <v>0</v>
      </c>
      <c r="Y366" s="137">
        <f>IF(ISTEXT('BS Raw'!Y11),'BS Raw'!Y107/Input!$B$1,Input!Y362)</f>
        <v>0</v>
      </c>
      <c r="Z366" s="137">
        <f>IF(ISTEXT('BS Raw'!Z11),'BS Raw'!Z107/Input!$B$1,Input!Z362)</f>
        <v>0</v>
      </c>
      <c r="AA366" s="137"/>
      <c r="AB366" s="138"/>
      <c r="AC366" s="138"/>
      <c r="AD366" s="138"/>
      <c r="AE366" s="138"/>
      <c r="AF366" s="138"/>
      <c r="AG366" s="138"/>
      <c r="AH366" s="138"/>
      <c r="AI366" s="138"/>
      <c r="AJ366" s="138"/>
      <c r="AK366" s="138"/>
      <c r="AL366" s="138"/>
      <c r="AM366" s="138"/>
      <c r="AN366" s="138"/>
      <c r="AO366" s="138"/>
      <c r="AP366" s="138"/>
      <c r="AQ366" s="138"/>
      <c r="AR366" s="138"/>
      <c r="AS366" s="138"/>
      <c r="AT366" s="138"/>
      <c r="AU366" s="138"/>
      <c r="AV366" s="138"/>
      <c r="AW366" s="138"/>
      <c r="AX366" s="138"/>
      <c r="AY366" s="138"/>
      <c r="AZ366" s="138"/>
      <c r="BA366" s="138"/>
      <c r="BB366" s="139"/>
      <c r="BC366" s="140"/>
    </row>
    <row r="367" spans="1:57" x14ac:dyDescent="0.25">
      <c r="E367" s="170"/>
      <c r="F367" s="170"/>
      <c r="G367" s="170"/>
      <c r="H367" s="170"/>
      <c r="I367" s="170"/>
      <c r="J367" s="170"/>
      <c r="K367" s="170"/>
      <c r="L367" s="170"/>
      <c r="M367" s="170"/>
      <c r="N367" s="170"/>
      <c r="O367" s="170"/>
      <c r="P367" s="171"/>
      <c r="Q367" s="170"/>
      <c r="R367" s="170"/>
      <c r="S367" s="170"/>
      <c r="T367" s="170"/>
      <c r="U367" s="170"/>
      <c r="V367" s="170"/>
      <c r="W367" s="170"/>
      <c r="X367" s="170"/>
      <c r="Y367" s="170"/>
      <c r="Z367" s="170"/>
      <c r="AA367" s="170"/>
      <c r="AB367" s="170"/>
      <c r="AC367" s="170"/>
      <c r="AD367" s="170"/>
      <c r="AE367" s="170"/>
      <c r="AF367" s="170"/>
      <c r="AG367" s="170"/>
      <c r="AH367" s="170"/>
      <c r="AI367" s="170"/>
      <c r="AJ367" s="170"/>
      <c r="AK367" s="170"/>
      <c r="AL367" s="170"/>
      <c r="AM367" s="170"/>
      <c r="AN367" s="170"/>
      <c r="AO367" s="170"/>
      <c r="AP367" s="170"/>
      <c r="AQ367" s="170"/>
      <c r="AR367" s="170"/>
      <c r="AS367" s="170"/>
      <c r="AT367" s="170"/>
      <c r="AU367" s="170"/>
      <c r="AV367" s="170"/>
      <c r="AW367" s="170"/>
      <c r="AX367" s="170"/>
      <c r="AY367" s="170"/>
      <c r="AZ367" s="170"/>
      <c r="BA367" s="170"/>
    </row>
    <row r="368" spans="1:57" s="258" customFormat="1" x14ac:dyDescent="0.25">
      <c r="A368" s="115">
        <v>26</v>
      </c>
      <c r="B368" s="116" t="s">
        <v>634</v>
      </c>
      <c r="C368" s="116"/>
      <c r="E368" s="118"/>
      <c r="F368" s="118"/>
      <c r="G368" s="118"/>
      <c r="H368" s="118"/>
      <c r="I368" s="119">
        <f>'BS Raw'!I114/Input!$B$1</f>
        <v>120.00646</v>
      </c>
      <c r="J368" s="119">
        <f>'BS Raw'!J114/Input!$B$1</f>
        <v>419.18279000000001</v>
      </c>
      <c r="K368" s="119">
        <f>'BS Raw'!K114/Input!$B$1</f>
        <v>523.79</v>
      </c>
      <c r="L368" s="119">
        <f>'BS Raw'!L114/Input!$B$1</f>
        <v>523.79</v>
      </c>
      <c r="M368" s="119">
        <f>'BS Raw'!M114/Input!$B$1</f>
        <v>523.79</v>
      </c>
      <c r="N368" s="119">
        <f>'BS Raw'!N114/Input!$B$1</f>
        <v>523.79</v>
      </c>
      <c r="O368" s="119">
        <f>'BS Raw'!O114/Input!$B$1</f>
        <v>523.79</v>
      </c>
      <c r="P368" s="671">
        <f>'BS Raw'!P114/Input!$B$1</f>
        <v>576.12444000000005</v>
      </c>
      <c r="Q368" s="120">
        <f>+P368+Q369</f>
        <v>576.12444000000005</v>
      </c>
      <c r="R368" s="120">
        <f t="shared" ref="R368:Z368" si="233">+Q368+R369</f>
        <v>576.12444000000005</v>
      </c>
      <c r="S368" s="120">
        <f t="shared" si="233"/>
        <v>576.12444000000005</v>
      </c>
      <c r="T368" s="120">
        <f t="shared" si="233"/>
        <v>576.12444000000005</v>
      </c>
      <c r="U368" s="120">
        <f t="shared" si="233"/>
        <v>576.12444000000005</v>
      </c>
      <c r="V368" s="120">
        <f t="shared" si="233"/>
        <v>576.12444000000005</v>
      </c>
      <c r="W368" s="120">
        <f t="shared" si="233"/>
        <v>576.12444000000005</v>
      </c>
      <c r="X368" s="120">
        <f t="shared" si="233"/>
        <v>576.12444000000005</v>
      </c>
      <c r="Y368" s="120">
        <f t="shared" si="233"/>
        <v>576.12444000000005</v>
      </c>
      <c r="Z368" s="120">
        <f t="shared" si="233"/>
        <v>576.12444000000005</v>
      </c>
      <c r="AA368" s="120"/>
      <c r="AB368" s="121"/>
      <c r="AC368" s="121"/>
      <c r="AD368" s="121"/>
      <c r="AE368" s="121"/>
      <c r="AF368" s="121"/>
      <c r="AG368" s="121"/>
      <c r="AH368" s="121"/>
      <c r="AI368" s="121"/>
      <c r="AJ368" s="121"/>
      <c r="AK368" s="121"/>
      <c r="AL368" s="121"/>
      <c r="AM368" s="121"/>
      <c r="AN368" s="121"/>
      <c r="AO368" s="121"/>
      <c r="AP368" s="121"/>
      <c r="AQ368" s="121"/>
      <c r="AR368" s="121"/>
      <c r="AS368" s="121"/>
      <c r="AT368" s="121"/>
      <c r="AU368" s="121"/>
      <c r="AV368" s="121"/>
      <c r="AW368" s="121"/>
      <c r="AX368" s="121"/>
      <c r="AY368" s="121"/>
      <c r="AZ368" s="121"/>
      <c r="BA368" s="121"/>
      <c r="BB368" s="522"/>
      <c r="BC368" s="123"/>
    </row>
    <row r="369" spans="1:57" s="258" customFormat="1" x14ac:dyDescent="0.25">
      <c r="A369" s="115"/>
      <c r="B369" s="185" t="s">
        <v>635</v>
      </c>
      <c r="C369" s="185"/>
      <c r="E369" s="118"/>
      <c r="F369" s="118"/>
      <c r="G369" s="118"/>
      <c r="H369" s="118"/>
      <c r="I369" s="118"/>
      <c r="J369" s="118"/>
      <c r="K369" s="118"/>
      <c r="L369" s="118"/>
      <c r="M369" s="118"/>
      <c r="N369" s="157"/>
      <c r="O369" s="157"/>
      <c r="P369" s="300"/>
      <c r="Q369" s="244"/>
      <c r="R369" s="244"/>
      <c r="S369" s="244"/>
      <c r="T369" s="244"/>
      <c r="U369" s="244"/>
      <c r="V369" s="244"/>
      <c r="W369" s="244"/>
      <c r="X369" s="244"/>
      <c r="Y369" s="244"/>
      <c r="Z369" s="244"/>
      <c r="AA369" s="244"/>
      <c r="AB369" s="244"/>
      <c r="AC369" s="244"/>
      <c r="AD369" s="244"/>
      <c r="AE369" s="244"/>
      <c r="AF369" s="244"/>
      <c r="AG369" s="244"/>
      <c r="AH369" s="244"/>
      <c r="AI369" s="244"/>
      <c r="AJ369" s="244"/>
      <c r="AK369" s="244"/>
      <c r="AL369" s="244"/>
      <c r="AM369" s="244"/>
      <c r="AN369" s="244"/>
      <c r="AO369" s="244"/>
      <c r="AP369" s="244"/>
      <c r="AQ369" s="244"/>
      <c r="AR369" s="244"/>
      <c r="AS369" s="244"/>
      <c r="AT369" s="244"/>
      <c r="AU369" s="244"/>
      <c r="AV369" s="244"/>
      <c r="AW369" s="244"/>
      <c r="AX369" s="244"/>
      <c r="AY369" s="244"/>
      <c r="AZ369" s="244"/>
      <c r="BA369" s="244"/>
      <c r="BB369" s="522"/>
      <c r="BC369" s="123"/>
    </row>
    <row r="370" spans="1:57" s="281" customFormat="1" x14ac:dyDescent="0.25">
      <c r="A370" s="132"/>
      <c r="B370" s="133" t="s">
        <v>636</v>
      </c>
      <c r="C370" s="133"/>
      <c r="D370" s="445"/>
      <c r="E370" s="166"/>
      <c r="F370" s="166"/>
      <c r="G370" s="166"/>
      <c r="H370" s="166"/>
      <c r="I370" s="167">
        <f>IF(ISTEXT('BS Raw'!I11),'BS Raw'!I114/Input!$B$1,Input!I368)</f>
        <v>120.00646</v>
      </c>
      <c r="J370" s="167">
        <f>IF(ISTEXT('BS Raw'!J11),'BS Raw'!J114/Input!$B$1,Input!J368)</f>
        <v>419.18279000000001</v>
      </c>
      <c r="K370" s="167">
        <f>IF(ISTEXT('BS Raw'!K11),'BS Raw'!K114/Input!$B$1,Input!K368)</f>
        <v>523.79</v>
      </c>
      <c r="L370" s="167">
        <f>IF(ISTEXT('BS Raw'!L11),'BS Raw'!L114/Input!$B$1,Input!L368)</f>
        <v>523.79</v>
      </c>
      <c r="M370" s="167">
        <f>IF(ISTEXT('BS Raw'!M11),'BS Raw'!M114/Input!$B$1,Input!M368)</f>
        <v>523.79</v>
      </c>
      <c r="N370" s="167">
        <f>IF(ISTEXT('BS Raw'!N11),'BS Raw'!N114/Input!$B$1,Input!N368)</f>
        <v>523.79</v>
      </c>
      <c r="O370" s="167">
        <f>IF(ISTEXT('BS Raw'!O11),'BS Raw'!O114/Input!$B$1,Input!O368)</f>
        <v>523.79</v>
      </c>
      <c r="P370" s="743">
        <f>IF(ISTEXT('BS Raw'!P11),'BS Raw'!P114/Input!$B$1,Input!P368)</f>
        <v>576.12444000000005</v>
      </c>
      <c r="Q370" s="168">
        <f>IF(ISTEXT('BS Raw'!Q11),'BS Raw'!Q114/Input!$B$1,Input!Q368)</f>
        <v>576.12444000000005</v>
      </c>
      <c r="R370" s="168">
        <f>IF(ISTEXT('BS Raw'!R11),'BS Raw'!R114/Input!$B$1,Input!R368)</f>
        <v>576.12444000000005</v>
      </c>
      <c r="S370" s="168">
        <f>IF(ISTEXT('BS Raw'!S11),'BS Raw'!S114/Input!$B$1,Input!S368)</f>
        <v>576.12444000000005</v>
      </c>
      <c r="T370" s="168">
        <f>IF(ISTEXT('BS Raw'!T11),'BS Raw'!T114/Input!$B$1,Input!T368)</f>
        <v>576.12444000000005</v>
      </c>
      <c r="U370" s="168">
        <f>IF(ISTEXT('BS Raw'!U11),'BS Raw'!U114/Input!$B$1,Input!U368)</f>
        <v>576.12444000000005</v>
      </c>
      <c r="V370" s="168">
        <f>IF(ISTEXT('BS Raw'!V11),'BS Raw'!V114/Input!$B$1,Input!V368)</f>
        <v>576.12444000000005</v>
      </c>
      <c r="W370" s="168">
        <f>IF(ISTEXT('BS Raw'!W11),'BS Raw'!W114/Input!$B$1,Input!W368)</f>
        <v>576.12444000000005</v>
      </c>
      <c r="X370" s="168">
        <f>IF(ISTEXT('BS Raw'!X11),'BS Raw'!X114/Input!$B$1,Input!X368)</f>
        <v>576.12444000000005</v>
      </c>
      <c r="Y370" s="168">
        <f>IF(ISTEXT('BS Raw'!Y11),'BS Raw'!Y114/Input!$B$1,Input!Y368)</f>
        <v>576.12444000000005</v>
      </c>
      <c r="Z370" s="168">
        <f>IF(ISTEXT('BS Raw'!Z11),'BS Raw'!Z114/Input!$B$1,Input!Z368)</f>
        <v>576.12444000000005</v>
      </c>
      <c r="AA370" s="168"/>
      <c r="AB370" s="169"/>
      <c r="AC370" s="169"/>
      <c r="AD370" s="169"/>
      <c r="AE370" s="169"/>
      <c r="AF370" s="169"/>
      <c r="AG370" s="169"/>
      <c r="AH370" s="169"/>
      <c r="AI370" s="169"/>
      <c r="AJ370" s="169"/>
      <c r="AK370" s="169"/>
      <c r="AL370" s="169"/>
      <c r="AM370" s="169"/>
      <c r="AN370" s="169"/>
      <c r="AO370" s="169"/>
      <c r="AP370" s="169"/>
      <c r="AQ370" s="169"/>
      <c r="AR370" s="169"/>
      <c r="AS370" s="169"/>
      <c r="AT370" s="169"/>
      <c r="AU370" s="169"/>
      <c r="AV370" s="169"/>
      <c r="AW370" s="169"/>
      <c r="AX370" s="169"/>
      <c r="AY370" s="169"/>
      <c r="AZ370" s="169"/>
      <c r="BA370" s="169"/>
      <c r="BB370" s="446"/>
      <c r="BC370" s="140"/>
    </row>
    <row r="371" spans="1:57" s="42" customFormat="1" x14ac:dyDescent="0.25">
      <c r="A371" s="41"/>
      <c r="D371" s="181"/>
      <c r="E371" s="44"/>
      <c r="F371" s="44"/>
      <c r="G371" s="44"/>
      <c r="H371" s="44"/>
      <c r="I371" s="44"/>
      <c r="J371" s="44"/>
      <c r="K371" s="44"/>
      <c r="L371" s="44"/>
      <c r="M371" s="44"/>
      <c r="N371" s="153"/>
      <c r="O371" s="153"/>
      <c r="P371" s="154"/>
      <c r="Q371" s="153"/>
      <c r="R371" s="153"/>
      <c r="S371" s="153"/>
      <c r="T371" s="153"/>
      <c r="U371" s="153"/>
      <c r="V371" s="153"/>
      <c r="W371" s="153"/>
      <c r="X371" s="153"/>
      <c r="Y371" s="153"/>
      <c r="Z371" s="153"/>
      <c r="AA371" s="153"/>
      <c r="AB371" s="153"/>
      <c r="AC371" s="153"/>
      <c r="AD371" s="153"/>
      <c r="AE371" s="153"/>
      <c r="AF371" s="153"/>
      <c r="AG371" s="153"/>
      <c r="AH371" s="153"/>
      <c r="AI371" s="153"/>
      <c r="AJ371" s="153"/>
      <c r="AK371" s="153"/>
      <c r="AL371" s="153"/>
      <c r="AM371" s="153"/>
      <c r="AN371" s="153"/>
      <c r="AO371" s="153"/>
      <c r="AP371" s="153"/>
      <c r="AQ371" s="153"/>
      <c r="AR371" s="153"/>
      <c r="AS371" s="153"/>
      <c r="AT371" s="153"/>
      <c r="AU371" s="153"/>
      <c r="AV371" s="153"/>
      <c r="AW371" s="153"/>
      <c r="AX371" s="153"/>
      <c r="AY371" s="153"/>
      <c r="AZ371" s="153"/>
      <c r="BA371" s="153"/>
      <c r="BB371" s="257"/>
      <c r="BC371" s="123"/>
      <c r="BD371" s="181"/>
      <c r="BE371" s="181"/>
    </row>
    <row r="372" spans="1:57" x14ac:dyDescent="0.25">
      <c r="A372" s="64">
        <v>27</v>
      </c>
      <c r="B372" s="29" t="s">
        <v>637</v>
      </c>
      <c r="D372" s="112"/>
      <c r="E372" s="66"/>
      <c r="F372" s="66"/>
      <c r="G372" s="66"/>
      <c r="H372" s="66"/>
      <c r="I372" s="220">
        <f>'BS Raw'!I117/Input!$B$1</f>
        <v>-9.4124148000000005E-2</v>
      </c>
      <c r="J372" s="220">
        <f>'BS Raw'!J117/Input!$B$1</f>
        <v>0</v>
      </c>
      <c r="K372" s="220">
        <f>'BS Raw'!K117/Input!$B$1</f>
        <v>20.921441999999999</v>
      </c>
      <c r="L372" s="220">
        <f>'BS Raw'!L117/Input!$B$1</f>
        <v>20.921441999999999</v>
      </c>
      <c r="M372" s="220">
        <f>'BS Raw'!M117/Input!$B$1</f>
        <v>20.921441999999999</v>
      </c>
      <c r="N372" s="220">
        <f>'BS Raw'!N117/Input!$B$1</f>
        <v>20.921441999999999</v>
      </c>
      <c r="O372" s="220">
        <f>'BS Raw'!O117/Input!$B$1</f>
        <v>20.921441999999999</v>
      </c>
      <c r="P372" s="1789">
        <f>'BS Raw'!P117/Input!$B$1</f>
        <v>20.921441999999999</v>
      </c>
      <c r="Q372" s="120">
        <f>+P372+Q373</f>
        <v>20.921441999999999</v>
      </c>
      <c r="R372" s="120">
        <f t="shared" ref="R372:Z372" si="234">+Q372+R373</f>
        <v>20.921441999999999</v>
      </c>
      <c r="S372" s="120">
        <f t="shared" si="234"/>
        <v>20.921441999999999</v>
      </c>
      <c r="T372" s="120">
        <f t="shared" si="234"/>
        <v>20.921441999999999</v>
      </c>
      <c r="U372" s="120">
        <f t="shared" si="234"/>
        <v>20.921441999999999</v>
      </c>
      <c r="V372" s="120">
        <f t="shared" si="234"/>
        <v>20.921441999999999</v>
      </c>
      <c r="W372" s="120">
        <f t="shared" si="234"/>
        <v>20.921441999999999</v>
      </c>
      <c r="X372" s="120">
        <f t="shared" si="234"/>
        <v>20.921441999999999</v>
      </c>
      <c r="Y372" s="120">
        <f t="shared" si="234"/>
        <v>20.921441999999999</v>
      </c>
      <c r="Z372" s="120">
        <f t="shared" si="234"/>
        <v>20.921441999999999</v>
      </c>
      <c r="AA372" s="120"/>
      <c r="AB372" s="121"/>
      <c r="AC372" s="121"/>
      <c r="AD372" s="121"/>
      <c r="AE372" s="121"/>
      <c r="AF372" s="121"/>
      <c r="AG372" s="121"/>
      <c r="AH372" s="121"/>
      <c r="AI372" s="121"/>
      <c r="AJ372" s="121"/>
      <c r="AK372" s="121"/>
      <c r="AL372" s="121"/>
      <c r="AM372" s="121"/>
      <c r="AN372" s="121"/>
      <c r="AO372" s="121"/>
      <c r="AP372" s="121"/>
      <c r="AQ372" s="121"/>
      <c r="AR372" s="121"/>
      <c r="AS372" s="121"/>
      <c r="AT372" s="121"/>
      <c r="AU372" s="121"/>
      <c r="AV372" s="121"/>
      <c r="AW372" s="121"/>
      <c r="AX372" s="121"/>
      <c r="AY372" s="121"/>
      <c r="AZ372" s="121"/>
      <c r="BA372" s="121"/>
      <c r="BB372" s="230"/>
      <c r="BC372" s="123"/>
      <c r="BD372" s="112"/>
      <c r="BE372" s="112"/>
    </row>
    <row r="373" spans="1:57" x14ac:dyDescent="0.25">
      <c r="A373" s="64"/>
      <c r="B373" s="147" t="s">
        <v>638</v>
      </c>
      <c r="C373" s="147"/>
      <c r="D373" s="112"/>
      <c r="E373" s="66"/>
      <c r="F373" s="66"/>
      <c r="G373" s="66"/>
      <c r="H373" s="66"/>
      <c r="I373" s="66"/>
      <c r="J373" s="66"/>
      <c r="K373" s="66"/>
      <c r="L373" s="66"/>
      <c r="M373" s="66"/>
      <c r="N373" s="157"/>
      <c r="O373" s="157"/>
      <c r="P373" s="300"/>
      <c r="Q373" s="244"/>
      <c r="R373" s="244"/>
      <c r="S373" s="244"/>
      <c r="T373" s="244"/>
      <c r="U373" s="244"/>
      <c r="V373" s="244"/>
      <c r="W373" s="244"/>
      <c r="X373" s="244"/>
      <c r="Y373" s="244"/>
      <c r="Z373" s="244"/>
      <c r="AA373" s="244"/>
      <c r="AB373" s="244"/>
      <c r="AC373" s="244"/>
      <c r="AD373" s="244"/>
      <c r="AE373" s="244"/>
      <c r="AF373" s="244"/>
      <c r="AG373" s="244"/>
      <c r="AH373" s="244"/>
      <c r="AI373" s="244"/>
      <c r="AJ373" s="244"/>
      <c r="AK373" s="244"/>
      <c r="AL373" s="244"/>
      <c r="AM373" s="244"/>
      <c r="AN373" s="244"/>
      <c r="AO373" s="244"/>
      <c r="AP373" s="244"/>
      <c r="AQ373" s="244"/>
      <c r="AR373" s="244"/>
      <c r="AS373" s="244"/>
      <c r="AT373" s="244"/>
      <c r="AU373" s="244"/>
      <c r="AV373" s="244"/>
      <c r="AW373" s="244"/>
      <c r="AX373" s="244"/>
      <c r="AY373" s="244"/>
      <c r="AZ373" s="244"/>
      <c r="BA373" s="244"/>
      <c r="BB373" s="230"/>
      <c r="BC373" s="123"/>
      <c r="BD373" s="112"/>
      <c r="BE373" s="112"/>
    </row>
    <row r="374" spans="1:57" s="42" customFormat="1" x14ac:dyDescent="0.25">
      <c r="A374" s="41"/>
      <c r="B374" s="212" t="s">
        <v>639</v>
      </c>
      <c r="C374" s="212"/>
      <c r="D374" s="213"/>
      <c r="E374" s="214"/>
      <c r="F374" s="214"/>
      <c r="G374" s="214"/>
      <c r="H374" s="214"/>
      <c r="I374" s="215">
        <f>IF(ISTEXT('BS Raw'!I11),'BS Raw'!I117/Input!$B$1,Input!I372)</f>
        <v>-9.4124148000000005E-2</v>
      </c>
      <c r="J374" s="215">
        <f>IF(ISTEXT('BS Raw'!J11),'BS Raw'!J117/Input!$B$1,Input!J372)</f>
        <v>0</v>
      </c>
      <c r="K374" s="215">
        <f>IF(ISTEXT('BS Raw'!K11),'BS Raw'!K117/Input!$B$1,Input!K372)</f>
        <v>20.921441999999999</v>
      </c>
      <c r="L374" s="215">
        <f>IF(ISTEXT('BS Raw'!L11),'BS Raw'!L117/Input!$B$1,Input!L372)</f>
        <v>20.921441999999999</v>
      </c>
      <c r="M374" s="215">
        <f>IF(ISTEXT('BS Raw'!M11),'BS Raw'!M117/Input!$B$1,Input!M372)</f>
        <v>20.921441999999999</v>
      </c>
      <c r="N374" s="215">
        <f>IF(ISTEXT('BS Raw'!N11),'BS Raw'!N117/Input!$B$1,Input!N372)</f>
        <v>20.921441999999999</v>
      </c>
      <c r="O374" s="215">
        <f>IF(ISTEXT('BS Raw'!O11),'BS Raw'!O117/Input!$B$1,Input!O372)</f>
        <v>20.921441999999999</v>
      </c>
      <c r="P374" s="1788">
        <f>IF(ISTEXT('BS Raw'!P11),'BS Raw'!P117/Input!$B$1,Input!P372)</f>
        <v>20.921441999999999</v>
      </c>
      <c r="Q374" s="519">
        <f>IF(ISTEXT('BS Raw'!Q11),'BS Raw'!Q117/Input!$B$1,Input!Q372)</f>
        <v>20.921441999999999</v>
      </c>
      <c r="R374" s="519">
        <f>IF(ISTEXT('BS Raw'!R11),'BS Raw'!R117/Input!$B$1,Input!R372)</f>
        <v>20.921441999999999</v>
      </c>
      <c r="S374" s="519">
        <f>IF(ISTEXT('BS Raw'!S11),'BS Raw'!S117/Input!$B$1,Input!S372)</f>
        <v>20.921441999999999</v>
      </c>
      <c r="T374" s="519">
        <f>IF(ISTEXT('BS Raw'!T11),'BS Raw'!T117/Input!$B$1,Input!T372)</f>
        <v>20.921441999999999</v>
      </c>
      <c r="U374" s="519">
        <f>IF(ISTEXT('BS Raw'!U11),'BS Raw'!U117/Input!$B$1,Input!U372)</f>
        <v>20.921441999999999</v>
      </c>
      <c r="V374" s="519">
        <f>IF(ISTEXT('BS Raw'!V11),'BS Raw'!V117/Input!$B$1,Input!V372)</f>
        <v>20.921441999999999</v>
      </c>
      <c r="W374" s="519">
        <f>IF(ISTEXT('BS Raw'!W11),'BS Raw'!W117/Input!$B$1,Input!W372)</f>
        <v>20.921441999999999</v>
      </c>
      <c r="X374" s="519">
        <f>IF(ISTEXT('BS Raw'!X11),'BS Raw'!X117/Input!$B$1,Input!X372)</f>
        <v>20.921441999999999</v>
      </c>
      <c r="Y374" s="519">
        <f>IF(ISTEXT('BS Raw'!Y11),'BS Raw'!Y117/Input!$B$1,Input!Y372)</f>
        <v>20.921441999999999</v>
      </c>
      <c r="Z374" s="519">
        <f>IF(ISTEXT('BS Raw'!Z11),'BS Raw'!Z117/Input!$B$1,Input!Z372)</f>
        <v>20.921441999999999</v>
      </c>
      <c r="AA374" s="519"/>
      <c r="AB374" s="520"/>
      <c r="AC374" s="520"/>
      <c r="AD374" s="520"/>
      <c r="AE374" s="520"/>
      <c r="AF374" s="520"/>
      <c r="AG374" s="520"/>
      <c r="AH374" s="520"/>
      <c r="AI374" s="520"/>
      <c r="AJ374" s="520"/>
      <c r="AK374" s="520"/>
      <c r="AL374" s="520"/>
      <c r="AM374" s="520"/>
      <c r="AN374" s="520"/>
      <c r="AO374" s="520"/>
      <c r="AP374" s="520"/>
      <c r="AQ374" s="520"/>
      <c r="AR374" s="520"/>
      <c r="AS374" s="520"/>
      <c r="AT374" s="520"/>
      <c r="AU374" s="520"/>
      <c r="AV374" s="520"/>
      <c r="AW374" s="520"/>
      <c r="AX374" s="520"/>
      <c r="AY374" s="520"/>
      <c r="AZ374" s="520"/>
      <c r="BA374" s="520"/>
      <c r="BB374" s="216"/>
      <c r="BC374" s="140"/>
      <c r="BD374" s="181"/>
      <c r="BE374" s="181"/>
    </row>
    <row r="375" spans="1:57" x14ac:dyDescent="0.25">
      <c r="A375" s="64"/>
      <c r="D375" s="112"/>
      <c r="E375" s="170"/>
      <c r="F375" s="170"/>
      <c r="G375" s="170"/>
      <c r="H375" s="170"/>
      <c r="I375" s="170"/>
      <c r="J375" s="170"/>
      <c r="K375" s="170"/>
      <c r="L375" s="170"/>
      <c r="M375" s="170"/>
      <c r="N375" s="170"/>
      <c r="O375" s="170"/>
      <c r="P375" s="171"/>
      <c r="Q375" s="170"/>
      <c r="R375" s="170"/>
      <c r="S375" s="170"/>
      <c r="T375" s="170"/>
      <c r="U375" s="170"/>
      <c r="V375" s="170"/>
      <c r="W375" s="170"/>
      <c r="X375" s="170"/>
      <c r="Y375" s="170"/>
      <c r="Z375" s="170"/>
      <c r="AA375" s="170"/>
      <c r="AB375" s="170"/>
      <c r="AC375" s="170"/>
      <c r="AD375" s="170"/>
      <c r="AE375" s="170"/>
      <c r="AF375" s="170"/>
      <c r="AG375" s="170"/>
      <c r="AH375" s="170"/>
      <c r="AI375" s="170"/>
      <c r="AJ375" s="170"/>
      <c r="AK375" s="170"/>
      <c r="AL375" s="170"/>
      <c r="AM375" s="170"/>
      <c r="AN375" s="170"/>
      <c r="AO375" s="170"/>
      <c r="AP375" s="170"/>
      <c r="AQ375" s="170"/>
      <c r="AR375" s="170"/>
      <c r="AS375" s="170"/>
      <c r="AT375" s="170"/>
      <c r="AU375" s="170"/>
      <c r="AV375" s="170"/>
      <c r="AW375" s="170"/>
      <c r="AX375" s="170"/>
      <c r="AY375" s="170"/>
      <c r="AZ375" s="170"/>
      <c r="BA375" s="170"/>
      <c r="BB375" s="113"/>
      <c r="BD375" s="112"/>
      <c r="BE375" s="112"/>
    </row>
    <row r="376" spans="1:57" s="258" customFormat="1" x14ac:dyDescent="0.25">
      <c r="A376" s="115">
        <v>28</v>
      </c>
      <c r="B376" s="116" t="s">
        <v>640</v>
      </c>
      <c r="C376" s="116"/>
      <c r="E376" s="118"/>
      <c r="F376" s="118"/>
      <c r="G376" s="118"/>
      <c r="H376" s="118"/>
      <c r="I376" s="119">
        <f>'BS Raw'!I127/Input!$B$1</f>
        <v>108.123490082</v>
      </c>
      <c r="J376" s="119">
        <f>'BS Raw'!J127/Input!$B$1</f>
        <v>106.71932934599999</v>
      </c>
      <c r="K376" s="119">
        <f>'BS Raw'!K127/Input!$B$1</f>
        <v>156.027758506</v>
      </c>
      <c r="L376" s="119">
        <f>'BS Raw'!L127/Input!$B$1</f>
        <v>204.07064098199999</v>
      </c>
      <c r="M376" s="119">
        <f>'BS Raw'!M127/Input!$B$1</f>
        <v>249.385783562</v>
      </c>
      <c r="N376" s="119">
        <f>'BS Raw'!N127/Input!$B$1</f>
        <v>281.75466900800001</v>
      </c>
      <c r="O376" s="119">
        <f>'BS Raw'!O127/Input!$B$1</f>
        <v>326.31662956399998</v>
      </c>
      <c r="P376" s="671">
        <f>'BS Raw'!P127/Input!$B$1</f>
        <v>412.215586229</v>
      </c>
      <c r="Q376" s="120">
        <f ca="1">+P376+Q377</f>
        <v>582.57640640476131</v>
      </c>
      <c r="R376" s="120">
        <f t="shared" ref="R376:Z376" ca="1" si="235">+Q376+R377</f>
        <v>750.7244000728333</v>
      </c>
      <c r="S376" s="120">
        <f t="shared" ca="1" si="235"/>
        <v>979.42612123416916</v>
      </c>
      <c r="T376" s="120">
        <f t="shared" ca="1" si="235"/>
        <v>1194.6265350385545</v>
      </c>
      <c r="U376" s="120">
        <f t="shared" ca="1" si="235"/>
        <v>1461.2273227803066</v>
      </c>
      <c r="V376" s="120">
        <f t="shared" ca="1" si="235"/>
        <v>1736.2809312932022</v>
      </c>
      <c r="W376" s="120">
        <f t="shared" ca="1" si="235"/>
        <v>1998.2608704695876</v>
      </c>
      <c r="X376" s="120">
        <f t="shared" ca="1" si="235"/>
        <v>2284.4976813002995</v>
      </c>
      <c r="Y376" s="120">
        <f t="shared" ca="1" si="235"/>
        <v>2511.4196719026427</v>
      </c>
      <c r="Z376" s="120">
        <f t="shared" ca="1" si="235"/>
        <v>2738.4131239630465</v>
      </c>
      <c r="AA376" s="120"/>
      <c r="AB376" s="121"/>
      <c r="AC376" s="121"/>
      <c r="AD376" s="121"/>
      <c r="AE376" s="121"/>
      <c r="AF376" s="121"/>
      <c r="AG376" s="121"/>
      <c r="AH376" s="121"/>
      <c r="AI376" s="121"/>
      <c r="AJ376" s="121"/>
      <c r="AK376" s="121"/>
      <c r="AL376" s="121"/>
      <c r="AM376" s="121"/>
      <c r="AN376" s="121"/>
      <c r="AO376" s="121"/>
      <c r="AP376" s="121"/>
      <c r="AQ376" s="121"/>
      <c r="AR376" s="121"/>
      <c r="AS376" s="121"/>
      <c r="AT376" s="121"/>
      <c r="AU376" s="121"/>
      <c r="AV376" s="121"/>
      <c r="AW376" s="121"/>
      <c r="AX376" s="121"/>
      <c r="AY376" s="121"/>
      <c r="AZ376" s="121"/>
      <c r="BA376" s="121"/>
      <c r="BB376" s="522"/>
      <c r="BC376" s="123"/>
    </row>
    <row r="377" spans="1:57" s="258" customFormat="1" x14ac:dyDescent="0.25">
      <c r="A377" s="115"/>
      <c r="B377" s="185" t="s">
        <v>496</v>
      </c>
      <c r="C377" s="185"/>
      <c r="E377" s="157"/>
      <c r="F377" s="157"/>
      <c r="G377" s="157"/>
      <c r="H377" s="157"/>
      <c r="I377" s="157"/>
      <c r="J377" s="157"/>
      <c r="K377" s="157"/>
      <c r="L377" s="157"/>
      <c r="M377" s="157"/>
      <c r="N377" s="157"/>
      <c r="O377" s="157"/>
      <c r="P377" s="300"/>
      <c r="Q377" s="120">
        <f ca="1">Q135</f>
        <v>170.36082017576132</v>
      </c>
      <c r="R377" s="120">
        <f t="shared" ref="R377:Z377" ca="1" si="236">R135</f>
        <v>168.14799366807199</v>
      </c>
      <c r="S377" s="120">
        <f t="shared" ca="1" si="236"/>
        <v>228.7017211613358</v>
      </c>
      <c r="T377" s="120">
        <f t="shared" ca="1" si="236"/>
        <v>215.20041380438528</v>
      </c>
      <c r="U377" s="120">
        <f t="shared" ca="1" si="236"/>
        <v>266.60078774175224</v>
      </c>
      <c r="V377" s="120">
        <f t="shared" ca="1" si="236"/>
        <v>275.05360851289572</v>
      </c>
      <c r="W377" s="120">
        <f t="shared" ca="1" si="236"/>
        <v>261.97993917638541</v>
      </c>
      <c r="X377" s="120">
        <f t="shared" ca="1" si="236"/>
        <v>286.23681083071176</v>
      </c>
      <c r="Y377" s="120">
        <f t="shared" ca="1" si="236"/>
        <v>226.92199060234321</v>
      </c>
      <c r="Z377" s="120">
        <f t="shared" ca="1" si="236"/>
        <v>226.99345206040391</v>
      </c>
      <c r="AA377" s="120"/>
      <c r="AB377" s="121"/>
      <c r="AC377" s="121"/>
      <c r="AD377" s="121"/>
      <c r="AE377" s="121"/>
      <c r="AF377" s="121"/>
      <c r="AG377" s="121"/>
      <c r="AH377" s="121"/>
      <c r="AI377" s="121"/>
      <c r="AJ377" s="121"/>
      <c r="AK377" s="121"/>
      <c r="AL377" s="121"/>
      <c r="AM377" s="121"/>
      <c r="AN377" s="121"/>
      <c r="AO377" s="121"/>
      <c r="AP377" s="121"/>
      <c r="AQ377" s="121"/>
      <c r="AR377" s="121"/>
      <c r="AS377" s="121"/>
      <c r="AT377" s="121"/>
      <c r="AU377" s="121"/>
      <c r="AV377" s="121"/>
      <c r="AW377" s="121"/>
      <c r="AX377" s="121"/>
      <c r="AY377" s="121"/>
      <c r="AZ377" s="121"/>
      <c r="BA377" s="121"/>
      <c r="BB377" s="522"/>
      <c r="BC377" s="123"/>
    </row>
    <row r="378" spans="1:57" s="281" customFormat="1" x14ac:dyDescent="0.25">
      <c r="A378" s="132"/>
      <c r="B378" s="133" t="s">
        <v>641</v>
      </c>
      <c r="C378" s="133"/>
      <c r="D378" s="523"/>
      <c r="E378" s="524"/>
      <c r="F378" s="524"/>
      <c r="G378" s="166"/>
      <c r="H378" s="166"/>
      <c r="I378" s="167">
        <f>IF(ISTEXT('BS Raw'!I11),'BS Raw'!I127/Input!$B$1,Input!I376)</f>
        <v>108.123490082</v>
      </c>
      <c r="J378" s="167">
        <f>IF(ISTEXT('BS Raw'!J11),'BS Raw'!J127/Input!$B$1,Input!J376)</f>
        <v>106.71932934599999</v>
      </c>
      <c r="K378" s="167">
        <f>IF(ISTEXT('BS Raw'!K11),'BS Raw'!K127/Input!$B$1,Input!K376)</f>
        <v>156.027758506</v>
      </c>
      <c r="L378" s="167">
        <f>IF(ISTEXT('BS Raw'!L11),'BS Raw'!L127/Input!$B$1,Input!L376)</f>
        <v>204.07064098199999</v>
      </c>
      <c r="M378" s="167">
        <f>IF(ISTEXT('BS Raw'!M11),'BS Raw'!M127/Input!$B$1,Input!M376)</f>
        <v>249.385783562</v>
      </c>
      <c r="N378" s="167">
        <f>IF(ISTEXT('BS Raw'!N11),'BS Raw'!N127/Input!$B$1,Input!N376)</f>
        <v>281.75466900800001</v>
      </c>
      <c r="O378" s="167">
        <f>IF(ISTEXT('BS Raw'!O11),'BS Raw'!O127/Input!$B$1,Input!O376)</f>
        <v>326.31662956399998</v>
      </c>
      <c r="P378" s="743">
        <f>IF(ISTEXT('BS Raw'!P11),'BS Raw'!P127/Input!$B$1,Input!P376)</f>
        <v>412.215586229</v>
      </c>
      <c r="Q378" s="168">
        <f ca="1">IF(ISTEXT('BS Raw'!Q11),'BS Raw'!Q127/Input!$B$1,Input!Q376)</f>
        <v>582.57640640476131</v>
      </c>
      <c r="R378" s="168">
        <f ca="1">IF(ISTEXT('BS Raw'!R11),'BS Raw'!R127/Input!$B$1,Input!R376)</f>
        <v>750.7244000728333</v>
      </c>
      <c r="S378" s="168">
        <f ca="1">IF(ISTEXT('BS Raw'!S11),'BS Raw'!S127/Input!$B$1,Input!S376)</f>
        <v>979.42612123416916</v>
      </c>
      <c r="T378" s="168">
        <f ca="1">IF(ISTEXT('BS Raw'!T11),'BS Raw'!T127/Input!$B$1,Input!T376)</f>
        <v>1194.6265350385545</v>
      </c>
      <c r="U378" s="168">
        <f ca="1">IF(ISTEXT('BS Raw'!U11),'BS Raw'!U127/Input!$B$1,Input!U376)</f>
        <v>1461.2273227803066</v>
      </c>
      <c r="V378" s="168">
        <f ca="1">IF(ISTEXT('BS Raw'!V11),'BS Raw'!V127/Input!$B$1,Input!V376)</f>
        <v>1736.2809312932022</v>
      </c>
      <c r="W378" s="168">
        <f ca="1">IF(ISTEXT('BS Raw'!W11),'BS Raw'!W127/Input!$B$1,Input!W376)</f>
        <v>1998.2608704695876</v>
      </c>
      <c r="X378" s="168">
        <f ca="1">IF(ISTEXT('BS Raw'!X11),'BS Raw'!X127/Input!$B$1,Input!X376)</f>
        <v>2284.4976813002995</v>
      </c>
      <c r="Y378" s="168">
        <f ca="1">IF(ISTEXT('BS Raw'!Y11),'BS Raw'!Y127/Input!$B$1,Input!Y376)</f>
        <v>2511.4196719026427</v>
      </c>
      <c r="Z378" s="168">
        <f ca="1">IF(ISTEXT('BS Raw'!Z11),'BS Raw'!Z127/Input!$B$1,Input!Z376)</f>
        <v>2738.4131239630465</v>
      </c>
      <c r="AA378" s="168"/>
      <c r="AB378" s="169"/>
      <c r="AC378" s="169"/>
      <c r="AD378" s="169"/>
      <c r="AE378" s="169"/>
      <c r="AF378" s="169"/>
      <c r="AG378" s="169"/>
      <c r="AH378" s="169"/>
      <c r="AI378" s="169"/>
      <c r="AJ378" s="169"/>
      <c r="AK378" s="169"/>
      <c r="AL378" s="169"/>
      <c r="AM378" s="169"/>
      <c r="AN378" s="169"/>
      <c r="AO378" s="169"/>
      <c r="AP378" s="169"/>
      <c r="AQ378" s="169"/>
      <c r="AR378" s="169"/>
      <c r="AS378" s="169"/>
      <c r="AT378" s="169"/>
      <c r="AU378" s="169"/>
      <c r="AV378" s="169"/>
      <c r="AW378" s="169"/>
      <c r="AX378" s="169"/>
      <c r="AY378" s="169"/>
      <c r="AZ378" s="169"/>
      <c r="BA378" s="169"/>
      <c r="BB378" s="446"/>
      <c r="BC378" s="140"/>
    </row>
    <row r="379" spans="1:57" x14ac:dyDescent="0.25">
      <c r="A379" s="64"/>
      <c r="D379" s="364"/>
      <c r="E379" s="525"/>
      <c r="F379" s="525"/>
      <c r="G379" s="170"/>
      <c r="H379" s="170"/>
      <c r="I379" s="170"/>
      <c r="J379" s="170"/>
      <c r="K379" s="170"/>
      <c r="L379" s="170"/>
      <c r="M379" s="170"/>
      <c r="N379" s="170"/>
      <c r="O379" s="170"/>
      <c r="P379" s="171"/>
      <c r="Q379" s="170"/>
      <c r="R379" s="170"/>
      <c r="S379" s="170"/>
      <c r="T379" s="170"/>
      <c r="U379" s="170"/>
      <c r="V379" s="170"/>
      <c r="W379" s="170"/>
      <c r="X379" s="170"/>
      <c r="Y379" s="170"/>
      <c r="Z379" s="170"/>
      <c r="AA379" s="170"/>
      <c r="AB379" s="170"/>
      <c r="AC379" s="170"/>
      <c r="AD379" s="170"/>
      <c r="AE379" s="170"/>
      <c r="AF379" s="170"/>
      <c r="AG379" s="170"/>
      <c r="AH379" s="170"/>
      <c r="AI379" s="170"/>
      <c r="AJ379" s="170"/>
      <c r="AK379" s="170"/>
      <c r="AL379" s="170"/>
      <c r="AM379" s="170"/>
      <c r="AN379" s="170"/>
      <c r="AO379" s="170"/>
      <c r="AP379" s="170"/>
      <c r="AQ379" s="170"/>
      <c r="AR379" s="170"/>
      <c r="AS379" s="170"/>
      <c r="AT379" s="170"/>
      <c r="AU379" s="170"/>
      <c r="AV379" s="170"/>
      <c r="AW379" s="170"/>
      <c r="AX379" s="170"/>
      <c r="AY379" s="170"/>
      <c r="AZ379" s="170"/>
      <c r="BA379" s="170"/>
      <c r="BB379" s="113"/>
      <c r="BD379" s="112"/>
      <c r="BE379" s="112"/>
    </row>
    <row r="380" spans="1:57" ht="13.8" x14ac:dyDescent="0.3">
      <c r="A380" s="64">
        <v>29</v>
      </c>
      <c r="B380" s="29" t="s">
        <v>642</v>
      </c>
      <c r="D380" s="364"/>
      <c r="E380" s="526"/>
      <c r="F380" s="4"/>
      <c r="G380" s="66"/>
      <c r="H380" s="66"/>
      <c r="I380" s="220">
        <f>('BS Raw'!I112-'BS Raw'!I114-'BS Raw'!I117-'BS Raw'!I127-'BS Raw'!I130)/Input!$B$1</f>
        <v>112.94786416699999</v>
      </c>
      <c r="J380" s="220">
        <f>('BS Raw'!J112-'BS Raw'!J114-'BS Raw'!J117-'BS Raw'!J127-'BS Raw'!J130)/Input!$B$1</f>
        <v>28.242535173000022</v>
      </c>
      <c r="K380" s="220">
        <f>('BS Raw'!K112-'BS Raw'!K114-'BS Raw'!K117-'BS Raw'!K127-'BS Raw'!K130)/Input!$B$1</f>
        <v>72.290069868000046</v>
      </c>
      <c r="L380" s="220">
        <f>('BS Raw'!L112-'BS Raw'!L114-'BS Raw'!L117-'BS Raw'!L127-'BS Raw'!L130)/Input!$B$1</f>
        <v>84.228168681999989</v>
      </c>
      <c r="M380" s="220">
        <f>('BS Raw'!M112-'BS Raw'!M114-'BS Raw'!M117-'BS Raw'!M127-'BS Raw'!M130)/Input!$B$1</f>
        <v>96.557063628999998</v>
      </c>
      <c r="N380" s="220">
        <f>('BS Raw'!N112-'BS Raw'!N114-'BS Raw'!N117-'BS Raw'!N127-'BS Raw'!N130)/Input!$B$1</f>
        <v>106.04220985500001</v>
      </c>
      <c r="O380" s="220">
        <f>('BS Raw'!O112-'BS Raw'!O114-'BS Raw'!O117-'BS Raw'!O127-'BS Raw'!O130)/Input!$B$1</f>
        <v>117.59745866600002</v>
      </c>
      <c r="P380" s="1789">
        <f>('BS Raw'!P112-'BS Raw'!P114-'BS Raw'!P117-'BS Raw'!P127-'BS Raw'!P130)/Input!$B$1</f>
        <v>125.87992741500011</v>
      </c>
      <c r="Q380" s="228">
        <f ca="1">Q106*Q381</f>
        <v>128.59261932854704</v>
      </c>
      <c r="R380" s="228">
        <f t="shared" ref="R380:Z380" ca="1" si="237">R106*R381</f>
        <v>127.0170880637982</v>
      </c>
      <c r="S380" s="228">
        <f t="shared" ca="1" si="237"/>
        <v>184.53819706604139</v>
      </c>
      <c r="T380" s="228">
        <f t="shared" ca="1" si="237"/>
        <v>212.8473116261344</v>
      </c>
      <c r="U380" s="228">
        <f t="shared" ca="1" si="237"/>
        <v>245.59387122084505</v>
      </c>
      <c r="V380" s="228">
        <f t="shared" ca="1" si="237"/>
        <v>269.97128433992066</v>
      </c>
      <c r="W380" s="228">
        <f t="shared" ca="1" si="237"/>
        <v>299.17650499324554</v>
      </c>
      <c r="X380" s="228">
        <f t="shared" ca="1" si="237"/>
        <v>314.43969469230643</v>
      </c>
      <c r="Y380" s="228">
        <f t="shared" ca="1" si="237"/>
        <v>331.79881651353213</v>
      </c>
      <c r="Z380" s="228">
        <f t="shared" ca="1" si="237"/>
        <v>350.36518739356859</v>
      </c>
      <c r="AA380" s="228"/>
      <c r="AB380" s="224"/>
      <c r="AC380" s="224"/>
      <c r="AD380" s="224"/>
      <c r="AE380" s="224"/>
      <c r="AF380" s="224"/>
      <c r="AG380" s="224"/>
      <c r="AH380" s="224"/>
      <c r="AI380" s="224"/>
      <c r="AJ380" s="224"/>
      <c r="AK380" s="224"/>
      <c r="AL380" s="224"/>
      <c r="AM380" s="224"/>
      <c r="AN380" s="224"/>
      <c r="AO380" s="224"/>
      <c r="AP380" s="224"/>
      <c r="AQ380" s="224"/>
      <c r="AR380" s="224"/>
      <c r="AS380" s="224"/>
      <c r="AT380" s="224"/>
      <c r="AU380" s="224"/>
      <c r="AV380" s="224"/>
      <c r="AW380" s="224"/>
      <c r="AX380" s="224"/>
      <c r="AY380" s="224"/>
      <c r="AZ380" s="224"/>
      <c r="BA380" s="224"/>
      <c r="BB380" s="113"/>
      <c r="BD380" s="112"/>
      <c r="BE380" s="112"/>
    </row>
    <row r="381" spans="1:57" s="180" customFormat="1" x14ac:dyDescent="0.25">
      <c r="A381" s="189"/>
      <c r="B381" s="175" t="s">
        <v>643</v>
      </c>
      <c r="C381" s="175"/>
      <c r="E381" s="148"/>
      <c r="F381" s="148"/>
      <c r="G381" s="148"/>
      <c r="H381" s="148"/>
      <c r="I381" s="199">
        <f>IFERROR(I382/I106," ")</f>
        <v>1.0130174847707627</v>
      </c>
      <c r="J381" s="199">
        <f>IFERROR(J382/J106," ")</f>
        <v>0.13150405750997621</v>
      </c>
      <c r="K381" s="199">
        <f t="shared" ref="K381:P381" si="238">IFERROR(K382/K106," ")</f>
        <v>0.51091443999796227</v>
      </c>
      <c r="L381" s="199">
        <f t="shared" si="238"/>
        <v>0.51236548329421405</v>
      </c>
      <c r="M381" s="199">
        <f t="shared" si="238"/>
        <v>0.59235718604336407</v>
      </c>
      <c r="N381" s="199">
        <f t="shared" si="238"/>
        <v>0.74558205383352394</v>
      </c>
      <c r="O381" s="199">
        <f t="shared" si="238"/>
        <v>0.74494984705596268</v>
      </c>
      <c r="P381" s="370">
        <f t="shared" si="238"/>
        <v>0.68264602719631295</v>
      </c>
      <c r="Q381" s="324">
        <f>AVERAGE(J381:P381)</f>
        <v>0.56004558499018808</v>
      </c>
      <c r="R381" s="324">
        <f>Q381</f>
        <v>0.56004558499018808</v>
      </c>
      <c r="S381" s="324">
        <f t="shared" ref="S381:Z381" si="239">R381</f>
        <v>0.56004558499018808</v>
      </c>
      <c r="T381" s="324">
        <f t="shared" si="239"/>
        <v>0.56004558499018808</v>
      </c>
      <c r="U381" s="324">
        <f t="shared" si="239"/>
        <v>0.56004558499018808</v>
      </c>
      <c r="V381" s="324">
        <f t="shared" si="239"/>
        <v>0.56004558499018808</v>
      </c>
      <c r="W381" s="324">
        <f t="shared" si="239"/>
        <v>0.56004558499018808</v>
      </c>
      <c r="X381" s="324">
        <f t="shared" si="239"/>
        <v>0.56004558499018808</v>
      </c>
      <c r="Y381" s="324">
        <f t="shared" si="239"/>
        <v>0.56004558499018808</v>
      </c>
      <c r="Z381" s="324">
        <f t="shared" si="239"/>
        <v>0.56004558499018808</v>
      </c>
      <c r="AA381" s="324"/>
      <c r="AB381" s="324"/>
      <c r="AC381" s="324"/>
      <c r="AD381" s="324"/>
      <c r="AE381" s="324"/>
      <c r="AF381" s="324"/>
      <c r="AG381" s="324"/>
      <c r="AH381" s="324"/>
      <c r="AI381" s="324"/>
      <c r="AJ381" s="324"/>
      <c r="AK381" s="324"/>
      <c r="AL381" s="324"/>
      <c r="AM381" s="324"/>
      <c r="AN381" s="324"/>
      <c r="AO381" s="324"/>
      <c r="AP381" s="324"/>
      <c r="AQ381" s="324"/>
      <c r="AR381" s="324"/>
      <c r="AS381" s="324"/>
      <c r="AT381" s="324"/>
      <c r="AU381" s="324"/>
      <c r="AV381" s="324"/>
      <c r="AW381" s="324"/>
      <c r="AX381" s="324"/>
      <c r="AY381" s="324"/>
      <c r="AZ381" s="324"/>
      <c r="BA381" s="324"/>
      <c r="BB381" s="198"/>
      <c r="BC381" s="146"/>
    </row>
    <row r="382" spans="1:57" s="42" customFormat="1" x14ac:dyDescent="0.25">
      <c r="A382" s="41"/>
      <c r="B382" s="212" t="s">
        <v>644</v>
      </c>
      <c r="C382" s="212"/>
      <c r="D382" s="213"/>
      <c r="E382" s="214"/>
      <c r="F382" s="214"/>
      <c r="G382" s="214"/>
      <c r="H382" s="214"/>
      <c r="I382" s="215">
        <f>I380</f>
        <v>112.94786416699999</v>
      </c>
      <c r="J382" s="215">
        <f>J380</f>
        <v>28.242535173000022</v>
      </c>
      <c r="K382" s="215">
        <f t="shared" ref="K382:Z382" si="240">K380</f>
        <v>72.290069868000046</v>
      </c>
      <c r="L382" s="215">
        <f t="shared" si="240"/>
        <v>84.228168681999989</v>
      </c>
      <c r="M382" s="215">
        <f t="shared" si="240"/>
        <v>96.557063628999998</v>
      </c>
      <c r="N382" s="215">
        <f t="shared" si="240"/>
        <v>106.04220985500001</v>
      </c>
      <c r="O382" s="215">
        <f t="shared" si="240"/>
        <v>117.59745866600002</v>
      </c>
      <c r="P382" s="1788">
        <f t="shared" si="240"/>
        <v>125.87992741500011</v>
      </c>
      <c r="Q382" s="519">
        <f t="shared" ca="1" si="240"/>
        <v>128.59261932854704</v>
      </c>
      <c r="R382" s="519">
        <f t="shared" ca="1" si="240"/>
        <v>127.0170880637982</v>
      </c>
      <c r="S382" s="519">
        <f t="shared" ca="1" si="240"/>
        <v>184.53819706604139</v>
      </c>
      <c r="T382" s="519">
        <f t="shared" ca="1" si="240"/>
        <v>212.8473116261344</v>
      </c>
      <c r="U382" s="519">
        <f t="shared" ca="1" si="240"/>
        <v>245.59387122084505</v>
      </c>
      <c r="V382" s="519">
        <f t="shared" ca="1" si="240"/>
        <v>269.97128433992066</v>
      </c>
      <c r="W382" s="519">
        <f t="shared" ca="1" si="240"/>
        <v>299.17650499324554</v>
      </c>
      <c r="X382" s="519">
        <f t="shared" ca="1" si="240"/>
        <v>314.43969469230643</v>
      </c>
      <c r="Y382" s="519">
        <f t="shared" ca="1" si="240"/>
        <v>331.79881651353213</v>
      </c>
      <c r="Z382" s="519">
        <f t="shared" ca="1" si="240"/>
        <v>350.36518739356859</v>
      </c>
      <c r="AA382" s="519"/>
      <c r="AB382" s="520"/>
      <c r="AC382" s="520"/>
      <c r="AD382" s="520"/>
      <c r="AE382" s="520"/>
      <c r="AF382" s="520"/>
      <c r="AG382" s="520"/>
      <c r="AH382" s="520"/>
      <c r="AI382" s="520"/>
      <c r="AJ382" s="520"/>
      <c r="AK382" s="520"/>
      <c r="AL382" s="520"/>
      <c r="AM382" s="520"/>
      <c r="AN382" s="520"/>
      <c r="AO382" s="520"/>
      <c r="AP382" s="520"/>
      <c r="AQ382" s="520"/>
      <c r="AR382" s="520"/>
      <c r="AS382" s="520"/>
      <c r="AT382" s="520"/>
      <c r="AU382" s="520"/>
      <c r="AV382" s="520"/>
      <c r="AW382" s="520"/>
      <c r="AX382" s="520"/>
      <c r="AY382" s="520"/>
      <c r="AZ382" s="520"/>
      <c r="BA382" s="520"/>
      <c r="BB382" s="216"/>
      <c r="BC382" s="140"/>
      <c r="BD382" s="181"/>
      <c r="BE382" s="181"/>
    </row>
    <row r="383" spans="1:57" x14ac:dyDescent="0.25">
      <c r="A383" s="64"/>
      <c r="D383" s="112"/>
      <c r="E383" s="170"/>
      <c r="F383" s="170"/>
      <c r="G383" s="170"/>
      <c r="H383" s="170"/>
      <c r="I383" s="170"/>
      <c r="J383" s="170"/>
      <c r="K383" s="170"/>
      <c r="L383" s="170"/>
      <c r="M383" s="170"/>
      <c r="N383" s="170"/>
      <c r="O383" s="170"/>
      <c r="P383" s="171"/>
      <c r="Q383" s="170"/>
      <c r="R383" s="170"/>
      <c r="S383" s="170"/>
      <c r="T383" s="170"/>
      <c r="U383" s="170"/>
      <c r="V383" s="170"/>
      <c r="W383" s="170"/>
      <c r="X383" s="170"/>
      <c r="Y383" s="170"/>
      <c r="Z383" s="170"/>
      <c r="AA383" s="170"/>
      <c r="AB383" s="170"/>
      <c r="AC383" s="170"/>
      <c r="AD383" s="170"/>
      <c r="AE383" s="170"/>
      <c r="AF383" s="170"/>
      <c r="AG383" s="170"/>
      <c r="AH383" s="170"/>
      <c r="AI383" s="170"/>
      <c r="AJ383" s="170"/>
      <c r="AK383" s="170"/>
      <c r="AL383" s="170"/>
      <c r="AM383" s="170"/>
      <c r="AN383" s="170"/>
      <c r="AO383" s="170"/>
      <c r="AP383" s="170"/>
      <c r="AQ383" s="170"/>
      <c r="AR383" s="170"/>
      <c r="AS383" s="170"/>
      <c r="AT383" s="170"/>
      <c r="AU383" s="170"/>
      <c r="AV383" s="170"/>
      <c r="AW383" s="170"/>
      <c r="AX383" s="170"/>
      <c r="AY383" s="170"/>
      <c r="AZ383" s="170"/>
      <c r="BA383" s="170"/>
      <c r="BB383" s="113"/>
      <c r="BD383" s="112"/>
      <c r="BE383" s="112"/>
    </row>
    <row r="384" spans="1:57" s="258" customFormat="1" x14ac:dyDescent="0.25">
      <c r="A384" s="115"/>
      <c r="B384" s="116" t="s">
        <v>645</v>
      </c>
      <c r="C384" s="116"/>
      <c r="E384" s="157"/>
      <c r="F384" s="157"/>
      <c r="G384" s="157"/>
      <c r="H384" s="157"/>
      <c r="I384" s="158">
        <f>I362+I368+I372+I376+I380</f>
        <v>340.98369010099998</v>
      </c>
      <c r="J384" s="158">
        <f>J362+J368+J372+J376+J380</f>
        <v>554.14465451900014</v>
      </c>
      <c r="K384" s="158">
        <f t="shared" ref="K384:Z384" si="241">K362+K368+K372+K376+K380</f>
        <v>773.02927037399991</v>
      </c>
      <c r="L384" s="158">
        <f t="shared" si="241"/>
        <v>833.01025166399995</v>
      </c>
      <c r="M384" s="158">
        <f t="shared" si="241"/>
        <v>890.65428919099998</v>
      </c>
      <c r="N384" s="158">
        <f t="shared" si="241"/>
        <v>932.50832086299988</v>
      </c>
      <c r="O384" s="158">
        <f t="shared" si="241"/>
        <v>988.62553022999987</v>
      </c>
      <c r="P384" s="1783">
        <f t="shared" si="241"/>
        <v>1135.1413956440001</v>
      </c>
      <c r="Q384" s="120">
        <f t="shared" ca="1" si="241"/>
        <v>1308.2149077333083</v>
      </c>
      <c r="R384" s="120">
        <f t="shared" ca="1" si="241"/>
        <v>1474.7873701366314</v>
      </c>
      <c r="S384" s="120">
        <f t="shared" ca="1" si="241"/>
        <v>1761.0102003002107</v>
      </c>
      <c r="T384" s="120">
        <f t="shared" ca="1" si="241"/>
        <v>2004.519728664689</v>
      </c>
      <c r="U384" s="120">
        <f t="shared" ca="1" si="241"/>
        <v>2303.8670760011514</v>
      </c>
      <c r="V384" s="120">
        <f t="shared" ca="1" si="241"/>
        <v>2603.2980976331228</v>
      </c>
      <c r="W384" s="120">
        <f t="shared" ca="1" si="241"/>
        <v>2894.4832574628331</v>
      </c>
      <c r="X384" s="120">
        <f t="shared" ca="1" si="241"/>
        <v>3195.983257992606</v>
      </c>
      <c r="Y384" s="120">
        <f t="shared" ca="1" si="241"/>
        <v>3440.2643704161746</v>
      </c>
      <c r="Z384" s="120">
        <f t="shared" ca="1" si="241"/>
        <v>3685.8241933566151</v>
      </c>
      <c r="AA384" s="120"/>
      <c r="AB384" s="121"/>
      <c r="AC384" s="121"/>
      <c r="AD384" s="121"/>
      <c r="AE384" s="121"/>
      <c r="AF384" s="121"/>
      <c r="AG384" s="121"/>
      <c r="AH384" s="121"/>
      <c r="AI384" s="121"/>
      <c r="AJ384" s="121"/>
      <c r="AK384" s="121"/>
      <c r="AL384" s="121"/>
      <c r="AM384" s="121"/>
      <c r="AN384" s="121"/>
      <c r="AO384" s="121"/>
      <c r="AP384" s="121"/>
      <c r="AQ384" s="121"/>
      <c r="AR384" s="121"/>
      <c r="AS384" s="121"/>
      <c r="AT384" s="121"/>
      <c r="AU384" s="121"/>
      <c r="AV384" s="121"/>
      <c r="AW384" s="121"/>
      <c r="AX384" s="121"/>
      <c r="AY384" s="121"/>
      <c r="AZ384" s="121"/>
      <c r="BA384" s="121"/>
      <c r="BB384" s="522"/>
      <c r="BC384" s="123"/>
    </row>
    <row r="385" spans="1:57" s="281" customFormat="1" x14ac:dyDescent="0.25">
      <c r="A385" s="132"/>
      <c r="B385" s="133" t="s">
        <v>646</v>
      </c>
      <c r="C385" s="527"/>
      <c r="D385" s="528"/>
      <c r="E385" s="529"/>
      <c r="F385" s="529"/>
      <c r="G385" s="529"/>
      <c r="H385" s="529"/>
      <c r="I385" s="530">
        <f>I366+I370+I374+I378+I382</f>
        <v>340.98369010099998</v>
      </c>
      <c r="J385" s="530">
        <f>J366+J370+J374+J378+J382</f>
        <v>554.14465451900014</v>
      </c>
      <c r="K385" s="530">
        <f t="shared" ref="K385:Z385" si="242">K366+K370+K374+K378+K382</f>
        <v>773.02927037399991</v>
      </c>
      <c r="L385" s="530">
        <f t="shared" si="242"/>
        <v>833.01025166399995</v>
      </c>
      <c r="M385" s="530">
        <f t="shared" si="242"/>
        <v>890.65428919099998</v>
      </c>
      <c r="N385" s="530">
        <f t="shared" si="242"/>
        <v>932.50832086299988</v>
      </c>
      <c r="O385" s="530">
        <f t="shared" si="242"/>
        <v>988.62553022999987</v>
      </c>
      <c r="P385" s="1819">
        <f t="shared" si="242"/>
        <v>1135.1413956440001</v>
      </c>
      <c r="Q385" s="531">
        <f t="shared" ca="1" si="242"/>
        <v>1308.2149077333083</v>
      </c>
      <c r="R385" s="531">
        <f t="shared" ca="1" si="242"/>
        <v>1474.7873701366314</v>
      </c>
      <c r="S385" s="531">
        <f t="shared" ca="1" si="242"/>
        <v>1761.0102003002107</v>
      </c>
      <c r="T385" s="531">
        <f t="shared" ca="1" si="242"/>
        <v>2004.519728664689</v>
      </c>
      <c r="U385" s="531">
        <f t="shared" ca="1" si="242"/>
        <v>2303.8670760011514</v>
      </c>
      <c r="V385" s="531">
        <f t="shared" ca="1" si="242"/>
        <v>2603.2980976331228</v>
      </c>
      <c r="W385" s="531">
        <f t="shared" ca="1" si="242"/>
        <v>2894.4832574628331</v>
      </c>
      <c r="X385" s="531">
        <f t="shared" ca="1" si="242"/>
        <v>3195.983257992606</v>
      </c>
      <c r="Y385" s="531">
        <f t="shared" ca="1" si="242"/>
        <v>3440.2643704161746</v>
      </c>
      <c r="Z385" s="531">
        <f t="shared" ca="1" si="242"/>
        <v>3685.8241933566151</v>
      </c>
      <c r="AA385" s="531"/>
      <c r="AB385" s="532"/>
      <c r="AC385" s="532"/>
      <c r="AD385" s="532"/>
      <c r="AE385" s="532"/>
      <c r="AF385" s="532"/>
      <c r="AG385" s="532"/>
      <c r="AH385" s="532"/>
      <c r="AI385" s="532"/>
      <c r="AJ385" s="532"/>
      <c r="AK385" s="532"/>
      <c r="AL385" s="532"/>
      <c r="AM385" s="532"/>
      <c r="AN385" s="532"/>
      <c r="AO385" s="532"/>
      <c r="AP385" s="532"/>
      <c r="AQ385" s="532"/>
      <c r="AR385" s="532"/>
      <c r="AS385" s="532"/>
      <c r="AT385" s="532"/>
      <c r="AU385" s="532"/>
      <c r="AV385" s="532"/>
      <c r="AW385" s="532"/>
      <c r="AX385" s="532"/>
      <c r="AY385" s="532"/>
      <c r="AZ385" s="532"/>
      <c r="BA385" s="532"/>
      <c r="BB385" s="533"/>
      <c r="BC385" s="123"/>
    </row>
    <row r="386" spans="1:57" s="42" customFormat="1" x14ac:dyDescent="0.25">
      <c r="A386" s="41"/>
      <c r="D386" s="181"/>
      <c r="E386" s="44"/>
      <c r="F386" s="44"/>
      <c r="G386" s="44"/>
      <c r="H386" s="44"/>
      <c r="I386" s="44"/>
      <c r="J386" s="44"/>
      <c r="K386" s="44"/>
      <c r="L386" s="44"/>
      <c r="M386" s="44"/>
      <c r="N386" s="44"/>
      <c r="O386" s="44"/>
      <c r="P386" s="521"/>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c r="AR386" s="44"/>
      <c r="AS386" s="44"/>
      <c r="AT386" s="44"/>
      <c r="AU386" s="44"/>
      <c r="AV386" s="44"/>
      <c r="AW386" s="44"/>
      <c r="AX386" s="44"/>
      <c r="AY386" s="44"/>
      <c r="AZ386" s="44"/>
      <c r="BA386" s="44"/>
      <c r="BB386" s="181"/>
      <c r="BC386" s="103"/>
      <c r="BD386" s="181"/>
      <c r="BE386" s="181"/>
    </row>
    <row r="387" spans="1:57" s="258" customFormat="1" ht="13.8" thickBot="1" x14ac:dyDescent="0.3">
      <c r="A387" s="115"/>
      <c r="B387" s="116" t="s">
        <v>647</v>
      </c>
      <c r="C387" s="116"/>
      <c r="E387" s="118"/>
      <c r="F387" s="118"/>
      <c r="G387" s="118"/>
      <c r="H387" s="118"/>
      <c r="I387" s="119">
        <f>I352+I357+I384</f>
        <v>1090.945918224</v>
      </c>
      <c r="J387" s="119">
        <f>J352+J357+J384</f>
        <v>1067.9331976480003</v>
      </c>
      <c r="K387" s="119">
        <f t="shared" ref="K387:Z387" si="243">K352+K357+K384</f>
        <v>1434.2599540829997</v>
      </c>
      <c r="L387" s="119">
        <f t="shared" si="243"/>
        <v>1544.1900202940001</v>
      </c>
      <c r="M387" s="119">
        <f t="shared" si="243"/>
        <v>1434.340877185</v>
      </c>
      <c r="N387" s="119">
        <f t="shared" si="243"/>
        <v>1620.552920656</v>
      </c>
      <c r="O387" s="119">
        <f t="shared" si="243"/>
        <v>1437.409436723</v>
      </c>
      <c r="P387" s="671">
        <f t="shared" si="243"/>
        <v>1553.4944181640001</v>
      </c>
      <c r="Q387" s="172">
        <f t="shared" ca="1" si="243"/>
        <v>2118.7146521174413</v>
      </c>
      <c r="R387" s="172">
        <f t="shared" ca="1" si="243"/>
        <v>2393.1115019692334</v>
      </c>
      <c r="S387" s="172">
        <f t="shared" ca="1" si="243"/>
        <v>2757.0831770043733</v>
      </c>
      <c r="T387" s="172">
        <f t="shared" ca="1" si="243"/>
        <v>2953.9377385449616</v>
      </c>
      <c r="U387" s="172">
        <f t="shared" ca="1" si="243"/>
        <v>3136.9893323021411</v>
      </c>
      <c r="V387" s="172">
        <f t="shared" ca="1" si="243"/>
        <v>3396.8616482631255</v>
      </c>
      <c r="W387" s="172">
        <f t="shared" ca="1" si="243"/>
        <v>3566.890291418641</v>
      </c>
      <c r="X387" s="172">
        <f t="shared" ca="1" si="243"/>
        <v>3898.2513497739646</v>
      </c>
      <c r="Y387" s="172">
        <f t="shared" ca="1" si="243"/>
        <v>4135.7737584808674</v>
      </c>
      <c r="Z387" s="172">
        <f t="shared" ca="1" si="243"/>
        <v>4382.0576156570587</v>
      </c>
      <c r="AA387" s="172"/>
      <c r="AB387" s="173"/>
      <c r="AC387" s="173"/>
      <c r="AD387" s="173"/>
      <c r="AE387" s="173"/>
      <c r="AF387" s="173"/>
      <c r="AG387" s="173"/>
      <c r="AH387" s="173"/>
      <c r="AI387" s="173"/>
      <c r="AJ387" s="173"/>
      <c r="AK387" s="173"/>
      <c r="AL387" s="173"/>
      <c r="AM387" s="173"/>
      <c r="AN387" s="173"/>
      <c r="AO387" s="173"/>
      <c r="AP387" s="173"/>
      <c r="AQ387" s="173"/>
      <c r="AR387" s="173"/>
      <c r="AS387" s="173"/>
      <c r="AT387" s="173"/>
      <c r="AU387" s="173"/>
      <c r="AV387" s="173"/>
      <c r="AW387" s="173"/>
      <c r="AX387" s="173"/>
      <c r="AY387" s="173"/>
      <c r="AZ387" s="173"/>
      <c r="BA387" s="173"/>
      <c r="BC387" s="123"/>
    </row>
    <row r="388" spans="1:57" s="281" customFormat="1" ht="13.8" thickBot="1" x14ac:dyDescent="0.3">
      <c r="A388" s="132"/>
      <c r="B388" s="534" t="s">
        <v>648</v>
      </c>
      <c r="C388" s="534"/>
      <c r="D388" s="535"/>
      <c r="E388" s="536"/>
      <c r="F388" s="536"/>
      <c r="G388" s="536"/>
      <c r="H388" s="536"/>
      <c r="I388" s="537">
        <f>I353+I359+I385</f>
        <v>1090.945918224</v>
      </c>
      <c r="J388" s="537">
        <f>J353+J359+J385</f>
        <v>1067.9331976480003</v>
      </c>
      <c r="K388" s="537">
        <f t="shared" ref="K388:Z388" si="244">K353+K359+K385</f>
        <v>1434.2599540829999</v>
      </c>
      <c r="L388" s="537">
        <f t="shared" si="244"/>
        <v>1544.1900202940001</v>
      </c>
      <c r="M388" s="537">
        <f t="shared" si="244"/>
        <v>1434.340877185</v>
      </c>
      <c r="N388" s="537">
        <f t="shared" si="244"/>
        <v>1620.552920656</v>
      </c>
      <c r="O388" s="537">
        <f t="shared" si="244"/>
        <v>1437.409436723</v>
      </c>
      <c r="P388" s="1820">
        <f t="shared" si="244"/>
        <v>1553.4944181640001</v>
      </c>
      <c r="Q388" s="538">
        <f t="shared" ca="1" si="244"/>
        <v>2118.7146521174413</v>
      </c>
      <c r="R388" s="538">
        <f t="shared" ca="1" si="244"/>
        <v>2393.1115019692329</v>
      </c>
      <c r="S388" s="538">
        <f t="shared" ca="1" si="244"/>
        <v>2757.0831770043733</v>
      </c>
      <c r="T388" s="538">
        <f t="shared" ca="1" si="244"/>
        <v>2953.9377385449616</v>
      </c>
      <c r="U388" s="538">
        <f t="shared" ca="1" si="244"/>
        <v>3136.9893323021406</v>
      </c>
      <c r="V388" s="538">
        <f t="shared" ca="1" si="244"/>
        <v>3396.8616482631255</v>
      </c>
      <c r="W388" s="538">
        <f t="shared" ca="1" si="244"/>
        <v>3566.890291418641</v>
      </c>
      <c r="X388" s="538">
        <f t="shared" ca="1" si="244"/>
        <v>3898.2513497739646</v>
      </c>
      <c r="Y388" s="538">
        <f t="shared" ca="1" si="244"/>
        <v>4135.7737584808674</v>
      </c>
      <c r="Z388" s="538">
        <f t="shared" ca="1" si="244"/>
        <v>4382.0576156570587</v>
      </c>
      <c r="AA388" s="538"/>
      <c r="AB388" s="539"/>
      <c r="AC388" s="539"/>
      <c r="AD388" s="539"/>
      <c r="AE388" s="539"/>
      <c r="AF388" s="539"/>
      <c r="AG388" s="539"/>
      <c r="AH388" s="539"/>
      <c r="AI388" s="539"/>
      <c r="AJ388" s="539"/>
      <c r="AK388" s="539"/>
      <c r="AL388" s="539"/>
      <c r="AM388" s="539"/>
      <c r="AN388" s="539"/>
      <c r="AO388" s="539"/>
      <c r="AP388" s="539"/>
      <c r="AQ388" s="539"/>
      <c r="AR388" s="539"/>
      <c r="AS388" s="539"/>
      <c r="AT388" s="539"/>
      <c r="AU388" s="539"/>
      <c r="AV388" s="539"/>
      <c r="AW388" s="539"/>
      <c r="AX388" s="539"/>
      <c r="AY388" s="539"/>
      <c r="AZ388" s="539"/>
      <c r="BA388" s="539"/>
      <c r="BB388" s="535"/>
      <c r="BC388" s="540"/>
    </row>
    <row r="389" spans="1:57" s="426" customFormat="1" ht="13.8" thickTop="1" x14ac:dyDescent="0.25">
      <c r="A389" s="425"/>
      <c r="B389" s="426" t="s">
        <v>468</v>
      </c>
      <c r="D389" s="427"/>
      <c r="E389" s="428"/>
      <c r="F389" s="428"/>
      <c r="G389" s="428"/>
      <c r="H389" s="428"/>
      <c r="I389" s="429">
        <f>IF(ISTEXT('BS Raw'!I11),I388-'BS Raw'!I136/Input!$B$1,"chưa có BCTC")</f>
        <v>0</v>
      </c>
      <c r="J389" s="429">
        <f>IF(ISTEXT('BS Raw'!J11),J388-'BS Raw'!J136/Input!$B$1,"chưa có BCTC")</f>
        <v>2.2737367544323206E-13</v>
      </c>
      <c r="K389" s="429">
        <f>IF(ISTEXT('BS Raw'!K11),K388-'BS Raw'!K136/Input!$B$1,"chưa có BCTC")</f>
        <v>0</v>
      </c>
      <c r="L389" s="429">
        <f>IF(ISTEXT('BS Raw'!L11),L388-'BS Raw'!L136/Input!$B$1,"chưa có BCTC")</f>
        <v>0</v>
      </c>
      <c r="M389" s="429">
        <f>IF(ISTEXT('BS Raw'!M11),M388-'BS Raw'!M136/Input!$B$1,"chưa có BCTC")</f>
        <v>0</v>
      </c>
      <c r="N389" s="429">
        <f>IF(ISTEXT('BS Raw'!N11),N388-'BS Raw'!N136/Input!$B$1,"chưa có BCTC")</f>
        <v>0</v>
      </c>
      <c r="O389" s="429">
        <f>IF(ISTEXT('BS Raw'!O11),O388-'BS Raw'!O136/Input!$B$1,"chưa có BCTC")</f>
        <v>0</v>
      </c>
      <c r="P389" s="786">
        <f>IF(ISTEXT('BS Raw'!P11),P388-'BS Raw'!P136/Input!$B$1,"chưa có BCTC")</f>
        <v>0</v>
      </c>
      <c r="Q389" s="429" t="str">
        <f>IF(ISTEXT('BS Raw'!Q11),Q388-'BS Raw'!Q136/Input!$B$1,"chưa có BCTC")</f>
        <v>chưa có BCTC</v>
      </c>
      <c r="R389" s="429" t="str">
        <f>IF(ISTEXT('BS Raw'!R11),R388-'BS Raw'!R136/Input!$B$1,"chưa có BCTC")</f>
        <v>chưa có BCTC</v>
      </c>
      <c r="S389" s="429" t="str">
        <f>IF(ISTEXT('BS Raw'!S11),S388-'BS Raw'!S136/Input!$B$1,"chưa có BCTC")</f>
        <v>chưa có BCTC</v>
      </c>
      <c r="T389" s="429" t="str">
        <f>IF(ISTEXT('BS Raw'!T11),T388-'BS Raw'!T136/Input!$B$1,"chưa có BCTC")</f>
        <v>chưa có BCTC</v>
      </c>
      <c r="U389" s="429" t="str">
        <f>IF(ISTEXT('BS Raw'!U11),U388-'BS Raw'!U136/Input!$B$1,"chưa có BCTC")</f>
        <v>chưa có BCTC</v>
      </c>
      <c r="V389" s="429" t="str">
        <f>IF(ISTEXT('BS Raw'!V11),V388-'BS Raw'!V136/Input!$B$1,"chưa có BCTC")</f>
        <v>chưa có BCTC</v>
      </c>
      <c r="W389" s="429" t="str">
        <f>IF(ISTEXT('BS Raw'!W11),W388-'BS Raw'!W136/Input!$B$1,"chưa có BCTC")</f>
        <v>chưa có BCTC</v>
      </c>
      <c r="X389" s="429" t="str">
        <f>IF(ISTEXT('BS Raw'!X11),X388-'BS Raw'!X136/Input!$B$1,"chưa có BCTC")</f>
        <v>chưa có BCTC</v>
      </c>
      <c r="Y389" s="429" t="str">
        <f>IF(ISTEXT('BS Raw'!Y11),Y388-'BS Raw'!Y136/Input!$B$1,"chưa có BCTC")</f>
        <v>chưa có BCTC</v>
      </c>
      <c r="Z389" s="429" t="str">
        <f>IF(ISTEXT('BS Raw'!Z11),Z388-'BS Raw'!Z136/Input!$B$1,"chưa có BCTC")</f>
        <v>chưa có BCTC</v>
      </c>
      <c r="AA389" s="428"/>
      <c r="AB389" s="428"/>
      <c r="AC389" s="428"/>
      <c r="AD389" s="428"/>
      <c r="AE389" s="428"/>
      <c r="AF389" s="428"/>
      <c r="AG389" s="428"/>
      <c r="AH389" s="428"/>
      <c r="AI389" s="428"/>
      <c r="AJ389" s="428"/>
      <c r="AK389" s="428"/>
      <c r="AL389" s="428"/>
      <c r="AM389" s="428"/>
      <c r="AN389" s="428"/>
      <c r="AO389" s="428"/>
      <c r="AP389" s="428"/>
      <c r="AQ389" s="428"/>
      <c r="AR389" s="428"/>
      <c r="AS389" s="428"/>
      <c r="AT389" s="428"/>
      <c r="AU389" s="428"/>
      <c r="AV389" s="428"/>
      <c r="AW389" s="428"/>
      <c r="AX389" s="428"/>
      <c r="AY389" s="428"/>
      <c r="AZ389" s="428"/>
      <c r="BA389" s="428"/>
      <c r="BB389" s="541"/>
      <c r="BC389" s="430"/>
      <c r="BD389" s="427"/>
      <c r="BE389" s="427"/>
    </row>
    <row r="390" spans="1:57" s="459" customFormat="1" x14ac:dyDescent="0.25">
      <c r="A390" s="457"/>
      <c r="B390" s="458" t="s">
        <v>649</v>
      </c>
      <c r="C390" s="458"/>
      <c r="E390" s="542"/>
      <c r="F390" s="542"/>
      <c r="G390" s="542"/>
      <c r="H390" s="542"/>
      <c r="I390" s="543">
        <f>I388-I265</f>
        <v>0</v>
      </c>
      <c r="J390" s="543">
        <f>J388-J265</f>
        <v>0</v>
      </c>
      <c r="K390" s="543">
        <f t="shared" ref="K390:Z390" si="245">K388-K265</f>
        <v>0</v>
      </c>
      <c r="L390" s="543">
        <f t="shared" si="245"/>
        <v>0</v>
      </c>
      <c r="M390" s="543">
        <f t="shared" si="245"/>
        <v>0</v>
      </c>
      <c r="N390" s="543">
        <f t="shared" si="245"/>
        <v>0</v>
      </c>
      <c r="O390" s="543">
        <f t="shared" si="245"/>
        <v>0</v>
      </c>
      <c r="P390" s="745">
        <f t="shared" si="245"/>
        <v>1.0002167982747778E-9</v>
      </c>
      <c r="Q390" s="543">
        <f t="shared" ca="1" si="245"/>
        <v>0</v>
      </c>
      <c r="R390" s="543">
        <f t="shared" ca="1" si="245"/>
        <v>0</v>
      </c>
      <c r="S390" s="543">
        <f t="shared" ca="1" si="245"/>
        <v>0</v>
      </c>
      <c r="T390" s="543">
        <f t="shared" ca="1" si="245"/>
        <v>0</v>
      </c>
      <c r="U390" s="543">
        <f t="shared" ca="1" si="245"/>
        <v>0</v>
      </c>
      <c r="V390" s="543">
        <f t="shared" ca="1" si="245"/>
        <v>0</v>
      </c>
      <c r="W390" s="543">
        <f t="shared" ca="1" si="245"/>
        <v>0</v>
      </c>
      <c r="X390" s="543">
        <f t="shared" ca="1" si="245"/>
        <v>0</v>
      </c>
      <c r="Y390" s="543">
        <f t="shared" ca="1" si="245"/>
        <v>0</v>
      </c>
      <c r="Z390" s="543">
        <f t="shared" ca="1" si="245"/>
        <v>0</v>
      </c>
      <c r="AA390" s="543"/>
      <c r="AB390" s="543"/>
      <c r="AC390" s="543"/>
      <c r="AD390" s="543"/>
      <c r="AE390" s="542"/>
      <c r="AF390" s="542"/>
      <c r="AG390" s="542"/>
      <c r="AH390" s="542"/>
      <c r="AI390" s="542"/>
      <c r="AJ390" s="542"/>
      <c r="AK390" s="542"/>
      <c r="AL390" s="542"/>
      <c r="AM390" s="542"/>
      <c r="AN390" s="542"/>
      <c r="AO390" s="542"/>
      <c r="AP390" s="542"/>
      <c r="AQ390" s="542"/>
      <c r="AR390" s="542"/>
      <c r="AS390" s="542"/>
      <c r="AT390" s="542"/>
      <c r="AU390" s="542"/>
      <c r="AV390" s="542"/>
      <c r="AW390" s="542"/>
      <c r="AX390" s="542"/>
      <c r="AY390" s="542"/>
      <c r="AZ390" s="542"/>
      <c r="BA390" s="542"/>
      <c r="BC390" s="463"/>
    </row>
    <row r="391" spans="1:57" x14ac:dyDescent="0.25">
      <c r="A391" s="64"/>
      <c r="B391" s="42"/>
      <c r="C391" s="42"/>
      <c r="D391" s="112"/>
      <c r="E391" s="544"/>
      <c r="F391" s="544"/>
      <c r="G391" s="544"/>
      <c r="H391" s="544"/>
      <c r="I391" s="544"/>
      <c r="J391" s="544"/>
      <c r="K391" s="544"/>
      <c r="L391" s="544"/>
      <c r="M391" s="544"/>
      <c r="N391" s="544"/>
      <c r="O391" s="544"/>
      <c r="P391" s="545"/>
      <c r="Q391" s="544"/>
      <c r="R391" s="544"/>
      <c r="S391" s="544"/>
      <c r="T391" s="544"/>
      <c r="U391" s="544"/>
      <c r="V391" s="544"/>
      <c r="W391" s="544"/>
      <c r="X391" s="544"/>
      <c r="Y391" s="544"/>
      <c r="Z391" s="544"/>
      <c r="AA391" s="544"/>
      <c r="AB391" s="544"/>
      <c r="AC391" s="544"/>
      <c r="AD391" s="544"/>
      <c r="AE391" s="544"/>
      <c r="AF391" s="544"/>
      <c r="AG391" s="544"/>
      <c r="AH391" s="544"/>
      <c r="AI391" s="544"/>
      <c r="AJ391" s="544"/>
      <c r="AK391" s="544"/>
      <c r="AL391" s="544"/>
      <c r="AM391" s="544"/>
      <c r="AN391" s="544"/>
      <c r="AO391" s="544"/>
      <c r="AP391" s="544"/>
      <c r="AQ391" s="544"/>
      <c r="AR391" s="544"/>
      <c r="AS391" s="544"/>
      <c r="AT391" s="544"/>
      <c r="AU391" s="544"/>
      <c r="AV391" s="544"/>
      <c r="AW391" s="544"/>
      <c r="AX391" s="544"/>
      <c r="AY391" s="544"/>
      <c r="AZ391" s="544"/>
      <c r="BA391" s="544"/>
      <c r="BB391" s="544"/>
      <c r="BC391" s="546"/>
      <c r="BD391" s="112"/>
      <c r="BE391" s="112"/>
    </row>
    <row r="392" spans="1:57" x14ac:dyDescent="0.25">
      <c r="A392" s="64"/>
      <c r="D392" s="112"/>
      <c r="E392" s="113"/>
      <c r="F392" s="113"/>
      <c r="G392" s="113"/>
      <c r="H392" s="113"/>
      <c r="I392" s="113"/>
      <c r="J392" s="113"/>
      <c r="K392" s="113"/>
      <c r="L392" s="113"/>
      <c r="M392" s="113"/>
      <c r="N392" s="113"/>
      <c r="O392" s="113"/>
      <c r="P392" s="299"/>
      <c r="Q392" s="113"/>
      <c r="R392" s="113"/>
      <c r="S392" s="113"/>
      <c r="T392" s="113"/>
      <c r="U392" s="113"/>
      <c r="V392" s="113"/>
      <c r="W392" s="113"/>
      <c r="X392" s="113"/>
      <c r="Y392" s="113"/>
      <c r="Z392" s="113"/>
      <c r="AA392" s="113"/>
      <c r="AB392" s="113"/>
      <c r="AC392" s="113"/>
      <c r="AD392" s="113"/>
      <c r="AE392" s="113"/>
      <c r="AF392" s="113"/>
      <c r="AG392" s="113"/>
      <c r="AH392" s="113"/>
      <c r="AI392" s="113"/>
      <c r="AJ392" s="113"/>
      <c r="AK392" s="113"/>
      <c r="AL392" s="113"/>
      <c r="AM392" s="113"/>
      <c r="AN392" s="113"/>
      <c r="AO392" s="113"/>
      <c r="AP392" s="113"/>
      <c r="AQ392" s="113"/>
      <c r="AR392" s="113"/>
      <c r="AS392" s="113"/>
      <c r="AT392" s="113"/>
      <c r="AU392" s="113"/>
      <c r="AV392" s="113"/>
      <c r="AW392" s="113"/>
      <c r="AX392" s="113"/>
      <c r="AY392" s="113"/>
      <c r="AZ392" s="113"/>
      <c r="BA392" s="113"/>
      <c r="BB392" s="113"/>
      <c r="BC392" s="546"/>
      <c r="BD392" s="112"/>
      <c r="BE392" s="112"/>
    </row>
    <row r="393" spans="1:57" x14ac:dyDescent="0.25">
      <c r="A393" s="64"/>
      <c r="B393" s="547" t="s">
        <v>650</v>
      </c>
      <c r="C393" s="93"/>
      <c r="D393" s="99"/>
      <c r="E393" s="99"/>
      <c r="F393" s="99"/>
      <c r="G393" s="99"/>
      <c r="H393" s="99"/>
      <c r="I393" s="98">
        <f>I166+I176+I195+I207+I211+I226+I232+I238+I244+I249+I254+I259+I220</f>
        <v>1090.945918224</v>
      </c>
      <c r="J393" s="98">
        <f>J166+J176+J195+J207+J211+J226+J232+J238+J244+J249+J254+J259+J220</f>
        <v>1067.933197648</v>
      </c>
      <c r="K393" s="98">
        <f t="shared" ref="K393:Z393" si="246">K166+K176+K195+K207+K211+K226+K232+K238+K244+K249+K254+K259+K220</f>
        <v>1434.2599540829999</v>
      </c>
      <c r="L393" s="98">
        <f t="shared" si="246"/>
        <v>1544.1900202940001</v>
      </c>
      <c r="M393" s="98">
        <f t="shared" si="246"/>
        <v>1434.3408771850002</v>
      </c>
      <c r="N393" s="98">
        <f t="shared" si="246"/>
        <v>1620.5529206560002</v>
      </c>
      <c r="O393" s="98">
        <f t="shared" si="246"/>
        <v>1437.4094367230002</v>
      </c>
      <c r="P393" s="1821">
        <f t="shared" si="246"/>
        <v>1553.4944181630001</v>
      </c>
      <c r="Q393" s="98">
        <f t="shared" si="246"/>
        <v>2095.1802277674701</v>
      </c>
      <c r="R393" s="98">
        <f t="shared" si="246"/>
        <v>2383.5561855026472</v>
      </c>
      <c r="S393" s="98">
        <f t="shared" si="246"/>
        <v>2754.723045513555</v>
      </c>
      <c r="T393" s="98">
        <f t="shared" si="246"/>
        <v>2948.073753786236</v>
      </c>
      <c r="U393" s="98">
        <f t="shared" si="246"/>
        <v>3132.6071914689142</v>
      </c>
      <c r="V393" s="98">
        <f t="shared" si="246"/>
        <v>3396.489716125463</v>
      </c>
      <c r="W393" s="98">
        <f t="shared" si="246"/>
        <v>3561.4974278093418</v>
      </c>
      <c r="X393" s="98">
        <f t="shared" si="246"/>
        <v>3889.8432930903218</v>
      </c>
      <c r="Y393" s="98">
        <f t="shared" si="246"/>
        <v>4130.1348882053844</v>
      </c>
      <c r="Z393" s="98">
        <f t="shared" si="246"/>
        <v>4373.3767598289123</v>
      </c>
      <c r="AA393" s="98"/>
      <c r="AB393" s="548"/>
      <c r="AC393" s="548"/>
      <c r="AD393" s="548"/>
      <c r="AE393" s="548"/>
      <c r="AF393" s="548"/>
      <c r="AG393" s="548"/>
      <c r="AH393" s="548"/>
      <c r="AI393" s="548"/>
      <c r="AJ393" s="548"/>
      <c r="AK393" s="548"/>
      <c r="AL393" s="548"/>
      <c r="AM393" s="548"/>
      <c r="AN393" s="548"/>
      <c r="AO393" s="548"/>
      <c r="AP393" s="548"/>
      <c r="AQ393" s="548"/>
      <c r="AR393" s="548"/>
      <c r="AS393" s="548"/>
      <c r="AT393" s="548"/>
      <c r="AU393" s="548"/>
      <c r="AV393" s="548"/>
      <c r="AW393" s="548"/>
      <c r="AX393" s="548"/>
      <c r="AY393" s="548"/>
      <c r="AZ393" s="548"/>
      <c r="BA393" s="548"/>
      <c r="BB393" s="112"/>
      <c r="BC393" s="549"/>
      <c r="BD393" s="112"/>
      <c r="BE393" s="112"/>
    </row>
    <row r="394" spans="1:57" x14ac:dyDescent="0.25">
      <c r="A394" s="64"/>
      <c r="B394" s="550" t="s">
        <v>651</v>
      </c>
      <c r="D394" s="66"/>
      <c r="E394" s="66"/>
      <c r="F394" s="66"/>
      <c r="G394" s="66"/>
      <c r="H394" s="66"/>
      <c r="I394" s="220">
        <f>I382+I378+I374+I370+I366+I359+I343+I347+I336+I330+I293+I289+I284+I279</f>
        <v>1090.945918224</v>
      </c>
      <c r="J394" s="220">
        <f>J382+J378+J374+J370+J366+J359+J343+J347+J336+J330+J293+J289+J284+J279</f>
        <v>1067.933197648</v>
      </c>
      <c r="K394" s="220">
        <f t="shared" ref="K394:Z394" si="247">K382+K378+K374+K370+K366+K359+K343+K347+K336+K330+K293+K289+K284+K279</f>
        <v>1434.2599540829999</v>
      </c>
      <c r="L394" s="220">
        <f t="shared" si="247"/>
        <v>1544.1900202940001</v>
      </c>
      <c r="M394" s="220">
        <f t="shared" si="247"/>
        <v>1434.340877185</v>
      </c>
      <c r="N394" s="220">
        <f t="shared" si="247"/>
        <v>1620.552920656</v>
      </c>
      <c r="O394" s="220">
        <f t="shared" si="247"/>
        <v>1437.409436723</v>
      </c>
      <c r="P394" s="1789">
        <f t="shared" si="247"/>
        <v>1553.4944181640001</v>
      </c>
      <c r="Q394" s="220">
        <f t="shared" ca="1" si="247"/>
        <v>2118.7146521174409</v>
      </c>
      <c r="R394" s="220">
        <f t="shared" ca="1" si="247"/>
        <v>2393.1115019692329</v>
      </c>
      <c r="S394" s="220">
        <f t="shared" ca="1" si="247"/>
        <v>2757.0831770043728</v>
      </c>
      <c r="T394" s="220">
        <f t="shared" ca="1" si="247"/>
        <v>2953.9377385449611</v>
      </c>
      <c r="U394" s="220">
        <f t="shared" ca="1" si="247"/>
        <v>3136.9893323021415</v>
      </c>
      <c r="V394" s="220">
        <f t="shared" ca="1" si="247"/>
        <v>3396.861648263126</v>
      </c>
      <c r="W394" s="220">
        <f t="shared" ca="1" si="247"/>
        <v>3566.890291418641</v>
      </c>
      <c r="X394" s="220">
        <f t="shared" ca="1" si="247"/>
        <v>3898.2513497739642</v>
      </c>
      <c r="Y394" s="220">
        <f t="shared" ca="1" si="247"/>
        <v>4135.7737584808674</v>
      </c>
      <c r="Z394" s="220">
        <f t="shared" ca="1" si="247"/>
        <v>4382.0576156570587</v>
      </c>
      <c r="AA394" s="220"/>
      <c r="AB394" s="208"/>
      <c r="AC394" s="208"/>
      <c r="AD394" s="208"/>
      <c r="AE394" s="208"/>
      <c r="AF394" s="208"/>
      <c r="AG394" s="208"/>
      <c r="AH394" s="208"/>
      <c r="AI394" s="208"/>
      <c r="AJ394" s="208"/>
      <c r="AK394" s="208"/>
      <c r="AL394" s="208"/>
      <c r="AM394" s="208"/>
      <c r="AN394" s="208"/>
      <c r="AO394" s="208"/>
      <c r="AP394" s="208"/>
      <c r="AQ394" s="208"/>
      <c r="AR394" s="208"/>
      <c r="AS394" s="208"/>
      <c r="AT394" s="208"/>
      <c r="AU394" s="208"/>
      <c r="AV394" s="208"/>
      <c r="AW394" s="208"/>
      <c r="AX394" s="208"/>
      <c r="AY394" s="208"/>
      <c r="AZ394" s="208"/>
      <c r="BA394" s="208"/>
      <c r="BB394" s="112"/>
      <c r="BC394" s="549"/>
      <c r="BD394" s="112"/>
      <c r="BE394" s="112"/>
    </row>
    <row r="395" spans="1:57" x14ac:dyDescent="0.25">
      <c r="A395" s="64"/>
      <c r="B395" s="550"/>
      <c r="D395" s="66"/>
      <c r="E395" s="170"/>
      <c r="F395" s="170"/>
      <c r="G395" s="170"/>
      <c r="H395" s="170"/>
      <c r="I395" s="170"/>
      <c r="J395" s="170"/>
      <c r="K395" s="170"/>
      <c r="L395" s="170"/>
      <c r="M395" s="170"/>
      <c r="N395" s="170"/>
      <c r="O395" s="170"/>
      <c r="P395" s="171"/>
      <c r="Q395" s="170"/>
      <c r="R395" s="170"/>
      <c r="S395" s="170"/>
      <c r="T395" s="170"/>
      <c r="U395" s="170"/>
      <c r="V395" s="170"/>
      <c r="W395" s="170"/>
      <c r="X395" s="170"/>
      <c r="Y395" s="170"/>
      <c r="Z395" s="170"/>
      <c r="AA395" s="170"/>
      <c r="AB395" s="170"/>
      <c r="AC395" s="170"/>
      <c r="AD395" s="170"/>
      <c r="AE395" s="170"/>
      <c r="AF395" s="170"/>
      <c r="AG395" s="170"/>
      <c r="AH395" s="170"/>
      <c r="AI395" s="170"/>
      <c r="AJ395" s="170"/>
      <c r="AK395" s="170"/>
      <c r="AL395" s="170"/>
      <c r="AM395" s="170"/>
      <c r="AN395" s="170"/>
      <c r="AO395" s="170"/>
      <c r="AP395" s="170"/>
      <c r="AQ395" s="170"/>
      <c r="AR395" s="170"/>
      <c r="AS395" s="170"/>
      <c r="AT395" s="170"/>
      <c r="AU395" s="170"/>
      <c r="AV395" s="170"/>
      <c r="AW395" s="170"/>
      <c r="AX395" s="170"/>
      <c r="AY395" s="170"/>
      <c r="AZ395" s="170"/>
      <c r="BA395" s="170"/>
      <c r="BB395" s="113"/>
      <c r="BC395" s="546"/>
      <c r="BD395" s="112"/>
      <c r="BE395" s="112"/>
    </row>
    <row r="396" spans="1:57" s="42" customFormat="1" x14ac:dyDescent="0.25">
      <c r="A396" s="41"/>
      <c r="B396" s="551" t="s">
        <v>652</v>
      </c>
      <c r="D396" s="44"/>
      <c r="E396" s="44"/>
      <c r="F396" s="44"/>
      <c r="G396" s="44"/>
      <c r="H396" s="44"/>
      <c r="I396" s="44">
        <f>IF(ISERROR(I394-I393),0,I394-I393)</f>
        <v>0</v>
      </c>
      <c r="J396" s="44">
        <f>IF(ISERROR(J394-J393),0,J394-J393)</f>
        <v>0</v>
      </c>
      <c r="K396" s="44">
        <f t="shared" ref="K396:P396" si="248">IF(ISERROR(K394-K393),0,K394-K393)</f>
        <v>0</v>
      </c>
      <c r="L396" s="44">
        <f t="shared" si="248"/>
        <v>0</v>
      </c>
      <c r="M396" s="44">
        <f t="shared" si="248"/>
        <v>-2.2737367544323206E-13</v>
      </c>
      <c r="N396" s="44">
        <f t="shared" si="248"/>
        <v>-2.2737367544323206E-13</v>
      </c>
      <c r="O396" s="44">
        <f t="shared" si="248"/>
        <v>-2.2737367544323206E-13</v>
      </c>
      <c r="P396" s="521">
        <f t="shared" si="248"/>
        <v>9.999894245993346E-10</v>
      </c>
      <c r="Q396" s="552">
        <f ca="1">IF(ISERROR(Q394-Q393),0,Q394-Q393)</f>
        <v>23.534424349970777</v>
      </c>
      <c r="R396" s="552">
        <f t="shared" ref="R396:Z396" ca="1" si="249">IF(ISERROR(R394-R393),0,R394-R393)</f>
        <v>9.5553164665857366</v>
      </c>
      <c r="S396" s="552">
        <f t="shared" ca="1" si="249"/>
        <v>2.360131490817821</v>
      </c>
      <c r="T396" s="552">
        <f t="shared" ca="1" si="249"/>
        <v>5.8639847587251097</v>
      </c>
      <c r="U396" s="552">
        <f t="shared" ca="1" si="249"/>
        <v>4.3821408332273677</v>
      </c>
      <c r="V396" s="552">
        <f t="shared" ca="1" si="249"/>
        <v>0.3719321376629523</v>
      </c>
      <c r="W396" s="552">
        <f t="shared" ca="1" si="249"/>
        <v>5.3928636092991837</v>
      </c>
      <c r="X396" s="552">
        <f t="shared" ca="1" si="249"/>
        <v>8.4080566836423714</v>
      </c>
      <c r="Y396" s="552">
        <f t="shared" ca="1" si="249"/>
        <v>5.6388702754829865</v>
      </c>
      <c r="Z396" s="552">
        <f t="shared" ca="1" si="249"/>
        <v>8.6808558281463775</v>
      </c>
      <c r="AA396" s="552"/>
      <c r="AB396" s="553"/>
      <c r="AC396" s="553"/>
      <c r="AD396" s="553"/>
      <c r="AE396" s="553"/>
      <c r="AF396" s="553"/>
      <c r="AG396" s="553"/>
      <c r="AH396" s="553"/>
      <c r="AI396" s="553"/>
      <c r="AJ396" s="553"/>
      <c r="AK396" s="553"/>
      <c r="AL396" s="553"/>
      <c r="AM396" s="553"/>
      <c r="AN396" s="553"/>
      <c r="AO396" s="553"/>
      <c r="AP396" s="553"/>
      <c r="AQ396" s="553"/>
      <c r="AR396" s="553"/>
      <c r="AS396" s="553"/>
      <c r="AT396" s="553"/>
      <c r="AU396" s="553"/>
      <c r="AV396" s="553"/>
      <c r="AW396" s="553"/>
      <c r="AX396" s="553"/>
      <c r="AY396" s="553"/>
      <c r="AZ396" s="553"/>
      <c r="BA396" s="553"/>
      <c r="BB396" s="181"/>
      <c r="BC396" s="546"/>
      <c r="BD396" s="181"/>
      <c r="BE396" s="181"/>
    </row>
    <row r="397" spans="1:57" x14ac:dyDescent="0.25">
      <c r="A397" s="64"/>
      <c r="B397" s="550"/>
      <c r="D397" s="66"/>
      <c r="E397" s="170"/>
      <c r="F397" s="170"/>
      <c r="G397" s="170"/>
      <c r="H397" s="170"/>
      <c r="I397" s="44"/>
      <c r="J397" s="170"/>
      <c r="K397" s="170"/>
      <c r="L397" s="170"/>
      <c r="M397" s="170"/>
      <c r="N397" s="170"/>
      <c r="O397" s="170" t="s">
        <v>653</v>
      </c>
      <c r="P397" s="171"/>
      <c r="Q397" s="170"/>
      <c r="R397" s="170"/>
      <c r="S397" s="170"/>
      <c r="T397" s="170"/>
      <c r="U397" s="170"/>
      <c r="V397" s="170"/>
      <c r="W397" s="170"/>
      <c r="X397" s="170"/>
      <c r="Y397" s="170"/>
      <c r="Z397" s="170"/>
      <c r="AA397" s="170"/>
      <c r="AB397" s="170"/>
      <c r="AC397" s="170"/>
      <c r="AD397" s="170"/>
      <c r="AE397" s="170"/>
      <c r="AF397" s="170"/>
      <c r="AG397" s="170"/>
      <c r="AH397" s="170"/>
      <c r="AI397" s="170"/>
      <c r="AJ397" s="170"/>
      <c r="AK397" s="170"/>
      <c r="AL397" s="170"/>
      <c r="AM397" s="170"/>
      <c r="AN397" s="170"/>
      <c r="AO397" s="170"/>
      <c r="AP397" s="170"/>
      <c r="AQ397" s="170"/>
      <c r="AR397" s="170"/>
      <c r="AS397" s="170"/>
      <c r="AT397" s="170"/>
      <c r="AU397" s="170"/>
      <c r="AV397" s="170"/>
      <c r="AW397" s="170"/>
      <c r="AX397" s="170"/>
      <c r="AY397" s="170"/>
      <c r="AZ397" s="170"/>
      <c r="BA397" s="170"/>
      <c r="BB397" s="113"/>
      <c r="BC397" s="546"/>
      <c r="BD397" s="112"/>
      <c r="BE397" s="112"/>
    </row>
    <row r="398" spans="1:57" ht="13.8" thickBot="1" x14ac:dyDescent="0.3">
      <c r="A398" s="64"/>
      <c r="B398" s="550" t="s">
        <v>654</v>
      </c>
      <c r="D398" s="66"/>
      <c r="E398" s="170"/>
      <c r="F398" s="170"/>
      <c r="G398" s="170"/>
      <c r="H398" s="170"/>
      <c r="I398" s="44"/>
      <c r="J398" s="170"/>
      <c r="K398" s="554"/>
      <c r="M398" s="157"/>
      <c r="N398" s="157"/>
      <c r="O398" s="555" t="s">
        <v>655</v>
      </c>
      <c r="P398" s="300">
        <f>IF($O$398="Y",MAX(P396,0),0)</f>
        <v>0</v>
      </c>
      <c r="Q398" s="121">
        <f>IF($O$398="Y",MAX(Q396,0),0)</f>
        <v>0</v>
      </c>
      <c r="R398" s="121">
        <f t="shared" ref="R398:Z398" si="250">IF($O$398="Y",MAX(R396,0),0)</f>
        <v>0</v>
      </c>
      <c r="S398" s="121">
        <f t="shared" si="250"/>
        <v>0</v>
      </c>
      <c r="T398" s="121">
        <f t="shared" si="250"/>
        <v>0</v>
      </c>
      <c r="U398" s="121">
        <f t="shared" si="250"/>
        <v>0</v>
      </c>
      <c r="V398" s="121">
        <f t="shared" si="250"/>
        <v>0</v>
      </c>
      <c r="W398" s="121">
        <f t="shared" si="250"/>
        <v>0</v>
      </c>
      <c r="X398" s="121">
        <f t="shared" si="250"/>
        <v>0</v>
      </c>
      <c r="Y398" s="121">
        <f t="shared" si="250"/>
        <v>0</v>
      </c>
      <c r="Z398" s="121">
        <f t="shared" si="250"/>
        <v>0</v>
      </c>
      <c r="AA398" s="121"/>
      <c r="AB398" s="121"/>
      <c r="AC398" s="121"/>
      <c r="AD398" s="121"/>
      <c r="AE398" s="121"/>
      <c r="AF398" s="121"/>
      <c r="AG398" s="121"/>
      <c r="AH398" s="121"/>
      <c r="AI398" s="121"/>
      <c r="AJ398" s="121"/>
      <c r="AK398" s="121"/>
      <c r="AL398" s="121"/>
      <c r="AM398" s="121"/>
      <c r="AN398" s="121"/>
      <c r="AO398" s="121"/>
      <c r="AP398" s="121"/>
      <c r="AQ398" s="121"/>
      <c r="AR398" s="121"/>
      <c r="AS398" s="121"/>
      <c r="AT398" s="121"/>
      <c r="AU398" s="121"/>
      <c r="AV398" s="121"/>
      <c r="AW398" s="121"/>
      <c r="AX398" s="121"/>
      <c r="AY398" s="121"/>
      <c r="AZ398" s="121"/>
      <c r="BA398" s="121"/>
      <c r="BB398" s="230"/>
      <c r="BC398" s="546"/>
      <c r="BD398" s="112"/>
      <c r="BE398" s="112"/>
    </row>
    <row r="399" spans="1:57" ht="13.8" thickTop="1" x14ac:dyDescent="0.25">
      <c r="A399" s="64"/>
      <c r="B399" s="550"/>
      <c r="D399" s="66"/>
      <c r="E399" s="170"/>
      <c r="F399" s="170"/>
      <c r="G399" s="170"/>
      <c r="H399" s="170"/>
      <c r="I399" s="170"/>
      <c r="J399" s="170"/>
      <c r="K399" s="170"/>
      <c r="M399" s="170"/>
      <c r="N399" s="170"/>
      <c r="O399" s="170"/>
      <c r="P399" s="171"/>
      <c r="Q399" s="170"/>
      <c r="R399" s="170"/>
      <c r="S399" s="170"/>
      <c r="T399" s="170"/>
      <c r="U399" s="170"/>
      <c r="V399" s="170"/>
      <c r="W399" s="170"/>
      <c r="X399" s="170"/>
      <c r="Y399" s="170"/>
      <c r="Z399" s="170"/>
      <c r="AA399" s="170"/>
      <c r="AB399" s="170"/>
      <c r="AC399" s="170"/>
      <c r="AD399" s="170"/>
      <c r="AE399" s="170"/>
      <c r="AF399" s="170"/>
      <c r="AG399" s="170"/>
      <c r="AH399" s="170"/>
      <c r="AI399" s="170"/>
      <c r="AJ399" s="170"/>
      <c r="AK399" s="170"/>
      <c r="AL399" s="170"/>
      <c r="AM399" s="170"/>
      <c r="AN399" s="170"/>
      <c r="AO399" s="170"/>
      <c r="AP399" s="170"/>
      <c r="AQ399" s="170"/>
      <c r="AR399" s="170"/>
      <c r="AS399" s="170"/>
      <c r="AT399" s="170"/>
      <c r="AU399" s="170"/>
      <c r="AV399" s="170"/>
      <c r="AW399" s="170"/>
      <c r="AX399" s="170"/>
      <c r="AY399" s="170"/>
      <c r="AZ399" s="170"/>
      <c r="BA399" s="170"/>
      <c r="BB399" s="113"/>
      <c r="BC399" s="546"/>
      <c r="BD399" s="112"/>
      <c r="BE399" s="112"/>
    </row>
    <row r="400" spans="1:57" x14ac:dyDescent="0.25">
      <c r="A400" s="64"/>
      <c r="B400" s="550" t="s">
        <v>656</v>
      </c>
      <c r="D400" s="66"/>
      <c r="E400" s="170"/>
      <c r="F400" s="170"/>
      <c r="G400" s="170"/>
      <c r="H400" s="170"/>
      <c r="I400" s="170"/>
      <c r="J400" s="170"/>
      <c r="K400" s="556"/>
      <c r="M400" s="465"/>
      <c r="N400" s="465"/>
      <c r="O400" s="465"/>
      <c r="P400" s="557">
        <f>P302</f>
        <v>62.725647917000003</v>
      </c>
      <c r="Q400" s="558">
        <f>Q302</f>
        <v>237.32783785126321</v>
      </c>
      <c r="R400" s="558">
        <f t="shared" ref="R400:Z400" si="251">R302</f>
        <v>327.52710085320365</v>
      </c>
      <c r="S400" s="558">
        <f t="shared" si="251"/>
        <v>267.1878255508301</v>
      </c>
      <c r="T400" s="558">
        <f t="shared" si="251"/>
        <v>179.41668485297177</v>
      </c>
      <c r="U400" s="558">
        <f t="shared" si="251"/>
        <v>120.34191553268084</v>
      </c>
      <c r="V400" s="558">
        <f t="shared" si="251"/>
        <v>45.526526141799735</v>
      </c>
      <c r="W400" s="558">
        <f t="shared" si="251"/>
        <v>18.436234488137067</v>
      </c>
      <c r="X400" s="558">
        <f t="shared" si="251"/>
        <v>9.5654571258558008</v>
      </c>
      <c r="Y400" s="558">
        <f t="shared" si="251"/>
        <v>3.1884857086186003</v>
      </c>
      <c r="Z400" s="558">
        <f t="shared" si="251"/>
        <v>0</v>
      </c>
      <c r="AA400" s="558"/>
      <c r="AB400" s="559"/>
      <c r="AC400" s="559"/>
      <c r="AD400" s="559"/>
      <c r="AE400" s="559"/>
      <c r="AF400" s="559"/>
      <c r="AG400" s="559"/>
      <c r="AH400" s="559"/>
      <c r="AI400" s="559"/>
      <c r="AJ400" s="559"/>
      <c r="AK400" s="559"/>
      <c r="AL400" s="559"/>
      <c r="AM400" s="559"/>
      <c r="AN400" s="559"/>
      <c r="AO400" s="559"/>
      <c r="AP400" s="559"/>
      <c r="AQ400" s="559"/>
      <c r="AR400" s="559"/>
      <c r="AS400" s="559"/>
      <c r="AT400" s="559"/>
      <c r="AU400" s="559"/>
      <c r="AV400" s="559"/>
      <c r="AW400" s="559"/>
      <c r="AX400" s="559"/>
      <c r="AY400" s="559"/>
      <c r="AZ400" s="559"/>
      <c r="BA400" s="559"/>
      <c r="BB400" s="560"/>
      <c r="BC400" s="546"/>
      <c r="BD400" s="112"/>
      <c r="BE400" s="112"/>
    </row>
    <row r="401" spans="1:57" x14ac:dyDescent="0.25">
      <c r="A401" s="64"/>
      <c r="B401" s="550" t="s">
        <v>657</v>
      </c>
      <c r="D401" s="66"/>
      <c r="E401" s="170"/>
      <c r="F401" s="170"/>
      <c r="G401" s="170"/>
      <c r="H401" s="170"/>
      <c r="I401" s="170"/>
      <c r="J401" s="170"/>
      <c r="K401" s="556"/>
      <c r="L401" s="465"/>
      <c r="M401" s="465"/>
      <c r="N401" s="465"/>
      <c r="O401" s="465"/>
      <c r="P401" s="557">
        <f>P312</f>
        <v>0</v>
      </c>
      <c r="Q401" s="559">
        <f>Q312</f>
        <v>0</v>
      </c>
      <c r="R401" s="559">
        <f t="shared" ref="R401:Z401" si="252">R312</f>
        <v>0</v>
      </c>
      <c r="S401" s="559">
        <f t="shared" si="252"/>
        <v>0</v>
      </c>
      <c r="T401" s="559">
        <f t="shared" si="252"/>
        <v>0</v>
      </c>
      <c r="U401" s="559">
        <f t="shared" si="252"/>
        <v>0</v>
      </c>
      <c r="V401" s="559">
        <f t="shared" si="252"/>
        <v>0</v>
      </c>
      <c r="W401" s="559">
        <f t="shared" si="252"/>
        <v>0</v>
      </c>
      <c r="X401" s="559">
        <f t="shared" si="252"/>
        <v>0</v>
      </c>
      <c r="Y401" s="559">
        <f t="shared" si="252"/>
        <v>0</v>
      </c>
      <c r="Z401" s="559">
        <f t="shared" si="252"/>
        <v>0</v>
      </c>
      <c r="AA401" s="559"/>
      <c r="AB401" s="559"/>
      <c r="AC401" s="559"/>
      <c r="AD401" s="559"/>
      <c r="AE401" s="559"/>
      <c r="AF401" s="559"/>
      <c r="AG401" s="559"/>
      <c r="AH401" s="559"/>
      <c r="AI401" s="559"/>
      <c r="AJ401" s="559"/>
      <c r="AK401" s="559"/>
      <c r="AL401" s="559"/>
      <c r="AM401" s="559"/>
      <c r="AN401" s="559"/>
      <c r="AO401" s="559"/>
      <c r="AP401" s="559"/>
      <c r="AQ401" s="559"/>
      <c r="AR401" s="559"/>
      <c r="AS401" s="559"/>
      <c r="AT401" s="559"/>
      <c r="AU401" s="559"/>
      <c r="AV401" s="559"/>
      <c r="AW401" s="559"/>
      <c r="AX401" s="559"/>
      <c r="AY401" s="559"/>
      <c r="AZ401" s="559"/>
      <c r="BA401" s="559"/>
      <c r="BB401" s="560"/>
      <c r="BC401" s="546"/>
      <c r="BD401" s="112"/>
      <c r="BE401" s="112"/>
    </row>
    <row r="402" spans="1:57" x14ac:dyDescent="0.25">
      <c r="A402" s="64"/>
      <c r="B402" s="550" t="s">
        <v>658</v>
      </c>
      <c r="D402" s="66"/>
      <c r="E402" s="170"/>
      <c r="F402" s="170"/>
      <c r="G402" s="170"/>
      <c r="H402" s="170"/>
      <c r="I402" s="170"/>
      <c r="J402" s="170"/>
      <c r="K402" s="170"/>
      <c r="L402" s="157"/>
      <c r="M402" s="157"/>
      <c r="N402" s="157"/>
      <c r="O402" s="157"/>
      <c r="P402" s="300">
        <f>P322</f>
        <v>0</v>
      </c>
      <c r="Q402" s="121">
        <f>Q322</f>
        <v>0</v>
      </c>
      <c r="R402" s="121">
        <f t="shared" ref="R402:Z402" si="253">R322</f>
        <v>0</v>
      </c>
      <c r="S402" s="121">
        <f t="shared" si="253"/>
        <v>0</v>
      </c>
      <c r="T402" s="121">
        <f t="shared" si="253"/>
        <v>0</v>
      </c>
      <c r="U402" s="121">
        <f t="shared" si="253"/>
        <v>0</v>
      </c>
      <c r="V402" s="121">
        <f t="shared" si="253"/>
        <v>0</v>
      </c>
      <c r="W402" s="121">
        <f t="shared" si="253"/>
        <v>0</v>
      </c>
      <c r="X402" s="121">
        <f t="shared" si="253"/>
        <v>0</v>
      </c>
      <c r="Y402" s="121">
        <f t="shared" si="253"/>
        <v>0</v>
      </c>
      <c r="Z402" s="121">
        <f t="shared" si="253"/>
        <v>0</v>
      </c>
      <c r="AA402" s="121"/>
      <c r="AB402" s="121"/>
      <c r="AC402" s="121"/>
      <c r="AD402" s="121"/>
      <c r="AE402" s="121"/>
      <c r="AF402" s="121"/>
      <c r="AG402" s="121"/>
      <c r="AH402" s="121"/>
      <c r="AI402" s="121"/>
      <c r="AJ402" s="121"/>
      <c r="AK402" s="121"/>
      <c r="AL402" s="121"/>
      <c r="AM402" s="121"/>
      <c r="AN402" s="121"/>
      <c r="AO402" s="121"/>
      <c r="AP402" s="121"/>
      <c r="AQ402" s="121"/>
      <c r="AR402" s="121"/>
      <c r="AS402" s="121"/>
      <c r="AT402" s="121"/>
      <c r="AU402" s="121"/>
      <c r="AV402" s="121"/>
      <c r="AW402" s="121"/>
      <c r="AX402" s="121"/>
      <c r="AY402" s="121"/>
      <c r="AZ402" s="121"/>
      <c r="BA402" s="121"/>
      <c r="BB402" s="230"/>
      <c r="BC402" s="546"/>
      <c r="BD402" s="112"/>
      <c r="BE402" s="112"/>
    </row>
    <row r="403" spans="1:57" x14ac:dyDescent="0.25">
      <c r="A403" s="64"/>
      <c r="B403" s="550" t="s">
        <v>659</v>
      </c>
      <c r="D403" s="66"/>
      <c r="E403" s="170"/>
      <c r="F403" s="170"/>
      <c r="G403" s="170"/>
      <c r="H403" s="170"/>
      <c r="I403" s="170"/>
      <c r="J403" s="170"/>
      <c r="K403" s="170"/>
      <c r="L403" s="157"/>
      <c r="M403" s="157"/>
      <c r="N403" s="157"/>
      <c r="O403" s="157"/>
      <c r="P403" s="300"/>
      <c r="Q403" s="121"/>
      <c r="R403" s="121"/>
      <c r="S403" s="121"/>
      <c r="T403" s="121"/>
      <c r="U403" s="121"/>
      <c r="V403" s="121"/>
      <c r="W403" s="121"/>
      <c r="X403" s="121"/>
      <c r="Y403" s="121"/>
      <c r="Z403" s="121"/>
      <c r="AA403" s="121"/>
      <c r="AB403" s="121"/>
      <c r="AC403" s="121"/>
      <c r="AD403" s="121"/>
      <c r="AE403" s="121"/>
      <c r="AF403" s="121"/>
      <c r="AG403" s="121"/>
      <c r="AH403" s="121"/>
      <c r="AI403" s="121"/>
      <c r="AJ403" s="121"/>
      <c r="AK403" s="121"/>
      <c r="AL403" s="121"/>
      <c r="AM403" s="121"/>
      <c r="AN403" s="121"/>
      <c r="AO403" s="121"/>
      <c r="AP403" s="121"/>
      <c r="AQ403" s="121"/>
      <c r="AR403" s="121"/>
      <c r="AS403" s="121"/>
      <c r="AT403" s="121"/>
      <c r="AU403" s="121"/>
      <c r="AV403" s="121"/>
      <c r="AW403" s="121"/>
      <c r="AX403" s="121"/>
      <c r="AY403" s="121"/>
      <c r="AZ403" s="121"/>
      <c r="BA403" s="121"/>
      <c r="BB403" s="230"/>
      <c r="BC403" s="546"/>
      <c r="BD403" s="112"/>
      <c r="BE403" s="112"/>
    </row>
    <row r="404" spans="1:57" x14ac:dyDescent="0.25">
      <c r="A404" s="64"/>
      <c r="B404" s="550"/>
      <c r="D404" s="66"/>
      <c r="E404" s="170"/>
      <c r="F404" s="170"/>
      <c r="G404" s="170"/>
      <c r="H404" s="170"/>
      <c r="I404" s="170"/>
      <c r="J404" s="170"/>
      <c r="K404" s="182"/>
      <c r="L404" s="182"/>
      <c r="M404" s="182"/>
      <c r="N404" s="170"/>
      <c r="O404" s="170"/>
      <c r="P404" s="171"/>
      <c r="Q404" s="170"/>
      <c r="R404" s="170"/>
      <c r="S404" s="170"/>
      <c r="T404" s="170"/>
      <c r="U404" s="170"/>
      <c r="V404" s="170"/>
      <c r="W404" s="170"/>
      <c r="X404" s="170"/>
      <c r="Y404" s="170"/>
      <c r="Z404" s="170"/>
      <c r="AA404" s="170"/>
      <c r="AB404" s="170"/>
      <c r="AC404" s="170"/>
      <c r="AD404" s="170"/>
      <c r="AE404" s="170"/>
      <c r="AF404" s="170"/>
      <c r="AG404" s="170"/>
      <c r="AH404" s="170"/>
      <c r="AI404" s="170"/>
      <c r="AJ404" s="170"/>
      <c r="AK404" s="170"/>
      <c r="AL404" s="170"/>
      <c r="AM404" s="170"/>
      <c r="AN404" s="170"/>
      <c r="AO404" s="170"/>
      <c r="AP404" s="170"/>
      <c r="AQ404" s="170"/>
      <c r="AR404" s="170"/>
      <c r="AS404" s="170"/>
      <c r="AT404" s="170"/>
      <c r="AU404" s="170"/>
      <c r="AV404" s="170"/>
      <c r="AW404" s="170"/>
      <c r="AX404" s="170"/>
      <c r="AY404" s="170"/>
      <c r="AZ404" s="170"/>
      <c r="BA404" s="170"/>
      <c r="BB404" s="113"/>
      <c r="BC404" s="546"/>
      <c r="BD404" s="112"/>
      <c r="BE404" s="112"/>
    </row>
    <row r="405" spans="1:57" x14ac:dyDescent="0.25">
      <c r="A405" s="64"/>
      <c r="B405" s="550" t="s">
        <v>660</v>
      </c>
      <c r="D405" s="66"/>
      <c r="E405" s="170"/>
      <c r="F405" s="170"/>
      <c r="G405" s="170"/>
      <c r="H405" s="170"/>
      <c r="I405" s="170"/>
      <c r="J405" s="170"/>
      <c r="K405" s="170"/>
      <c r="L405" s="561"/>
      <c r="M405" s="157"/>
      <c r="N405" s="157"/>
      <c r="O405" s="157"/>
      <c r="P405" s="300">
        <f>-MIN(P$398,P400)</f>
        <v>0</v>
      </c>
      <c r="Q405" s="121">
        <f>-MIN(Q$398,Q400)</f>
        <v>0</v>
      </c>
      <c r="R405" s="121">
        <f t="shared" ref="R405:Z405" si="254">-MIN(R$398,R400)</f>
        <v>0</v>
      </c>
      <c r="S405" s="121">
        <f t="shared" si="254"/>
        <v>0</v>
      </c>
      <c r="T405" s="121">
        <f t="shared" si="254"/>
        <v>0</v>
      </c>
      <c r="U405" s="121">
        <f t="shared" si="254"/>
        <v>0</v>
      </c>
      <c r="V405" s="121">
        <f t="shared" si="254"/>
        <v>0</v>
      </c>
      <c r="W405" s="121">
        <f t="shared" si="254"/>
        <v>0</v>
      </c>
      <c r="X405" s="121">
        <f t="shared" si="254"/>
        <v>0</v>
      </c>
      <c r="Y405" s="121">
        <f t="shared" si="254"/>
        <v>0</v>
      </c>
      <c r="Z405" s="121">
        <f t="shared" si="254"/>
        <v>0</v>
      </c>
      <c r="AA405" s="121"/>
      <c r="AB405" s="121"/>
      <c r="AC405" s="121"/>
      <c r="AD405" s="121"/>
      <c r="AE405" s="121"/>
      <c r="AF405" s="121"/>
      <c r="AG405" s="121"/>
      <c r="AH405" s="121"/>
      <c r="AI405" s="121"/>
      <c r="AJ405" s="121"/>
      <c r="AK405" s="121"/>
      <c r="AL405" s="121"/>
      <c r="AM405" s="121"/>
      <c r="AN405" s="121"/>
      <c r="AO405" s="121"/>
      <c r="AP405" s="121"/>
      <c r="AQ405" s="121"/>
      <c r="AR405" s="121"/>
      <c r="AS405" s="121"/>
      <c r="AT405" s="121"/>
      <c r="AU405" s="121"/>
      <c r="AV405" s="121"/>
      <c r="AW405" s="121"/>
      <c r="AX405" s="121"/>
      <c r="AY405" s="121"/>
      <c r="AZ405" s="121"/>
      <c r="BA405" s="121"/>
      <c r="BB405" s="230"/>
      <c r="BC405" s="546"/>
      <c r="BD405" s="112"/>
      <c r="BE405" s="112"/>
    </row>
    <row r="406" spans="1:57" x14ac:dyDescent="0.25">
      <c r="A406" s="64"/>
      <c r="B406" s="550" t="s">
        <v>661</v>
      </c>
      <c r="D406" s="66"/>
      <c r="E406" s="170"/>
      <c r="F406" s="170"/>
      <c r="G406" s="170"/>
      <c r="H406" s="170"/>
      <c r="I406" s="170"/>
      <c r="J406" s="170"/>
      <c r="K406" s="170"/>
      <c r="L406" s="157"/>
      <c r="M406" s="157"/>
      <c r="N406" s="157"/>
      <c r="O406" s="157"/>
      <c r="P406" s="300">
        <f>-MIN(P$398+SUM(P$405:P405),P401)</f>
        <v>0</v>
      </c>
      <c r="Q406" s="121">
        <f>-MIN(Q$398+SUM(Q$405:Q405),Q401)</f>
        <v>0</v>
      </c>
      <c r="R406" s="121">
        <f>-MIN(R$398+SUM(R$405:R405),R401)</f>
        <v>0</v>
      </c>
      <c r="S406" s="121">
        <f>-MIN(S$398+SUM(S$405:S405),S401)</f>
        <v>0</v>
      </c>
      <c r="T406" s="121">
        <f>-MIN(T$398+SUM(T$405:T405),T401)</f>
        <v>0</v>
      </c>
      <c r="U406" s="121">
        <f>-MIN(U$398+SUM(U$405:U405),U401)</f>
        <v>0</v>
      </c>
      <c r="V406" s="121">
        <f>-MIN(V$398+SUM(V$405:V405),V401)</f>
        <v>0</v>
      </c>
      <c r="W406" s="121">
        <f>-MIN(W$398+SUM(W$405:W405),W401)</f>
        <v>0</v>
      </c>
      <c r="X406" s="121">
        <f>-MIN(X$398+SUM(X$405:X405),X401)</f>
        <v>0</v>
      </c>
      <c r="Y406" s="121">
        <f>-MIN(Y$398+SUM(Y$405:Y405),Y401)</f>
        <v>0</v>
      </c>
      <c r="Z406" s="121">
        <f>-MIN(Z$398+SUM(Z$405:Z405),Z401)</f>
        <v>0</v>
      </c>
      <c r="AA406" s="121"/>
      <c r="AB406" s="121"/>
      <c r="AC406" s="121"/>
      <c r="AD406" s="121"/>
      <c r="AE406" s="121"/>
      <c r="AF406" s="121"/>
      <c r="AG406" s="121"/>
      <c r="AH406" s="121"/>
      <c r="AI406" s="121"/>
      <c r="AJ406" s="121"/>
      <c r="AK406" s="121"/>
      <c r="AL406" s="121"/>
      <c r="AM406" s="121"/>
      <c r="AN406" s="121"/>
      <c r="AO406" s="121"/>
      <c r="AP406" s="121"/>
      <c r="AQ406" s="121"/>
      <c r="AR406" s="121"/>
      <c r="AS406" s="121"/>
      <c r="AT406" s="121"/>
      <c r="AU406" s="121"/>
      <c r="AV406" s="121"/>
      <c r="AW406" s="121"/>
      <c r="AX406" s="121"/>
      <c r="AY406" s="121"/>
      <c r="AZ406" s="121"/>
      <c r="BA406" s="121"/>
      <c r="BB406" s="230"/>
      <c r="BC406" s="546"/>
      <c r="BD406" s="112"/>
      <c r="BE406" s="112"/>
    </row>
    <row r="407" spans="1:57" x14ac:dyDescent="0.25">
      <c r="A407" s="64"/>
      <c r="B407" s="550" t="s">
        <v>662</v>
      </c>
      <c r="D407" s="66"/>
      <c r="E407" s="170"/>
      <c r="F407" s="170"/>
      <c r="G407" s="170"/>
      <c r="H407" s="170"/>
      <c r="I407" s="170"/>
      <c r="J407" s="170"/>
      <c r="K407" s="170"/>
      <c r="L407" s="561"/>
      <c r="M407" s="158"/>
      <c r="N407" s="157"/>
      <c r="O407" s="157"/>
      <c r="P407" s="300">
        <f>-MIN(P$398+SUM(P$405:P406),P402)</f>
        <v>0</v>
      </c>
      <c r="Q407" s="121">
        <f>-MIN(Q$398+SUM(Q$405:Q406),Q402)</f>
        <v>0</v>
      </c>
      <c r="R407" s="121">
        <f>-MIN(R$398+SUM(R$405:R406),R402)</f>
        <v>0</v>
      </c>
      <c r="S407" s="121">
        <f>-MIN(S$398+SUM(S$405:S406),S402)</f>
        <v>0</v>
      </c>
      <c r="T407" s="121">
        <f>-MIN(T$398+SUM(T$405:T406),T402)</f>
        <v>0</v>
      </c>
      <c r="U407" s="121">
        <f>-MIN(U$398+SUM(U$405:U406),U402)</f>
        <v>0</v>
      </c>
      <c r="V407" s="121">
        <f>-MIN(V$398+SUM(V$405:V406),V402)</f>
        <v>0</v>
      </c>
      <c r="W407" s="121">
        <f>-MIN(W$398+SUM(W$405:W406),W402)</f>
        <v>0</v>
      </c>
      <c r="X407" s="121">
        <f>-MIN(X$398+SUM(X$405:X406),X402)</f>
        <v>0</v>
      </c>
      <c r="Y407" s="121">
        <f>-MIN(Y$398+SUM(Y$405:Y406),Y402)</f>
        <v>0</v>
      </c>
      <c r="Z407" s="121">
        <f>-MIN(Z$398+SUM(Z$405:Z406),Z402)</f>
        <v>0</v>
      </c>
      <c r="AA407" s="121"/>
      <c r="AB407" s="121"/>
      <c r="AC407" s="121"/>
      <c r="AD407" s="121"/>
      <c r="AE407" s="121"/>
      <c r="AF407" s="121"/>
      <c r="AG407" s="121"/>
      <c r="AH407" s="121"/>
      <c r="AI407" s="121"/>
      <c r="AJ407" s="121"/>
      <c r="AK407" s="121"/>
      <c r="AL407" s="121"/>
      <c r="AM407" s="121"/>
      <c r="AN407" s="121"/>
      <c r="AO407" s="121"/>
      <c r="AP407" s="121"/>
      <c r="AQ407" s="121"/>
      <c r="AR407" s="121"/>
      <c r="AS407" s="121"/>
      <c r="AT407" s="121"/>
      <c r="AU407" s="121"/>
      <c r="AV407" s="121"/>
      <c r="AW407" s="121"/>
      <c r="AX407" s="121"/>
      <c r="AY407" s="121"/>
      <c r="AZ407" s="121"/>
      <c r="BA407" s="121"/>
      <c r="BB407" s="230"/>
      <c r="BC407" s="546"/>
      <c r="BD407" s="112"/>
      <c r="BE407" s="112"/>
    </row>
    <row r="408" spans="1:57" x14ac:dyDescent="0.25">
      <c r="A408" s="64"/>
      <c r="B408" s="550" t="s">
        <v>663</v>
      </c>
      <c r="D408" s="526"/>
      <c r="E408" s="170"/>
      <c r="F408" s="170"/>
      <c r="G408" s="170"/>
      <c r="H408" s="170"/>
      <c r="I408" s="170"/>
      <c r="J408" s="170"/>
      <c r="K408" s="170"/>
      <c r="L408" s="157"/>
      <c r="M408" s="157"/>
      <c r="N408" s="157"/>
      <c r="O408" s="157"/>
      <c r="P408" s="300">
        <f>-MIN(P$398+SUM(P$405:P407),P403)</f>
        <v>0</v>
      </c>
      <c r="Q408" s="121">
        <f>-MIN(Q$398+SUM(Q$405:Q407),Q403)</f>
        <v>0</v>
      </c>
      <c r="R408" s="121">
        <f>-MIN(R$398+SUM(R$405:R407),R403)</f>
        <v>0</v>
      </c>
      <c r="S408" s="121">
        <f>-MIN(S$398+SUM(S$405:S407),S403)</f>
        <v>0</v>
      </c>
      <c r="T408" s="121">
        <f>-MIN(T$398+SUM(T$405:T407),T403)</f>
        <v>0</v>
      </c>
      <c r="U408" s="121">
        <f>-MIN(U$398+SUM(U$405:U407),U403)</f>
        <v>0</v>
      </c>
      <c r="V408" s="121">
        <f>-MIN(V$398+SUM(V$405:V407),V403)</f>
        <v>0</v>
      </c>
      <c r="W408" s="121">
        <f>-MIN(W$398+SUM(W$405:W407),W403)</f>
        <v>0</v>
      </c>
      <c r="X408" s="121">
        <f>-MIN(X$398+SUM(X$405:X407),X403)</f>
        <v>0</v>
      </c>
      <c r="Y408" s="121">
        <f>-MIN(Y$398+SUM(Y$405:Y407),Y403)</f>
        <v>0</v>
      </c>
      <c r="Z408" s="121">
        <f>-MIN(Z$398+SUM(Z$405:Z407),Z403)</f>
        <v>0</v>
      </c>
      <c r="AA408" s="121"/>
      <c r="AB408" s="121"/>
      <c r="AC408" s="121"/>
      <c r="AD408" s="121"/>
      <c r="AE408" s="121"/>
      <c r="AF408" s="121"/>
      <c r="AG408" s="121"/>
      <c r="AH408" s="121"/>
      <c r="AI408" s="121"/>
      <c r="AJ408" s="121"/>
      <c r="AK408" s="121"/>
      <c r="AL408" s="121"/>
      <c r="AM408" s="121"/>
      <c r="AN408" s="121"/>
      <c r="AO408" s="121"/>
      <c r="AP408" s="121"/>
      <c r="AQ408" s="121"/>
      <c r="AR408" s="121"/>
      <c r="AS408" s="121"/>
      <c r="AT408" s="121"/>
      <c r="AU408" s="121"/>
      <c r="AV408" s="121"/>
      <c r="AW408" s="121"/>
      <c r="AX408" s="121"/>
      <c r="AY408" s="121"/>
      <c r="AZ408" s="121"/>
      <c r="BA408" s="121"/>
      <c r="BB408" s="230"/>
      <c r="BC408" s="546"/>
      <c r="BD408" s="112"/>
      <c r="BE408" s="112"/>
    </row>
    <row r="409" spans="1:57" s="42" customFormat="1" x14ac:dyDescent="0.25">
      <c r="A409" s="41"/>
      <c r="B409" s="551" t="s">
        <v>664</v>
      </c>
      <c r="C409" s="562"/>
      <c r="D409" s="563" t="s">
        <v>665</v>
      </c>
      <c r="E409" s="182"/>
      <c r="F409" s="182"/>
      <c r="G409" s="182"/>
      <c r="H409" s="182"/>
      <c r="I409" s="182"/>
      <c r="J409" s="182"/>
      <c r="K409" s="182"/>
      <c r="L409" s="153"/>
      <c r="M409" s="153"/>
      <c r="N409" s="153"/>
      <c r="O409" s="153"/>
      <c r="P409" s="154">
        <f>SUM(P405:P407)</f>
        <v>0</v>
      </c>
      <c r="Q409" s="517">
        <f>SUM(Q405:Q407)</f>
        <v>0</v>
      </c>
      <c r="R409" s="517">
        <f t="shared" ref="R409:Z409" si="255">SUM(R405:R407)</f>
        <v>0</v>
      </c>
      <c r="S409" s="517">
        <f t="shared" si="255"/>
        <v>0</v>
      </c>
      <c r="T409" s="517">
        <f t="shared" si="255"/>
        <v>0</v>
      </c>
      <c r="U409" s="517">
        <f t="shared" si="255"/>
        <v>0</v>
      </c>
      <c r="V409" s="517">
        <f t="shared" si="255"/>
        <v>0</v>
      </c>
      <c r="W409" s="517">
        <f t="shared" si="255"/>
        <v>0</v>
      </c>
      <c r="X409" s="517">
        <f t="shared" si="255"/>
        <v>0</v>
      </c>
      <c r="Y409" s="517">
        <f t="shared" si="255"/>
        <v>0</v>
      </c>
      <c r="Z409" s="517">
        <f t="shared" si="255"/>
        <v>0</v>
      </c>
      <c r="AA409" s="517"/>
      <c r="AB409" s="517"/>
      <c r="AC409" s="517"/>
      <c r="AD409" s="517"/>
      <c r="AE409" s="517"/>
      <c r="AF409" s="517"/>
      <c r="AG409" s="517"/>
      <c r="AH409" s="517"/>
      <c r="AI409" s="517"/>
      <c r="AJ409" s="517"/>
      <c r="AK409" s="517"/>
      <c r="AL409" s="517"/>
      <c r="AM409" s="517"/>
      <c r="AN409" s="517"/>
      <c r="AO409" s="517"/>
      <c r="AP409" s="517"/>
      <c r="AQ409" s="517"/>
      <c r="AR409" s="517"/>
      <c r="AS409" s="517"/>
      <c r="AT409" s="517"/>
      <c r="AU409" s="517"/>
      <c r="AV409" s="517"/>
      <c r="AW409" s="517"/>
      <c r="AX409" s="517"/>
      <c r="AY409" s="517"/>
      <c r="AZ409" s="517"/>
      <c r="BA409" s="517"/>
      <c r="BB409" s="257"/>
      <c r="BC409" s="546"/>
      <c r="BD409" s="181"/>
      <c r="BE409" s="181"/>
    </row>
    <row r="410" spans="1:57" x14ac:dyDescent="0.25">
      <c r="A410" s="64"/>
      <c r="B410" s="550"/>
      <c r="C410" s="518"/>
      <c r="D410" s="564" t="s">
        <v>655</v>
      </c>
      <c r="E410" s="170"/>
      <c r="F410" s="170"/>
      <c r="G410" s="170"/>
      <c r="H410" s="170"/>
      <c r="I410" s="170"/>
      <c r="J410" s="170"/>
      <c r="K410" s="170"/>
      <c r="L410" s="170"/>
      <c r="M410" s="170"/>
      <c r="N410" s="170"/>
      <c r="O410" s="170"/>
      <c r="P410" s="171"/>
      <c r="Q410" s="170"/>
      <c r="R410" s="170"/>
      <c r="S410" s="170"/>
      <c r="T410" s="170"/>
      <c r="U410" s="170"/>
      <c r="V410" s="170"/>
      <c r="W410" s="170"/>
      <c r="X410" s="170"/>
      <c r="Y410" s="170"/>
      <c r="Z410" s="170"/>
      <c r="AA410" s="170"/>
      <c r="AB410" s="170"/>
      <c r="AC410" s="170"/>
      <c r="AD410" s="170"/>
      <c r="AE410" s="170"/>
      <c r="AF410" s="170"/>
      <c r="AG410" s="170"/>
      <c r="AH410" s="170"/>
      <c r="AI410" s="170"/>
      <c r="AJ410" s="170"/>
      <c r="AK410" s="170"/>
      <c r="AL410" s="170"/>
      <c r="AM410" s="170"/>
      <c r="AN410" s="170"/>
      <c r="AO410" s="170"/>
      <c r="AP410" s="170"/>
      <c r="AQ410" s="170"/>
      <c r="AR410" s="170"/>
      <c r="AS410" s="170"/>
      <c r="AT410" s="170"/>
      <c r="AU410" s="170"/>
      <c r="AV410" s="170"/>
      <c r="AW410" s="170"/>
      <c r="AX410" s="170"/>
      <c r="AY410" s="170"/>
      <c r="AZ410" s="170"/>
      <c r="BA410" s="170"/>
      <c r="BB410" s="113"/>
      <c r="BC410" s="546"/>
      <c r="BD410" s="112"/>
      <c r="BE410" s="112"/>
    </row>
    <row r="411" spans="1:57" s="117" customFormat="1" x14ac:dyDescent="0.25">
      <c r="A411" s="132"/>
      <c r="B411" s="565" t="s">
        <v>666</v>
      </c>
      <c r="C411" s="566"/>
      <c r="D411" s="567"/>
      <c r="E411" s="568"/>
      <c r="F411" s="568"/>
      <c r="G411" s="568"/>
      <c r="H411" s="568"/>
      <c r="I411" s="568"/>
      <c r="J411" s="568"/>
      <c r="K411" s="568"/>
      <c r="L411" s="568"/>
      <c r="M411" s="568"/>
      <c r="N411" s="568"/>
      <c r="O411" s="568"/>
      <c r="P411" s="569">
        <f>P396+P409</f>
        <v>9.999894245993346E-10</v>
      </c>
      <c r="Q411" s="570">
        <f ca="1">Q396+Q409</f>
        <v>23.534424349970777</v>
      </c>
      <c r="R411" s="570">
        <f t="shared" ref="R411:Z411" ca="1" si="256">R396+R409</f>
        <v>9.5553164665857366</v>
      </c>
      <c r="S411" s="570">
        <f t="shared" ca="1" si="256"/>
        <v>2.360131490817821</v>
      </c>
      <c r="T411" s="570">
        <f t="shared" ca="1" si="256"/>
        <v>5.8639847587251097</v>
      </c>
      <c r="U411" s="570">
        <f t="shared" ca="1" si="256"/>
        <v>4.3821408332273677</v>
      </c>
      <c r="V411" s="570">
        <f t="shared" ca="1" si="256"/>
        <v>0.3719321376629523</v>
      </c>
      <c r="W411" s="570">
        <f t="shared" ca="1" si="256"/>
        <v>5.3928636092991837</v>
      </c>
      <c r="X411" s="570">
        <f t="shared" ca="1" si="256"/>
        <v>8.4080566836423714</v>
      </c>
      <c r="Y411" s="570">
        <f t="shared" ca="1" si="256"/>
        <v>5.6388702754829865</v>
      </c>
      <c r="Z411" s="570">
        <f t="shared" ca="1" si="256"/>
        <v>8.6808558281463775</v>
      </c>
      <c r="AA411" s="570"/>
      <c r="AB411" s="571"/>
      <c r="AC411" s="571"/>
      <c r="AD411" s="571"/>
      <c r="AE411" s="571"/>
      <c r="AF411" s="571"/>
      <c r="AG411" s="571"/>
      <c r="AH411" s="571"/>
      <c r="AI411" s="571"/>
      <c r="AJ411" s="571"/>
      <c r="AK411" s="571"/>
      <c r="AL411" s="571"/>
      <c r="AM411" s="571"/>
      <c r="AN411" s="571"/>
      <c r="AO411" s="571"/>
      <c r="AP411" s="571"/>
      <c r="AQ411" s="571"/>
      <c r="AR411" s="571"/>
      <c r="AS411" s="571"/>
      <c r="AT411" s="571"/>
      <c r="AU411" s="571"/>
      <c r="AV411" s="571"/>
      <c r="AW411" s="571"/>
      <c r="AX411" s="571"/>
      <c r="AY411" s="571"/>
      <c r="AZ411" s="571"/>
      <c r="BA411" s="571"/>
      <c r="BB411" s="155"/>
      <c r="BC411" s="572"/>
    </row>
    <row r="412" spans="1:57" x14ac:dyDescent="0.25">
      <c r="A412" s="64"/>
      <c r="M412" s="103"/>
      <c r="Q412" s="219"/>
      <c r="R412" s="219"/>
      <c r="S412" s="219"/>
      <c r="T412" s="219"/>
      <c r="U412" s="219"/>
      <c r="V412" s="219"/>
      <c r="W412" s="219"/>
      <c r="X412" s="219"/>
      <c r="Y412" s="219"/>
      <c r="Z412" s="219"/>
      <c r="AA412" s="219"/>
      <c r="BC412" s="546"/>
    </row>
    <row r="413" spans="1:57" x14ac:dyDescent="0.25">
      <c r="A413" s="64"/>
      <c r="M413" s="103"/>
      <c r="Q413" s="199"/>
      <c r="R413" s="199"/>
      <c r="S413" s="199"/>
      <c r="T413" s="199"/>
      <c r="U413" s="199"/>
      <c r="V413" s="199"/>
      <c r="W413" s="199"/>
      <c r="BC413" s="546"/>
    </row>
    <row r="414" spans="1:57" x14ac:dyDescent="0.25">
      <c r="A414" s="64"/>
      <c r="B414" s="42"/>
      <c r="C414" s="42"/>
      <c r="M414" s="103"/>
    </row>
    <row r="415" spans="1:57" x14ac:dyDescent="0.25">
      <c r="M415" s="103"/>
    </row>
    <row r="416" spans="1:57" x14ac:dyDescent="0.25">
      <c r="M416" s="103"/>
    </row>
    <row r="417" spans="13:27" x14ac:dyDescent="0.25">
      <c r="M417" s="103"/>
    </row>
    <row r="418" spans="13:27" x14ac:dyDescent="0.25">
      <c r="M418" s="103"/>
      <c r="N418" s="170"/>
      <c r="Q418" s="219"/>
      <c r="R418" s="219"/>
      <c r="S418" s="219"/>
      <c r="T418" s="219"/>
      <c r="U418" s="219"/>
      <c r="V418" s="219"/>
      <c r="W418" s="219"/>
      <c r="X418" s="219"/>
      <c r="Y418" s="219"/>
      <c r="Z418" s="219"/>
      <c r="AA418" s="219"/>
    </row>
    <row r="419" spans="13:27" x14ac:dyDescent="0.25">
      <c r="M419" s="103"/>
      <c r="Q419" s="573"/>
      <c r="R419" s="573"/>
      <c r="S419" s="573"/>
      <c r="T419" s="573"/>
      <c r="U419" s="573"/>
      <c r="V419" s="573"/>
      <c r="W419" s="573"/>
      <c r="X419" s="573"/>
      <c r="Y419" s="573"/>
      <c r="Z419" s="573"/>
      <c r="AA419" s="573"/>
    </row>
    <row r="420" spans="13:27" x14ac:dyDescent="0.25">
      <c r="M420" s="103"/>
      <c r="N420" s="170"/>
      <c r="Q420" s="219"/>
      <c r="R420" s="219"/>
      <c r="S420" s="219"/>
      <c r="T420" s="219"/>
      <c r="U420" s="219"/>
      <c r="V420" s="219"/>
      <c r="W420" s="219"/>
      <c r="X420" s="219"/>
      <c r="Y420" s="219"/>
      <c r="Z420" s="219"/>
      <c r="AA420" s="219"/>
    </row>
    <row r="421" spans="13:27" x14ac:dyDescent="0.25">
      <c r="M421" s="103"/>
      <c r="Q421" s="219"/>
      <c r="R421" s="219"/>
      <c r="S421" s="219"/>
      <c r="T421" s="219"/>
      <c r="U421" s="219"/>
      <c r="V421" s="219"/>
      <c r="W421" s="219"/>
      <c r="X421" s="219"/>
      <c r="Y421" s="219"/>
      <c r="Z421" s="219"/>
      <c r="AA421" s="219"/>
    </row>
    <row r="422" spans="13:27" x14ac:dyDescent="0.25">
      <c r="M422" s="103"/>
      <c r="Q422" s="219"/>
      <c r="R422" s="219"/>
      <c r="S422" s="219"/>
      <c r="T422" s="219"/>
      <c r="U422" s="219"/>
      <c r="V422" s="219"/>
      <c r="W422" s="219"/>
      <c r="X422" s="219"/>
      <c r="Y422" s="219"/>
      <c r="Z422" s="219"/>
      <c r="AA422" s="219"/>
    </row>
    <row r="423" spans="13:27" x14ac:dyDescent="0.25">
      <c r="M423" s="103"/>
      <c r="Q423" s="219"/>
      <c r="R423" s="219"/>
      <c r="S423" s="219"/>
      <c r="T423" s="219"/>
      <c r="U423" s="219"/>
      <c r="V423" s="219"/>
      <c r="W423" s="219"/>
      <c r="X423" s="219"/>
      <c r="Y423" s="219"/>
      <c r="Z423" s="219"/>
      <c r="AA423" s="219"/>
    </row>
    <row r="424" spans="13:27" x14ac:dyDescent="0.25">
      <c r="M424" s="103"/>
      <c r="Q424" s="219"/>
      <c r="R424" s="219"/>
      <c r="S424" s="219"/>
      <c r="T424" s="219"/>
      <c r="U424" s="219"/>
      <c r="V424" s="219"/>
      <c r="W424" s="219"/>
      <c r="X424" s="219"/>
      <c r="Y424" s="219"/>
      <c r="Z424" s="219"/>
      <c r="AA424" s="219"/>
    </row>
    <row r="425" spans="13:27" x14ac:dyDescent="0.25">
      <c r="M425" s="103"/>
      <c r="Q425" s="219"/>
      <c r="R425" s="219"/>
      <c r="S425" s="219"/>
      <c r="T425" s="219"/>
      <c r="U425" s="219"/>
      <c r="V425" s="219"/>
      <c r="W425" s="219"/>
      <c r="X425" s="219"/>
      <c r="Y425" s="219"/>
      <c r="Z425" s="219"/>
      <c r="AA425" s="219"/>
    </row>
    <row r="426" spans="13:27" x14ac:dyDescent="0.25">
      <c r="M426" s="103"/>
      <c r="Q426" s="219"/>
      <c r="R426" s="219"/>
      <c r="S426" s="219"/>
      <c r="T426" s="219"/>
      <c r="U426" s="219"/>
      <c r="V426" s="219"/>
      <c r="W426" s="219"/>
      <c r="X426" s="219"/>
      <c r="Y426" s="219"/>
      <c r="Z426" s="219"/>
      <c r="AA426" s="219"/>
    </row>
    <row r="427" spans="13:27" x14ac:dyDescent="0.25">
      <c r="M427" s="103"/>
      <c r="Q427" s="219"/>
      <c r="R427" s="219"/>
      <c r="S427" s="219"/>
      <c r="T427" s="219"/>
      <c r="U427" s="219"/>
      <c r="V427" s="219"/>
      <c r="W427" s="219"/>
      <c r="X427" s="219"/>
      <c r="Y427" s="219"/>
      <c r="Z427" s="219"/>
      <c r="AA427" s="219"/>
    </row>
    <row r="428" spans="13:27" x14ac:dyDescent="0.25">
      <c r="M428" s="103"/>
      <c r="Q428" s="219"/>
      <c r="R428" s="219"/>
      <c r="S428" s="219"/>
      <c r="T428" s="219"/>
      <c r="U428" s="219"/>
      <c r="V428" s="219"/>
      <c r="W428" s="219"/>
      <c r="X428" s="219"/>
      <c r="Y428" s="219"/>
      <c r="Z428" s="219"/>
      <c r="AA428" s="219"/>
    </row>
    <row r="429" spans="13:27" x14ac:dyDescent="0.25">
      <c r="M429" s="103"/>
      <c r="Q429" s="219"/>
      <c r="R429" s="219"/>
      <c r="S429" s="219"/>
      <c r="T429" s="219"/>
      <c r="U429" s="219"/>
      <c r="V429" s="219"/>
      <c r="W429" s="219"/>
      <c r="X429" s="219"/>
      <c r="Y429" s="219"/>
      <c r="Z429" s="219"/>
      <c r="AA429" s="219"/>
    </row>
    <row r="430" spans="13:27" x14ac:dyDescent="0.25">
      <c r="M430" s="103"/>
      <c r="Q430" s="219"/>
      <c r="R430" s="219"/>
      <c r="S430" s="219"/>
      <c r="T430" s="219"/>
      <c r="U430" s="219"/>
      <c r="V430" s="219"/>
      <c r="W430" s="219"/>
      <c r="X430" s="219"/>
      <c r="Y430" s="219"/>
      <c r="Z430" s="219"/>
      <c r="AA430" s="219"/>
    </row>
    <row r="431" spans="13:27" x14ac:dyDescent="0.25">
      <c r="M431" s="103"/>
      <c r="Q431" s="219"/>
      <c r="R431" s="219"/>
      <c r="S431" s="219"/>
      <c r="T431" s="219"/>
      <c r="U431" s="219"/>
      <c r="V431" s="219"/>
      <c r="W431" s="219"/>
      <c r="X431" s="219"/>
      <c r="Y431" s="219"/>
      <c r="Z431" s="219"/>
      <c r="AA431" s="219"/>
    </row>
    <row r="432" spans="13:27" x14ac:dyDescent="0.25">
      <c r="M432" s="103"/>
      <c r="Q432" s="219"/>
      <c r="R432" s="219"/>
      <c r="S432" s="219"/>
      <c r="T432" s="219"/>
      <c r="U432" s="219"/>
      <c r="V432" s="219"/>
      <c r="W432" s="219"/>
      <c r="X432" s="219"/>
      <c r="Y432" s="219"/>
      <c r="Z432" s="219"/>
      <c r="AA432" s="219"/>
    </row>
    <row r="433" spans="2:27" x14ac:dyDescent="0.25">
      <c r="M433" s="103"/>
      <c r="Q433" s="219"/>
      <c r="R433" s="219"/>
      <c r="S433" s="219"/>
      <c r="T433" s="219"/>
      <c r="U433" s="219"/>
      <c r="V433" s="219"/>
      <c r="W433" s="219"/>
      <c r="X433" s="219"/>
      <c r="Y433" s="219"/>
      <c r="Z433" s="219"/>
      <c r="AA433" s="219"/>
    </row>
    <row r="434" spans="2:27" x14ac:dyDescent="0.25">
      <c r="M434" s="103"/>
      <c r="Q434" s="219"/>
      <c r="R434" s="219"/>
      <c r="S434" s="219"/>
      <c r="T434" s="219"/>
      <c r="U434" s="219"/>
      <c r="V434" s="219"/>
      <c r="W434" s="219"/>
      <c r="X434" s="219"/>
      <c r="Y434" s="219"/>
      <c r="Z434" s="219"/>
      <c r="AA434" s="219"/>
    </row>
    <row r="435" spans="2:27" x14ac:dyDescent="0.25">
      <c r="M435" s="103"/>
      <c r="R435" s="574"/>
      <c r="S435" s="574"/>
      <c r="T435" s="574"/>
      <c r="U435" s="574"/>
      <c r="V435" s="574"/>
      <c r="W435" s="574"/>
      <c r="X435" s="574"/>
      <c r="Y435" s="574"/>
      <c r="Z435" s="574"/>
      <c r="AA435" s="574"/>
    </row>
    <row r="436" spans="2:27" x14ac:dyDescent="0.25">
      <c r="M436" s="103"/>
      <c r="Q436" s="219"/>
      <c r="R436" s="219"/>
      <c r="S436" s="219"/>
      <c r="T436" s="219"/>
      <c r="U436" s="219"/>
      <c r="V436" s="219"/>
      <c r="W436" s="219"/>
      <c r="X436" s="219"/>
      <c r="Y436" s="219"/>
      <c r="Z436" s="219"/>
      <c r="AA436" s="219"/>
    </row>
    <row r="437" spans="2:27" x14ac:dyDescent="0.25">
      <c r="M437" s="103"/>
      <c r="P437" s="219"/>
      <c r="Q437" s="219"/>
    </row>
    <row r="438" spans="2:27" x14ac:dyDescent="0.25">
      <c r="M438" s="103"/>
      <c r="Q438" s="219"/>
      <c r="Y438" s="199"/>
    </row>
    <row r="439" spans="2:27" x14ac:dyDescent="0.25">
      <c r="B439" s="219"/>
      <c r="M439" s="103"/>
      <c r="Q439" s="219"/>
    </row>
    <row r="440" spans="2:27" x14ac:dyDescent="0.25">
      <c r="M440" s="103"/>
      <c r="Q440" s="219"/>
    </row>
    <row r="441" spans="2:27" x14ac:dyDescent="0.25">
      <c r="B441" s="170"/>
      <c r="M441" s="103"/>
      <c r="Q441" s="219"/>
    </row>
    <row r="442" spans="2:27" x14ac:dyDescent="0.25">
      <c r="M442" s="103"/>
      <c r="Q442" s="219"/>
      <c r="R442" s="219"/>
      <c r="S442" s="219"/>
      <c r="T442" s="219"/>
      <c r="U442" s="219"/>
      <c r="V442" s="219"/>
      <c r="W442" s="219"/>
      <c r="X442" s="219"/>
      <c r="Y442" s="219"/>
      <c r="Z442" s="219"/>
      <c r="AA442" s="219"/>
    </row>
    <row r="443" spans="2:27" x14ac:dyDescent="0.25">
      <c r="B443" s="219"/>
      <c r="M443" s="103"/>
      <c r="Q443" s="219"/>
      <c r="R443" s="219"/>
      <c r="S443" s="219"/>
      <c r="T443" s="219"/>
      <c r="U443" s="219"/>
      <c r="V443" s="219"/>
      <c r="W443" s="219"/>
      <c r="X443" s="219"/>
      <c r="Y443" s="219"/>
      <c r="Z443" s="219"/>
      <c r="AA443" s="219"/>
    </row>
    <row r="444" spans="2:27" x14ac:dyDescent="0.25">
      <c r="M444" s="103"/>
      <c r="Q444" s="219"/>
      <c r="R444" s="219"/>
      <c r="S444" s="219"/>
      <c r="T444" s="219"/>
      <c r="U444" s="219"/>
      <c r="V444" s="219"/>
      <c r="W444" s="219"/>
      <c r="X444" s="219"/>
      <c r="Y444" s="219"/>
      <c r="Z444" s="219"/>
      <c r="AA444" s="219"/>
    </row>
    <row r="445" spans="2:27" x14ac:dyDescent="0.25">
      <c r="B445" s="219"/>
      <c r="M445" s="103"/>
      <c r="Q445" s="219"/>
      <c r="R445" s="219"/>
      <c r="S445" s="219"/>
      <c r="T445" s="219"/>
      <c r="U445" s="219"/>
      <c r="V445" s="219"/>
      <c r="W445" s="219"/>
      <c r="X445" s="219"/>
      <c r="Y445" s="219"/>
      <c r="Z445" s="219"/>
      <c r="AA445" s="219"/>
    </row>
    <row r="446" spans="2:27" x14ac:dyDescent="0.25">
      <c r="M446" s="103"/>
      <c r="Q446" s="574"/>
      <c r="R446" s="574"/>
      <c r="S446" s="574"/>
      <c r="T446" s="574"/>
      <c r="U446" s="574"/>
      <c r="V446" s="574"/>
      <c r="W446" s="574"/>
      <c r="X446" s="574"/>
      <c r="Y446" s="574"/>
      <c r="Z446" s="574"/>
      <c r="AA446" s="574"/>
    </row>
    <row r="447" spans="2:27" x14ac:dyDescent="0.25">
      <c r="B447" s="219"/>
      <c r="M447" s="103"/>
      <c r="Q447" s="219"/>
      <c r="R447" s="219"/>
      <c r="S447" s="219"/>
      <c r="T447" s="219"/>
      <c r="U447" s="219"/>
      <c r="V447" s="219"/>
      <c r="W447" s="219"/>
      <c r="X447" s="219"/>
      <c r="Y447" s="219"/>
      <c r="Z447" s="219"/>
      <c r="AA447" s="219"/>
    </row>
    <row r="448" spans="2:27" x14ac:dyDescent="0.25">
      <c r="M448" s="103"/>
      <c r="Q448" s="219"/>
      <c r="Y448" s="148"/>
      <c r="Z448" s="148"/>
      <c r="AA448" s="148"/>
    </row>
    <row r="449" spans="2:27" x14ac:dyDescent="0.25">
      <c r="B449" s="170"/>
      <c r="M449" s="103"/>
      <c r="Q449" s="219"/>
    </row>
    <row r="450" spans="2:27" x14ac:dyDescent="0.25">
      <c r="M450" s="103"/>
      <c r="Q450" s="219"/>
    </row>
    <row r="451" spans="2:27" x14ac:dyDescent="0.25">
      <c r="M451" s="103"/>
    </row>
    <row r="452" spans="2:27" x14ac:dyDescent="0.25">
      <c r="M452" s="103"/>
      <c r="Q452" s="219"/>
      <c r="R452" s="219"/>
      <c r="S452" s="219"/>
      <c r="T452" s="219"/>
      <c r="U452" s="219"/>
      <c r="V452" s="219"/>
      <c r="W452" s="219"/>
      <c r="X452" s="219"/>
      <c r="Y452" s="219"/>
      <c r="Z452" s="219"/>
      <c r="AA452" s="219"/>
    </row>
    <row r="453" spans="2:27" x14ac:dyDescent="0.25">
      <c r="M453" s="103"/>
      <c r="Q453" s="199"/>
      <c r="R453" s="199"/>
      <c r="S453" s="199"/>
      <c r="T453" s="199"/>
      <c r="U453" s="199"/>
      <c r="V453" s="199"/>
      <c r="W453" s="199"/>
      <c r="X453" s="199"/>
      <c r="Y453" s="199"/>
      <c r="Z453" s="199"/>
      <c r="AA453" s="199"/>
    </row>
    <row r="454" spans="2:27" x14ac:dyDescent="0.25">
      <c r="M454" s="103"/>
      <c r="R454" s="575"/>
      <c r="S454" s="575"/>
      <c r="T454" s="575"/>
      <c r="U454" s="575"/>
      <c r="V454" s="575"/>
      <c r="W454" s="575"/>
      <c r="X454" s="575"/>
      <c r="Y454" s="575"/>
      <c r="Z454" s="575"/>
      <c r="AA454" s="575"/>
    </row>
    <row r="455" spans="2:27" x14ac:dyDescent="0.25">
      <c r="M455" s="103"/>
      <c r="R455" s="198"/>
      <c r="S455" s="198"/>
      <c r="T455" s="198"/>
      <c r="U455" s="198"/>
      <c r="V455" s="198"/>
      <c r="W455" s="198"/>
      <c r="X455" s="198"/>
      <c r="Y455" s="198"/>
      <c r="Z455" s="198"/>
      <c r="AA455" s="198"/>
    </row>
    <row r="456" spans="2:27" x14ac:dyDescent="0.25">
      <c r="M456" s="103"/>
      <c r="R456" s="576"/>
      <c r="S456" s="576"/>
      <c r="T456" s="576"/>
      <c r="U456" s="576"/>
      <c r="V456" s="576"/>
      <c r="W456" s="576"/>
      <c r="X456" s="576"/>
      <c r="Y456" s="576"/>
      <c r="Z456" s="576"/>
      <c r="AA456" s="576"/>
    </row>
    <row r="457" spans="2:27" x14ac:dyDescent="0.25">
      <c r="M457" s="103"/>
    </row>
    <row r="458" spans="2:27" x14ac:dyDescent="0.25">
      <c r="M458" s="103"/>
    </row>
    <row r="459" spans="2:27" x14ac:dyDescent="0.25">
      <c r="M459" s="103"/>
    </row>
    <row r="460" spans="2:27" x14ac:dyDescent="0.25">
      <c r="M460" s="103"/>
    </row>
    <row r="461" spans="2:27" x14ac:dyDescent="0.25">
      <c r="M461" s="103"/>
    </row>
    <row r="462" spans="2:27" x14ac:dyDescent="0.25">
      <c r="M462" s="103"/>
    </row>
    <row r="463" spans="2:27" x14ac:dyDescent="0.25">
      <c r="M463" s="103"/>
    </row>
    <row r="464" spans="2:27" x14ac:dyDescent="0.25">
      <c r="M464" s="103"/>
    </row>
    <row r="465" spans="13:13" x14ac:dyDescent="0.25">
      <c r="M465" s="103"/>
    </row>
    <row r="466" spans="13:13" x14ac:dyDescent="0.25">
      <c r="M466" s="103"/>
    </row>
    <row r="467" spans="13:13" x14ac:dyDescent="0.25">
      <c r="M467" s="103"/>
    </row>
    <row r="468" spans="13:13" x14ac:dyDescent="0.25">
      <c r="M468" s="103"/>
    </row>
    <row r="469" spans="13:13" x14ac:dyDescent="0.25">
      <c r="M469" s="103"/>
    </row>
    <row r="470" spans="13:13" x14ac:dyDescent="0.25">
      <c r="M470" s="103"/>
    </row>
    <row r="471" spans="13:13" x14ac:dyDescent="0.25">
      <c r="M471" s="103"/>
    </row>
    <row r="472" spans="13:13" x14ac:dyDescent="0.25">
      <c r="M472" s="103"/>
    </row>
    <row r="473" spans="13:13" x14ac:dyDescent="0.25">
      <c r="M473" s="103"/>
    </row>
    <row r="474" spans="13:13" x14ac:dyDescent="0.25">
      <c r="M474" s="103"/>
    </row>
    <row r="475" spans="13:13" x14ac:dyDescent="0.25">
      <c r="M475" s="103"/>
    </row>
    <row r="476" spans="13:13" x14ac:dyDescent="0.25">
      <c r="M476" s="103"/>
    </row>
    <row r="477" spans="13:13" x14ac:dyDescent="0.25">
      <c r="M477" s="103"/>
    </row>
    <row r="478" spans="13:13" x14ac:dyDescent="0.25">
      <c r="M478" s="103"/>
    </row>
    <row r="479" spans="13:13" x14ac:dyDescent="0.25">
      <c r="M479" s="103"/>
    </row>
    <row r="480" spans="13:13" x14ac:dyDescent="0.25">
      <c r="M480" s="103"/>
    </row>
    <row r="481" spans="13:13" x14ac:dyDescent="0.25">
      <c r="M481" s="103"/>
    </row>
    <row r="482" spans="13:13" x14ac:dyDescent="0.25">
      <c r="M482" s="103"/>
    </row>
    <row r="483" spans="13:13" x14ac:dyDescent="0.25">
      <c r="M483" s="103"/>
    </row>
    <row r="484" spans="13:13" x14ac:dyDescent="0.25">
      <c r="M484" s="103"/>
    </row>
    <row r="485" spans="13:13" x14ac:dyDescent="0.25">
      <c r="M485" s="103"/>
    </row>
    <row r="486" spans="13:13" x14ac:dyDescent="0.25">
      <c r="M486" s="103"/>
    </row>
    <row r="487" spans="13:13" x14ac:dyDescent="0.25">
      <c r="M487" s="103"/>
    </row>
    <row r="488" spans="13:13" x14ac:dyDescent="0.25">
      <c r="M488" s="103"/>
    </row>
    <row r="489" spans="13:13" x14ac:dyDescent="0.25">
      <c r="M489" s="103"/>
    </row>
    <row r="490" spans="13:13" x14ac:dyDescent="0.25">
      <c r="M490" s="103"/>
    </row>
    <row r="491" spans="13:13" x14ac:dyDescent="0.25">
      <c r="M491" s="103"/>
    </row>
    <row r="492" spans="13:13" x14ac:dyDescent="0.25">
      <c r="M492" s="103"/>
    </row>
    <row r="493" spans="13:13" x14ac:dyDescent="0.25">
      <c r="M493" s="103"/>
    </row>
    <row r="494" spans="13:13" x14ac:dyDescent="0.25">
      <c r="M494" s="103"/>
    </row>
    <row r="495" spans="13:13" x14ac:dyDescent="0.25">
      <c r="M495" s="103"/>
    </row>
    <row r="496" spans="13:13" x14ac:dyDescent="0.25">
      <c r="M496" s="103"/>
    </row>
    <row r="497" spans="13:13" x14ac:dyDescent="0.25">
      <c r="M497" s="103"/>
    </row>
    <row r="498" spans="13:13" x14ac:dyDescent="0.25">
      <c r="M498" s="103"/>
    </row>
    <row r="499" spans="13:13" x14ac:dyDescent="0.25">
      <c r="M499" s="103"/>
    </row>
    <row r="500" spans="13:13" x14ac:dyDescent="0.25">
      <c r="M500" s="103"/>
    </row>
    <row r="501" spans="13:13" x14ac:dyDescent="0.25">
      <c r="M501" s="103"/>
    </row>
    <row r="502" spans="13:13" x14ac:dyDescent="0.25">
      <c r="M502" s="103"/>
    </row>
    <row r="503" spans="13:13" x14ac:dyDescent="0.25">
      <c r="M503" s="103"/>
    </row>
    <row r="504" spans="13:13" x14ac:dyDescent="0.25">
      <c r="M504" s="103"/>
    </row>
    <row r="505" spans="13:13" x14ac:dyDescent="0.25">
      <c r="M505" s="103"/>
    </row>
    <row r="506" spans="13:13" x14ac:dyDescent="0.25">
      <c r="M506" s="103"/>
    </row>
    <row r="507" spans="13:13" x14ac:dyDescent="0.25">
      <c r="M507" s="103"/>
    </row>
    <row r="508" spans="13:13" x14ac:dyDescent="0.25">
      <c r="M508" s="103"/>
    </row>
    <row r="509" spans="13:13" x14ac:dyDescent="0.25">
      <c r="M509" s="103"/>
    </row>
    <row r="510" spans="13:13" x14ac:dyDescent="0.25">
      <c r="M510" s="103"/>
    </row>
    <row r="511" spans="13:13" x14ac:dyDescent="0.25">
      <c r="M511" s="103"/>
    </row>
    <row r="512" spans="13:13" x14ac:dyDescent="0.25">
      <c r="M512" s="103"/>
    </row>
    <row r="513" spans="13:13" x14ac:dyDescent="0.25">
      <c r="M513" s="103"/>
    </row>
    <row r="514" spans="13:13" x14ac:dyDescent="0.25">
      <c r="M514" s="103"/>
    </row>
    <row r="515" spans="13:13" x14ac:dyDescent="0.25">
      <c r="M515" s="103"/>
    </row>
    <row r="516" spans="13:13" x14ac:dyDescent="0.25">
      <c r="M516" s="103"/>
    </row>
    <row r="517" spans="13:13" x14ac:dyDescent="0.25">
      <c r="M517" s="103"/>
    </row>
  </sheetData>
  <mergeCells count="6">
    <mergeCell ref="BC319:BC324"/>
    <mergeCell ref="BC98:BC99"/>
    <mergeCell ref="BC138:BC139"/>
    <mergeCell ref="BC300:BC304"/>
    <mergeCell ref="BC309:BC314"/>
    <mergeCell ref="BB273:BC278"/>
  </mergeCells>
  <dataValidations disablePrompts="1" count="2">
    <dataValidation type="list" allowBlank="1" showInputMessage="1" showErrorMessage="1" sqref="C155" xr:uid="{ADF8D98F-4E5F-4ACF-BD96-CD1AC641F9EA}">
      <formula1>$C$156:$C$157</formula1>
    </dataValidation>
    <dataValidation type="list" allowBlank="1" showInputMessage="1" showErrorMessage="1" sqref="O398" xr:uid="{8E0648A7-9AEB-4FFD-B649-EF1AA8CC4930}">
      <formula1>$D$409:$D$410</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3E388-070B-4063-AF92-857BEB48F660}">
  <dimension ref="A1:BJ285"/>
  <sheetViews>
    <sheetView topLeftCell="A8" zoomScale="72" zoomScaleNormal="72" workbookViewId="0">
      <selection activeCell="K19" sqref="K19"/>
    </sheetView>
  </sheetViews>
  <sheetFormatPr defaultColWidth="9.109375" defaultRowHeight="13.2" x14ac:dyDescent="0.25"/>
  <cols>
    <col min="1" max="1" width="7.5546875" style="262" customWidth="1"/>
    <col min="2" max="2" width="41.6640625" style="518" customWidth="1"/>
    <col min="3" max="3" width="40" style="518" hidden="1" customWidth="1"/>
    <col min="4" max="4" width="0.109375" style="642" hidden="1" customWidth="1"/>
    <col min="5" max="5" width="0.21875" style="642" hidden="1" customWidth="1"/>
    <col min="6" max="6" width="10.6640625" style="642" hidden="1" customWidth="1"/>
    <col min="7" max="7" width="0.44140625" style="642" customWidth="1"/>
    <col min="8" max="8" width="7" style="642" hidden="1" customWidth="1"/>
    <col min="9" max="9" width="14.44140625" style="642" customWidth="1"/>
    <col min="10" max="10" width="12.109375" style="642" customWidth="1"/>
    <col min="11" max="11" width="10.44140625" style="642" customWidth="1"/>
    <col min="12" max="12" width="10.44140625" style="642" bestFit="1" customWidth="1"/>
    <col min="13" max="13" width="10.44140625" style="737" bestFit="1" customWidth="1"/>
    <col min="14" max="15" width="10.44140625" style="642" bestFit="1" customWidth="1"/>
    <col min="16" max="17" width="9.109375" style="642"/>
    <col min="18" max="18" width="12" style="642" customWidth="1"/>
    <col min="19" max="19" width="13.6640625" style="642" customWidth="1"/>
    <col min="20" max="20" width="13.5546875" style="642" customWidth="1"/>
    <col min="21" max="21" width="13.44140625" style="642" customWidth="1"/>
    <col min="22" max="22" width="13.88671875" style="642" customWidth="1"/>
    <col min="23" max="23" width="12.88671875" style="642" customWidth="1"/>
    <col min="24" max="24" width="13.33203125" style="642" customWidth="1"/>
    <col min="25" max="25" width="12.109375" style="642" customWidth="1"/>
    <col min="26" max="26" width="16.109375" style="642" customWidth="1"/>
    <col min="27" max="27" width="15" style="642" customWidth="1"/>
    <col min="28" max="28" width="15.109375" style="642" customWidth="1"/>
    <col min="29" max="29" width="13.88671875" style="642" customWidth="1"/>
    <col min="30" max="30" width="13.109375" style="642" customWidth="1"/>
    <col min="31" max="32" width="15.21875" style="642" customWidth="1"/>
    <col min="33" max="33" width="16.5546875" style="642" customWidth="1"/>
    <col min="34" max="34" width="15.5546875" style="642" customWidth="1"/>
    <col min="35" max="35" width="14.6640625" style="642" customWidth="1"/>
    <col min="36" max="36" width="14.33203125" style="642" customWidth="1"/>
    <col min="37" max="37" width="12.6640625" style="642" customWidth="1"/>
    <col min="38" max="38" width="20.21875" style="642" customWidth="1"/>
    <col min="39" max="39" width="13.77734375" style="642" customWidth="1"/>
    <col min="40" max="40" width="20" style="642" customWidth="1"/>
    <col min="41" max="41" width="15.88671875" style="642" customWidth="1"/>
    <col min="42" max="42" width="12.77734375" style="642" customWidth="1"/>
    <col min="43" max="43" width="12.88671875" style="642" customWidth="1"/>
    <col min="44" max="44" width="19.33203125" style="642" customWidth="1"/>
    <col min="45" max="45" width="0.109375" style="642" customWidth="1"/>
    <col min="46" max="46" width="0.109375" style="642" hidden="1" customWidth="1"/>
    <col min="47" max="47" width="0.33203125" style="642" hidden="1" customWidth="1"/>
    <col min="48" max="48" width="0.109375" style="642" hidden="1" customWidth="1"/>
    <col min="49" max="49" width="9.109375" style="642" hidden="1" customWidth="1"/>
    <col min="50" max="50" width="10.88671875" style="642" hidden="1" customWidth="1"/>
    <col min="51" max="51" width="17" style="642" hidden="1" customWidth="1"/>
    <col min="52" max="52" width="23.44140625" style="642" hidden="1" customWidth="1"/>
    <col min="53" max="53" width="32.5546875" style="642" hidden="1" customWidth="1"/>
    <col min="54" max="54" width="9.6640625" style="642" customWidth="1"/>
    <col min="55" max="55" width="6.44140625" style="642" customWidth="1"/>
    <col min="56" max="16384" width="9.109375" style="642"/>
  </cols>
  <sheetData>
    <row r="1" spans="1:55" x14ac:dyDescent="0.25">
      <c r="D1" s="29"/>
      <c r="E1" s="29"/>
      <c r="F1" s="103"/>
      <c r="G1" s="103"/>
      <c r="H1" s="103"/>
      <c r="I1" s="103"/>
      <c r="J1" s="103"/>
      <c r="K1" s="103"/>
      <c r="L1" s="103"/>
      <c r="M1" s="103"/>
      <c r="N1" s="639"/>
      <c r="O1" s="639"/>
      <c r="P1" s="640"/>
      <c r="Q1" s="641">
        <v>1</v>
      </c>
      <c r="R1" s="641">
        <v>2</v>
      </c>
      <c r="S1" s="641">
        <v>3</v>
      </c>
      <c r="T1" s="641">
        <v>4</v>
      </c>
      <c r="U1" s="641">
        <v>5</v>
      </c>
      <c r="V1" s="641">
        <v>6</v>
      </c>
      <c r="W1" s="641">
        <v>7</v>
      </c>
      <c r="X1" s="641">
        <v>8</v>
      </c>
      <c r="Y1" s="641">
        <v>9</v>
      </c>
      <c r="Z1" s="641">
        <v>10</v>
      </c>
      <c r="AA1" s="641">
        <v>11</v>
      </c>
      <c r="AB1" s="641">
        <v>15</v>
      </c>
      <c r="AC1" s="641">
        <v>16</v>
      </c>
      <c r="AD1" s="641">
        <v>17</v>
      </c>
      <c r="AE1" s="641">
        <v>18</v>
      </c>
      <c r="AF1" s="641">
        <v>19</v>
      </c>
      <c r="AG1" s="641">
        <v>20</v>
      </c>
      <c r="AH1" s="641">
        <v>21</v>
      </c>
      <c r="AI1" s="641">
        <v>22</v>
      </c>
      <c r="AJ1" s="641">
        <v>23</v>
      </c>
      <c r="AK1" s="641">
        <v>24</v>
      </c>
      <c r="AL1" s="641">
        <v>25</v>
      </c>
      <c r="AM1" s="641">
        <v>26</v>
      </c>
      <c r="AN1" s="641">
        <v>27</v>
      </c>
      <c r="AO1" s="641">
        <v>28</v>
      </c>
      <c r="AP1" s="641">
        <v>29</v>
      </c>
      <c r="AQ1" s="641">
        <v>30</v>
      </c>
      <c r="AR1" s="641">
        <v>31</v>
      </c>
      <c r="AS1" s="641">
        <v>32</v>
      </c>
      <c r="AT1" s="641">
        <v>33</v>
      </c>
      <c r="AU1" s="641">
        <v>34</v>
      </c>
      <c r="AV1" s="641">
        <v>35</v>
      </c>
      <c r="AW1" s="641">
        <v>36</v>
      </c>
      <c r="AX1" s="641">
        <v>37</v>
      </c>
      <c r="AY1" s="641">
        <v>38</v>
      </c>
      <c r="AZ1" s="641">
        <v>39</v>
      </c>
      <c r="BA1" s="641">
        <v>40</v>
      </c>
      <c r="BB1" s="103"/>
      <c r="BC1" s="103"/>
    </row>
    <row r="2" spans="1:55" ht="15" customHeight="1" x14ac:dyDescent="0.25">
      <c r="B2" s="2376" t="s">
        <v>1251</v>
      </c>
      <c r="C2" s="2378" t="s">
        <v>398</v>
      </c>
      <c r="D2" s="42"/>
      <c r="E2" s="42"/>
      <c r="F2" s="643" t="str">
        <f t="shared" ref="F2:I2" ca="1" si="0">IF(TODAY()&lt;F3,"Proj","")</f>
        <v/>
      </c>
      <c r="G2" s="643" t="str">
        <f t="shared" ca="1" si="0"/>
        <v/>
      </c>
      <c r="H2" s="643" t="str">
        <f t="shared" ca="1" si="0"/>
        <v/>
      </c>
      <c r="I2" s="643" t="str">
        <f t="shared" ca="1" si="0"/>
        <v/>
      </c>
      <c r="J2" s="643" t="str">
        <f ca="1">IF(TODAY()&lt;J3,"Proj","")</f>
        <v/>
      </c>
      <c r="K2" s="643" t="str">
        <f t="shared" ref="K2:BA2" ca="1" si="1">IF(TODAY()&lt;K3,"Proj","")</f>
        <v/>
      </c>
      <c r="L2" s="643" t="str">
        <f t="shared" ca="1" si="1"/>
        <v/>
      </c>
      <c r="M2" s="643" t="str">
        <f t="shared" ca="1" si="1"/>
        <v/>
      </c>
      <c r="N2" s="643" t="str">
        <f t="shared" ca="1" si="1"/>
        <v/>
      </c>
      <c r="O2" s="643" t="str">
        <f t="shared" ca="1" si="1"/>
        <v/>
      </c>
      <c r="P2" s="644" t="str">
        <f t="shared" ca="1" si="1"/>
        <v/>
      </c>
      <c r="Q2" s="645" t="str">
        <f t="shared" ca="1" si="1"/>
        <v/>
      </c>
      <c r="R2" s="645" t="str">
        <f t="shared" ca="1" si="1"/>
        <v/>
      </c>
      <c r="S2" s="645" t="str">
        <f t="shared" ca="1" si="1"/>
        <v/>
      </c>
      <c r="T2" s="645" t="str">
        <f t="shared" ca="1" si="1"/>
        <v>Proj</v>
      </c>
      <c r="U2" s="645" t="str">
        <f t="shared" ca="1" si="1"/>
        <v>Proj</v>
      </c>
      <c r="V2" s="645" t="str">
        <f t="shared" ca="1" si="1"/>
        <v>Proj</v>
      </c>
      <c r="W2" s="645" t="str">
        <f t="shared" ca="1" si="1"/>
        <v>Proj</v>
      </c>
      <c r="X2" s="645" t="str">
        <f t="shared" ca="1" si="1"/>
        <v>Proj</v>
      </c>
      <c r="Y2" s="645" t="str">
        <f t="shared" ca="1" si="1"/>
        <v>Proj</v>
      </c>
      <c r="Z2" s="645" t="str">
        <f t="shared" ca="1" si="1"/>
        <v>Proj</v>
      </c>
      <c r="AA2" s="645" t="str">
        <f t="shared" ca="1" si="1"/>
        <v>Proj</v>
      </c>
      <c r="AB2" s="645" t="str">
        <f t="shared" ca="1" si="1"/>
        <v>Proj</v>
      </c>
      <c r="AC2" s="645" t="str">
        <f t="shared" ca="1" si="1"/>
        <v>Proj</v>
      </c>
      <c r="AD2" s="645" t="str">
        <f t="shared" ca="1" si="1"/>
        <v>Proj</v>
      </c>
      <c r="AE2" s="645" t="str">
        <f t="shared" ca="1" si="1"/>
        <v>Proj</v>
      </c>
      <c r="AF2" s="645" t="str">
        <f t="shared" ca="1" si="1"/>
        <v>Proj</v>
      </c>
      <c r="AG2" s="645" t="str">
        <f t="shared" ca="1" si="1"/>
        <v>Proj</v>
      </c>
      <c r="AH2" s="645" t="str">
        <f t="shared" ca="1" si="1"/>
        <v>Proj</v>
      </c>
      <c r="AI2" s="645" t="str">
        <f t="shared" ca="1" si="1"/>
        <v>Proj</v>
      </c>
      <c r="AJ2" s="645" t="str">
        <f t="shared" ca="1" si="1"/>
        <v>Proj</v>
      </c>
      <c r="AK2" s="645" t="str">
        <f t="shared" ca="1" si="1"/>
        <v>Proj</v>
      </c>
      <c r="AL2" s="645" t="str">
        <f t="shared" ca="1" si="1"/>
        <v>Proj</v>
      </c>
      <c r="AM2" s="645" t="str">
        <f t="shared" ca="1" si="1"/>
        <v>Proj</v>
      </c>
      <c r="AN2" s="645" t="str">
        <f t="shared" ca="1" si="1"/>
        <v>Proj</v>
      </c>
      <c r="AO2" s="645" t="str">
        <f t="shared" ca="1" si="1"/>
        <v>Proj</v>
      </c>
      <c r="AP2" s="645" t="str">
        <f t="shared" ca="1" si="1"/>
        <v>Proj</v>
      </c>
      <c r="AQ2" s="645" t="str">
        <f t="shared" ca="1" si="1"/>
        <v>Proj</v>
      </c>
      <c r="AR2" s="645" t="str">
        <f t="shared" ca="1" si="1"/>
        <v>Proj</v>
      </c>
      <c r="AS2" s="645" t="str">
        <f t="shared" ca="1" si="1"/>
        <v>Proj</v>
      </c>
      <c r="AT2" s="645" t="str">
        <f t="shared" ca="1" si="1"/>
        <v>Proj</v>
      </c>
      <c r="AU2" s="645" t="str">
        <f t="shared" ca="1" si="1"/>
        <v>Proj</v>
      </c>
      <c r="AV2" s="645" t="str">
        <f t="shared" ca="1" si="1"/>
        <v>Proj</v>
      </c>
      <c r="AW2" s="645" t="str">
        <f t="shared" ca="1" si="1"/>
        <v>Proj</v>
      </c>
      <c r="AX2" s="645" t="str">
        <f t="shared" ca="1" si="1"/>
        <v>Proj</v>
      </c>
      <c r="AY2" s="645" t="str">
        <f t="shared" ca="1" si="1"/>
        <v>Proj</v>
      </c>
      <c r="AZ2" s="645" t="str">
        <f t="shared" ca="1" si="1"/>
        <v>Proj</v>
      </c>
      <c r="BA2" s="645" t="str">
        <f t="shared" ca="1" si="1"/>
        <v>Proj</v>
      </c>
      <c r="BB2" s="643"/>
      <c r="BC2" s="646"/>
    </row>
    <row r="3" spans="1:55" ht="13.8" thickBot="1" x14ac:dyDescent="0.3">
      <c r="B3" s="2377"/>
      <c r="C3" s="2379"/>
      <c r="D3" s="647">
        <v>40178</v>
      </c>
      <c r="E3" s="648">
        <f t="shared" ref="E3:BA3" si="2">DATE(YEAR(D3),MONTH(D3)+13,0)</f>
        <v>40543</v>
      </c>
      <c r="F3" s="648">
        <f t="shared" si="2"/>
        <v>40908</v>
      </c>
      <c r="G3" s="648">
        <f t="shared" si="2"/>
        <v>41274</v>
      </c>
      <c r="H3" s="648">
        <f t="shared" si="2"/>
        <v>41639</v>
      </c>
      <c r="I3" s="648">
        <f t="shared" si="2"/>
        <v>42004</v>
      </c>
      <c r="J3" s="648">
        <f t="shared" si="2"/>
        <v>42369</v>
      </c>
      <c r="K3" s="648">
        <f t="shared" si="2"/>
        <v>42735</v>
      </c>
      <c r="L3" s="648">
        <f t="shared" si="2"/>
        <v>43100</v>
      </c>
      <c r="M3" s="648">
        <f t="shared" si="2"/>
        <v>43465</v>
      </c>
      <c r="N3" s="648">
        <f t="shared" si="2"/>
        <v>43830</v>
      </c>
      <c r="O3" s="648">
        <f t="shared" si="2"/>
        <v>44196</v>
      </c>
      <c r="P3" s="649">
        <f t="shared" si="2"/>
        <v>44561</v>
      </c>
      <c r="Q3" s="650">
        <f t="shared" si="2"/>
        <v>44926</v>
      </c>
      <c r="R3" s="650">
        <f t="shared" si="2"/>
        <v>45291</v>
      </c>
      <c r="S3" s="650">
        <f t="shared" si="2"/>
        <v>45657</v>
      </c>
      <c r="T3" s="650">
        <f t="shared" si="2"/>
        <v>46022</v>
      </c>
      <c r="U3" s="650">
        <f t="shared" si="2"/>
        <v>46387</v>
      </c>
      <c r="V3" s="650">
        <f t="shared" si="2"/>
        <v>46752</v>
      </c>
      <c r="W3" s="650">
        <f t="shared" si="2"/>
        <v>47118</v>
      </c>
      <c r="X3" s="650">
        <f t="shared" si="2"/>
        <v>47483</v>
      </c>
      <c r="Y3" s="650">
        <f t="shared" si="2"/>
        <v>47848</v>
      </c>
      <c r="Z3" s="650">
        <f t="shared" si="2"/>
        <v>48213</v>
      </c>
      <c r="AA3" s="650">
        <f t="shared" si="2"/>
        <v>48579</v>
      </c>
      <c r="AB3" s="650">
        <f t="shared" si="2"/>
        <v>48944</v>
      </c>
      <c r="AC3" s="650">
        <f t="shared" si="2"/>
        <v>49309</v>
      </c>
      <c r="AD3" s="650">
        <f t="shared" si="2"/>
        <v>49674</v>
      </c>
      <c r="AE3" s="650">
        <f t="shared" si="2"/>
        <v>50040</v>
      </c>
      <c r="AF3" s="650">
        <f t="shared" si="2"/>
        <v>50405</v>
      </c>
      <c r="AG3" s="650">
        <f t="shared" si="2"/>
        <v>50770</v>
      </c>
      <c r="AH3" s="650">
        <f t="shared" si="2"/>
        <v>51135</v>
      </c>
      <c r="AI3" s="650">
        <f t="shared" si="2"/>
        <v>51501</v>
      </c>
      <c r="AJ3" s="650">
        <f t="shared" si="2"/>
        <v>51866</v>
      </c>
      <c r="AK3" s="650">
        <f t="shared" si="2"/>
        <v>52231</v>
      </c>
      <c r="AL3" s="650">
        <f t="shared" si="2"/>
        <v>52596</v>
      </c>
      <c r="AM3" s="650">
        <f t="shared" si="2"/>
        <v>52962</v>
      </c>
      <c r="AN3" s="650">
        <f t="shared" si="2"/>
        <v>53327</v>
      </c>
      <c r="AO3" s="650">
        <f t="shared" si="2"/>
        <v>53692</v>
      </c>
      <c r="AP3" s="650">
        <f t="shared" si="2"/>
        <v>54057</v>
      </c>
      <c r="AQ3" s="650">
        <f t="shared" si="2"/>
        <v>54423</v>
      </c>
      <c r="AR3" s="650">
        <f t="shared" si="2"/>
        <v>54788</v>
      </c>
      <c r="AS3" s="650">
        <f t="shared" si="2"/>
        <v>55153</v>
      </c>
      <c r="AT3" s="650">
        <f t="shared" si="2"/>
        <v>55518</v>
      </c>
      <c r="AU3" s="650">
        <f t="shared" si="2"/>
        <v>55884</v>
      </c>
      <c r="AV3" s="650">
        <f t="shared" si="2"/>
        <v>56249</v>
      </c>
      <c r="AW3" s="650">
        <f t="shared" si="2"/>
        <v>56614</v>
      </c>
      <c r="AX3" s="650">
        <f t="shared" si="2"/>
        <v>56979</v>
      </c>
      <c r="AY3" s="650">
        <f t="shared" si="2"/>
        <v>57345</v>
      </c>
      <c r="AZ3" s="650">
        <f t="shared" si="2"/>
        <v>57710</v>
      </c>
      <c r="BA3" s="650">
        <f t="shared" si="2"/>
        <v>58075</v>
      </c>
      <c r="BB3" s="651"/>
      <c r="BC3" s="652"/>
    </row>
    <row r="4" spans="1:55" ht="13.8" thickTop="1" x14ac:dyDescent="0.25">
      <c r="B4" s="653"/>
      <c r="C4" s="653"/>
      <c r="D4" s="654"/>
      <c r="E4" s="364"/>
      <c r="F4" s="364"/>
      <c r="G4" s="364"/>
      <c r="H4" s="364"/>
      <c r="I4" s="364"/>
      <c r="J4" s="364"/>
      <c r="K4" s="364"/>
      <c r="L4" s="364"/>
      <c r="M4" s="364"/>
      <c r="N4" s="364"/>
      <c r="O4" s="364"/>
      <c r="P4" s="655"/>
      <c r="Q4" s="364"/>
      <c r="R4" s="364"/>
      <c r="S4" s="364"/>
      <c r="T4" s="364"/>
      <c r="U4" s="364"/>
      <c r="V4" s="364"/>
      <c r="W4" s="364"/>
      <c r="X4" s="364"/>
      <c r="Y4" s="364"/>
      <c r="Z4" s="364"/>
      <c r="AA4" s="364"/>
      <c r="AB4" s="364"/>
      <c r="AC4" s="364"/>
      <c r="AD4" s="364"/>
      <c r="AE4" s="364"/>
      <c r="AF4" s="364"/>
      <c r="AG4" s="364"/>
      <c r="AH4" s="364"/>
      <c r="AI4" s="364"/>
      <c r="AJ4" s="364"/>
      <c r="AK4" s="364"/>
      <c r="AL4" s="364"/>
      <c r="AM4" s="364"/>
      <c r="AN4" s="364"/>
      <c r="AO4" s="364"/>
      <c r="AP4" s="364"/>
      <c r="AQ4" s="364"/>
      <c r="AR4" s="364"/>
      <c r="AS4" s="364"/>
      <c r="AT4" s="364"/>
      <c r="AU4" s="364"/>
      <c r="AV4" s="364"/>
      <c r="AW4" s="364"/>
      <c r="AX4" s="364"/>
      <c r="AY4" s="364"/>
      <c r="AZ4" s="364"/>
      <c r="BA4" s="364"/>
      <c r="BB4" s="364"/>
      <c r="BC4" s="364"/>
    </row>
    <row r="5" spans="1:55" s="124" customFormat="1" x14ac:dyDescent="0.25">
      <c r="A5" s="115">
        <v>1</v>
      </c>
      <c r="B5" s="123" t="s">
        <v>324</v>
      </c>
      <c r="C5" s="123" t="s">
        <v>402</v>
      </c>
      <c r="D5" s="118"/>
      <c r="E5" s="118"/>
      <c r="F5" s="118"/>
      <c r="G5" s="118"/>
      <c r="H5" s="118"/>
      <c r="I5" s="119">
        <f>Input!I7</f>
        <v>2451.8793050929999</v>
      </c>
      <c r="J5" s="119">
        <f>Input!J7</f>
        <v>1225.068036933</v>
      </c>
      <c r="K5" s="119">
        <f>Input!K7</f>
        <v>1384.901834538</v>
      </c>
      <c r="L5" s="119">
        <f>Input!L7</f>
        <v>1388.227398407</v>
      </c>
      <c r="M5" s="119">
        <f>Input!M7</f>
        <v>1401.0243162510001</v>
      </c>
      <c r="N5" s="119">
        <f>Input!N7</f>
        <v>1261.729021484</v>
      </c>
      <c r="O5" s="119">
        <f>Input!O7</f>
        <v>1256.952371543</v>
      </c>
      <c r="P5" s="671">
        <f>Input!P7</f>
        <v>1558.5043332830001</v>
      </c>
      <c r="Q5" s="172">
        <f>Input!Q7</f>
        <v>1674.6241956129609</v>
      </c>
      <c r="R5" s="172">
        <f>Input!R7</f>
        <v>1747.0633585486698</v>
      </c>
      <c r="S5" s="172">
        <f>Input!S7</f>
        <v>2205.6779275070485</v>
      </c>
      <c r="T5" s="172">
        <f>Input!T7</f>
        <v>2352.6624514638038</v>
      </c>
      <c r="U5" s="172">
        <f>Input!U7</f>
        <v>2500.2090223576433</v>
      </c>
      <c r="V5" s="172">
        <f>Input!V7</f>
        <v>2621.935344537902</v>
      </c>
      <c r="W5" s="172">
        <f>Input!W7</f>
        <v>2773.8208160693039</v>
      </c>
      <c r="X5" s="172">
        <f>Input!X7</f>
        <v>2880.957655097322</v>
      </c>
      <c r="Y5" s="172">
        <f>Input!Y7</f>
        <v>2996.9379229805013</v>
      </c>
      <c r="Z5" s="172">
        <f>Input!Z7</f>
        <v>3122.6339329848565</v>
      </c>
      <c r="AA5" s="172"/>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row>
    <row r="6" spans="1:55" s="124" customFormat="1" x14ac:dyDescent="0.25">
      <c r="A6" s="115">
        <v>2</v>
      </c>
      <c r="B6" s="123" t="s">
        <v>32</v>
      </c>
      <c r="C6" s="123" t="s">
        <v>405</v>
      </c>
      <c r="D6" s="118"/>
      <c r="E6" s="118"/>
      <c r="F6" s="118"/>
      <c r="G6" s="118"/>
      <c r="H6" s="118"/>
      <c r="I6" s="119">
        <f>Input!I11</f>
        <v>2128.8437159710002</v>
      </c>
      <c r="J6" s="119">
        <f>Input!J11</f>
        <v>773.07692048900003</v>
      </c>
      <c r="K6" s="119">
        <f>Input!K11</f>
        <v>875.70243685100002</v>
      </c>
      <c r="L6" s="119">
        <f>Input!L11</f>
        <v>897.55493153600003</v>
      </c>
      <c r="M6" s="119">
        <f>Input!M11</f>
        <v>972.89627893099998</v>
      </c>
      <c r="N6" s="119">
        <f>Input!N11</f>
        <v>846.93308036400003</v>
      </c>
      <c r="O6" s="119">
        <f>Input!O11</f>
        <v>765.81309361800004</v>
      </c>
      <c r="P6" s="671">
        <f>Input!P11</f>
        <v>935.938713151</v>
      </c>
      <c r="Q6" s="172">
        <f>Input!Q11</f>
        <v>1012.6251940072838</v>
      </c>
      <c r="R6" s="172">
        <f>Input!R11</f>
        <v>1068.8092083292872</v>
      </c>
      <c r="S6" s="172">
        <f>Input!S11</f>
        <v>1296.3681791200668</v>
      </c>
      <c r="T6" s="172">
        <f>Input!T11</f>
        <v>1357.3298826322605</v>
      </c>
      <c r="U6" s="172">
        <f>Input!U11</f>
        <v>1410.7837820808772</v>
      </c>
      <c r="V6" s="172">
        <f>Input!V11</f>
        <v>1465.7026623117556</v>
      </c>
      <c r="W6" s="172">
        <f>Input!W11</f>
        <v>1532.2327524787643</v>
      </c>
      <c r="X6" s="172">
        <f>Input!X11</f>
        <v>1590.3549921054873</v>
      </c>
      <c r="Y6" s="172">
        <f>Input!Y11</f>
        <v>1653.0812476685103</v>
      </c>
      <c r="Z6" s="172">
        <f>Input!Z11</f>
        <v>1720.8580712685739</v>
      </c>
      <c r="AA6" s="172"/>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18"/>
    </row>
    <row r="7" spans="1:55" s="124" customFormat="1" x14ac:dyDescent="0.25">
      <c r="A7" s="115"/>
      <c r="B7" s="140" t="s">
        <v>1252</v>
      </c>
      <c r="C7" s="140" t="s">
        <v>408</v>
      </c>
      <c r="D7" s="267"/>
      <c r="E7" s="267"/>
      <c r="F7" s="267"/>
      <c r="G7" s="267"/>
      <c r="H7" s="267"/>
      <c r="I7" s="656">
        <f>Input!I15</f>
        <v>323.03558912199969</v>
      </c>
      <c r="J7" s="656">
        <f>Input!J15</f>
        <v>451.991116444</v>
      </c>
      <c r="K7" s="656">
        <f>Input!K15</f>
        <v>509.19939768699999</v>
      </c>
      <c r="L7" s="656">
        <f>Input!L15</f>
        <v>490.67246687099998</v>
      </c>
      <c r="M7" s="656">
        <f>Input!M15</f>
        <v>428.12803732000009</v>
      </c>
      <c r="N7" s="656">
        <f>Input!N15</f>
        <v>414.79594111999995</v>
      </c>
      <c r="O7" s="656">
        <f>Input!O15</f>
        <v>491.13927792499999</v>
      </c>
      <c r="P7" s="684">
        <f>Input!P15</f>
        <v>622.56562013200005</v>
      </c>
      <c r="Q7" s="657">
        <f>Input!Q15</f>
        <v>661.99900160567711</v>
      </c>
      <c r="R7" s="657">
        <f>Input!R15</f>
        <v>678.25415021938261</v>
      </c>
      <c r="S7" s="657">
        <f>Input!S15</f>
        <v>909.30974838698171</v>
      </c>
      <c r="T7" s="657">
        <f>Input!T15</f>
        <v>995.33256883154331</v>
      </c>
      <c r="U7" s="657">
        <f>Input!U15</f>
        <v>1089.4252402767661</v>
      </c>
      <c r="V7" s="657">
        <f>Input!V15</f>
        <v>1156.2326822261464</v>
      </c>
      <c r="W7" s="657">
        <f>Input!W15</f>
        <v>1241.5880635905396</v>
      </c>
      <c r="X7" s="657">
        <f>Input!X15</f>
        <v>1290.6026629918347</v>
      </c>
      <c r="Y7" s="657">
        <f>Input!Y15</f>
        <v>1343.856675311991</v>
      </c>
      <c r="Z7" s="657">
        <f>Input!Z15</f>
        <v>1401.7758617162826</v>
      </c>
      <c r="AA7" s="657"/>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row>
    <row r="8" spans="1:55" s="665" customFormat="1" x14ac:dyDescent="0.25">
      <c r="A8" s="658"/>
      <c r="B8" s="659" t="s">
        <v>1253</v>
      </c>
      <c r="C8" s="659" t="s">
        <v>407</v>
      </c>
      <c r="D8" s="660"/>
      <c r="E8" s="660"/>
      <c r="F8" s="660"/>
      <c r="G8" s="660"/>
      <c r="H8" s="660"/>
      <c r="I8" s="661">
        <f>I7/I5</f>
        <v>0.13175020012241057</v>
      </c>
      <c r="J8" s="661">
        <f>J7/J5</f>
        <v>0.36895184823822136</v>
      </c>
      <c r="K8" s="661">
        <f t="shared" ref="K8:Z8" si="3">K7/K5</f>
        <v>0.36767905492512232</v>
      </c>
      <c r="L8" s="661">
        <f t="shared" si="3"/>
        <v>0.35345251608925876</v>
      </c>
      <c r="M8" s="661">
        <f t="shared" si="3"/>
        <v>0.30558216039078295</v>
      </c>
      <c r="N8" s="661">
        <f t="shared" si="3"/>
        <v>0.3287520014655223</v>
      </c>
      <c r="O8" s="661">
        <f t="shared" si="3"/>
        <v>0.39073817675533001</v>
      </c>
      <c r="P8" s="674">
        <f t="shared" si="3"/>
        <v>0.39946351565193361</v>
      </c>
      <c r="Q8" s="662">
        <f t="shared" si="3"/>
        <v>0.39531197706322779</v>
      </c>
      <c r="R8" s="662">
        <f t="shared" si="3"/>
        <v>0.38822527351430786</v>
      </c>
      <c r="S8" s="662">
        <f t="shared" si="3"/>
        <v>0.41225862445598416</v>
      </c>
      <c r="T8" s="662">
        <f t="shared" si="3"/>
        <v>0.4230664574139214</v>
      </c>
      <c r="U8" s="662">
        <f t="shared" si="3"/>
        <v>0.43573366487953136</v>
      </c>
      <c r="V8" s="662">
        <f t="shared" si="3"/>
        <v>0.44098443717723496</v>
      </c>
      <c r="W8" s="662">
        <f t="shared" si="3"/>
        <v>0.44760932515819674</v>
      </c>
      <c r="X8" s="662">
        <f t="shared" si="3"/>
        <v>0.44797696373924545</v>
      </c>
      <c r="Y8" s="662">
        <f t="shared" si="3"/>
        <v>0.44840991366798305</v>
      </c>
      <c r="Z8" s="662">
        <f t="shared" si="3"/>
        <v>0.44890816272413853</v>
      </c>
      <c r="AA8" s="662"/>
      <c r="AB8" s="663"/>
      <c r="AC8" s="663"/>
      <c r="AD8" s="663"/>
      <c r="AE8" s="663"/>
      <c r="AF8" s="663"/>
      <c r="AG8" s="663"/>
      <c r="AH8" s="663"/>
      <c r="AI8" s="663"/>
      <c r="AJ8" s="663"/>
      <c r="AK8" s="663"/>
      <c r="AL8" s="663"/>
      <c r="AM8" s="663"/>
      <c r="AN8" s="663"/>
      <c r="AO8" s="663"/>
      <c r="AP8" s="663"/>
      <c r="AQ8" s="663"/>
      <c r="AR8" s="663"/>
      <c r="AS8" s="663"/>
      <c r="AT8" s="663"/>
      <c r="AU8" s="663"/>
      <c r="AV8" s="663"/>
      <c r="AW8" s="663"/>
      <c r="AX8" s="663"/>
      <c r="AY8" s="663"/>
      <c r="AZ8" s="663"/>
      <c r="BA8" s="663"/>
      <c r="BB8" s="664"/>
      <c r="BC8" s="664"/>
    </row>
    <row r="9" spans="1:55" s="29" customFormat="1" x14ac:dyDescent="0.25">
      <c r="A9" s="115"/>
      <c r="B9" s="103"/>
      <c r="C9" s="103"/>
      <c r="D9" s="66"/>
      <c r="E9" s="66"/>
      <c r="F9" s="66"/>
      <c r="G9" s="66"/>
      <c r="H9" s="66"/>
      <c r="I9" s="66"/>
      <c r="J9" s="66"/>
      <c r="K9" s="66"/>
      <c r="L9" s="66"/>
      <c r="M9" s="66"/>
      <c r="N9" s="66"/>
      <c r="O9" s="66"/>
      <c r="P9" s="303"/>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66"/>
      <c r="AT9" s="66"/>
      <c r="AU9" s="66"/>
      <c r="AV9" s="66"/>
      <c r="AW9" s="66"/>
      <c r="AX9" s="66"/>
      <c r="AY9" s="66"/>
      <c r="AZ9" s="66"/>
      <c r="BA9" s="66"/>
      <c r="BB9" s="112"/>
      <c r="BC9" s="112"/>
    </row>
    <row r="10" spans="1:55" s="124" customFormat="1" x14ac:dyDescent="0.25">
      <c r="A10" s="115"/>
      <c r="B10" s="123" t="s">
        <v>1254</v>
      </c>
      <c r="C10" s="666" t="s">
        <v>410</v>
      </c>
      <c r="D10" s="469"/>
      <c r="E10" s="469"/>
      <c r="F10" s="469"/>
      <c r="G10" s="469"/>
      <c r="H10" s="469"/>
      <c r="I10" s="667">
        <f>Input!I19</f>
        <v>154.662770096</v>
      </c>
      <c r="J10" s="667">
        <f>Input!J19</f>
        <v>324.11408480799997</v>
      </c>
      <c r="K10" s="667">
        <f>Input!K19</f>
        <v>351.19045200300002</v>
      </c>
      <c r="L10" s="667">
        <f>Input!L19</f>
        <v>303.73434159300001</v>
      </c>
      <c r="M10" s="667">
        <f>Input!M19</f>
        <v>241.571069018</v>
      </c>
      <c r="N10" s="667">
        <f>Input!N19</f>
        <v>254.04638620999998</v>
      </c>
      <c r="O10" s="667">
        <f>Input!O19</f>
        <v>309.35620358699998</v>
      </c>
      <c r="P10" s="693">
        <f>Input!P19</f>
        <v>405.43709983100001</v>
      </c>
      <c r="Q10" s="668">
        <f>Input!Q19</f>
        <v>388.64818126208149</v>
      </c>
      <c r="R10" s="668">
        <f>Input!R19</f>
        <v>405.45992266702751</v>
      </c>
      <c r="S10" s="668">
        <f>Input!S19</f>
        <v>511.89557467355212</v>
      </c>
      <c r="T10" s="668">
        <f>Input!T19</f>
        <v>546.00786569330319</v>
      </c>
      <c r="U10" s="668">
        <f>Input!U19</f>
        <v>580.25059703539875</v>
      </c>
      <c r="V10" s="668">
        <f>Input!V19</f>
        <v>608.50094350179711</v>
      </c>
      <c r="W10" s="668">
        <f>Input!W19</f>
        <v>643.75065052588934</v>
      </c>
      <c r="X10" s="668">
        <f>Input!X19</f>
        <v>668.61505756329427</v>
      </c>
      <c r="Y10" s="668">
        <f>Input!Y19</f>
        <v>695.53185495173034</v>
      </c>
      <c r="Z10" s="668">
        <f>Input!Z19</f>
        <v>724.70348988216438</v>
      </c>
      <c r="AA10" s="668"/>
      <c r="AB10" s="470"/>
      <c r="AC10" s="470"/>
      <c r="AD10" s="470"/>
      <c r="AE10" s="470"/>
      <c r="AF10" s="470"/>
      <c r="AG10" s="470"/>
      <c r="AH10" s="470"/>
      <c r="AI10" s="470"/>
      <c r="AJ10" s="470"/>
      <c r="AK10" s="470"/>
      <c r="AL10" s="470"/>
      <c r="AM10" s="470"/>
      <c r="AN10" s="470"/>
      <c r="AO10" s="470"/>
      <c r="AP10" s="470"/>
      <c r="AQ10" s="470"/>
      <c r="AR10" s="470"/>
      <c r="AS10" s="470"/>
      <c r="AT10" s="470"/>
      <c r="AU10" s="470"/>
      <c r="AV10" s="470"/>
      <c r="AW10" s="470"/>
      <c r="AX10" s="470"/>
      <c r="AY10" s="470"/>
      <c r="AZ10" s="470"/>
      <c r="BA10" s="470"/>
    </row>
    <row r="11" spans="1:55" s="124" customFormat="1" ht="23.25" customHeight="1" x14ac:dyDescent="0.25">
      <c r="A11" s="115"/>
      <c r="B11" s="123"/>
      <c r="C11" s="669" t="s">
        <v>416</v>
      </c>
      <c r="D11" s="469"/>
      <c r="E11" s="469"/>
      <c r="F11" s="469"/>
      <c r="G11" s="469"/>
      <c r="H11" s="469"/>
      <c r="I11" s="469"/>
      <c r="J11" s="469"/>
      <c r="K11" s="469"/>
      <c r="L11" s="469"/>
      <c r="M11" s="469"/>
      <c r="N11" s="469"/>
      <c r="O11" s="469"/>
      <c r="P11" s="670"/>
      <c r="Q11" s="470"/>
      <c r="R11" s="470"/>
      <c r="S11" s="470"/>
      <c r="T11" s="470"/>
      <c r="U11" s="470"/>
      <c r="V11" s="470"/>
      <c r="W11" s="470"/>
      <c r="X11" s="470"/>
      <c r="Y11" s="470"/>
      <c r="Z11" s="470"/>
      <c r="AA11" s="470"/>
      <c r="AB11" s="470"/>
      <c r="AC11" s="470"/>
      <c r="AD11" s="470"/>
      <c r="AE11" s="470"/>
      <c r="AF11" s="470"/>
      <c r="AG11" s="470"/>
      <c r="AH11" s="470"/>
      <c r="AI11" s="470"/>
      <c r="AJ11" s="470"/>
      <c r="AK11" s="470"/>
      <c r="AL11" s="470"/>
      <c r="AM11" s="470"/>
      <c r="AN11" s="470"/>
      <c r="AO11" s="470"/>
      <c r="AP11" s="470"/>
      <c r="AQ11" s="470"/>
      <c r="AR11" s="470"/>
      <c r="AS11" s="470"/>
      <c r="AT11" s="470"/>
      <c r="AU11" s="470"/>
      <c r="AV11" s="470"/>
      <c r="AW11" s="470"/>
      <c r="AX11" s="470"/>
      <c r="AY11" s="470"/>
      <c r="AZ11" s="470"/>
      <c r="BA11" s="470"/>
    </row>
    <row r="12" spans="1:55" s="124" customFormat="1" ht="30" customHeight="1" x14ac:dyDescent="0.25">
      <c r="A12" s="115"/>
      <c r="B12" s="140" t="s">
        <v>419</v>
      </c>
      <c r="C12" s="123" t="s">
        <v>419</v>
      </c>
      <c r="D12" s="118"/>
      <c r="E12" s="118"/>
      <c r="F12" s="118"/>
      <c r="G12" s="118"/>
      <c r="H12" s="118"/>
      <c r="I12" s="119">
        <f>Input!I35</f>
        <v>236.74427448899968</v>
      </c>
      <c r="J12" s="119">
        <f>Input!J35</f>
        <v>167.09401340400001</v>
      </c>
      <c r="K12" s="119">
        <f>Input!K35</f>
        <v>191.80277707599998</v>
      </c>
      <c r="L12" s="119">
        <f>Input!L35</f>
        <v>223.75196760799997</v>
      </c>
      <c r="M12" s="119">
        <f>Input!M35</f>
        <v>223.07388376400007</v>
      </c>
      <c r="N12" s="119">
        <f>Input!N35</f>
        <v>188.69457661899997</v>
      </c>
      <c r="O12" s="119">
        <f>Input!O35</f>
        <v>213.59206486799999</v>
      </c>
      <c r="P12" s="671">
        <f>Input!P35</f>
        <v>257.80264870500002</v>
      </c>
      <c r="Q12" s="172">
        <f>Input!Q35</f>
        <v>375.06371231883986</v>
      </c>
      <c r="R12" s="172">
        <f>Input!R35</f>
        <v>406.38749260380672</v>
      </c>
      <c r="S12" s="172">
        <f>Input!S35</f>
        <v>538.15270169095936</v>
      </c>
      <c r="T12" s="172">
        <f>Input!T35</f>
        <v>549.23597791525174</v>
      </c>
      <c r="U12" s="172">
        <f>Input!U35</f>
        <v>607.59090702304798</v>
      </c>
      <c r="V12" s="172">
        <f>Input!V35</f>
        <v>655.01109494336447</v>
      </c>
      <c r="W12" s="172">
        <f>Input!W35</f>
        <v>714.79064406556051</v>
      </c>
      <c r="X12" s="172">
        <f>Input!X35</f>
        <v>747.32805297489028</v>
      </c>
      <c r="Y12" s="172">
        <f>Input!Y35</f>
        <v>782.40762967183957</v>
      </c>
      <c r="Z12" s="172">
        <f>Input!Z35</f>
        <v>820.28519040945832</v>
      </c>
      <c r="AA12" s="172"/>
      <c r="AB12" s="173"/>
      <c r="AC12" s="173"/>
      <c r="AD12" s="173"/>
      <c r="AE12" s="173"/>
      <c r="AF12" s="173"/>
      <c r="AG12" s="173"/>
      <c r="AH12" s="173"/>
      <c r="AI12" s="173"/>
      <c r="AJ12" s="173"/>
      <c r="AK12" s="173"/>
      <c r="AL12" s="173"/>
      <c r="AM12" s="173"/>
      <c r="AN12" s="173"/>
      <c r="AO12" s="173"/>
      <c r="AP12" s="173"/>
      <c r="AQ12" s="173"/>
      <c r="AR12" s="173"/>
      <c r="AS12" s="173"/>
      <c r="AT12" s="173"/>
      <c r="AU12" s="173"/>
      <c r="AV12" s="173"/>
      <c r="AW12" s="173"/>
      <c r="AX12" s="173"/>
      <c r="AY12" s="173"/>
      <c r="AZ12" s="173"/>
      <c r="BA12" s="173"/>
    </row>
    <row r="13" spans="1:55" s="675" customFormat="1" ht="21" customHeight="1" x14ac:dyDescent="0.25">
      <c r="A13" s="658"/>
      <c r="B13" s="672"/>
      <c r="C13" s="672" t="s">
        <v>418</v>
      </c>
      <c r="D13" s="673"/>
      <c r="E13" s="673"/>
      <c r="F13" s="673"/>
      <c r="G13" s="661" t="e">
        <f t="shared" ref="G13:I13" si="4">G12/G$5</f>
        <v>#DIV/0!</v>
      </c>
      <c r="H13" s="661" t="e">
        <f t="shared" si="4"/>
        <v>#DIV/0!</v>
      </c>
      <c r="I13" s="661">
        <f t="shared" si="4"/>
        <v>9.6556251360839299E-2</v>
      </c>
      <c r="J13" s="661">
        <f>J12/J$5</f>
        <v>0.13639570078273008</v>
      </c>
      <c r="K13" s="661">
        <f t="shared" ref="K13:P13" si="5">K12/K$5</f>
        <v>0.13849557585428784</v>
      </c>
      <c r="L13" s="661">
        <f t="shared" si="5"/>
        <v>0.16117818151749261</v>
      </c>
      <c r="M13" s="661">
        <f t="shared" si="5"/>
        <v>0.15922199292081049</v>
      </c>
      <c r="N13" s="661">
        <f t="shared" si="5"/>
        <v>0.14955237884364761</v>
      </c>
      <c r="O13" s="661">
        <f t="shared" si="5"/>
        <v>0.16992852689064128</v>
      </c>
      <c r="P13" s="674">
        <f t="shared" si="5"/>
        <v>0.1654167031810152</v>
      </c>
      <c r="Q13" s="662">
        <f t="shared" ref="Q13" si="6">Q12/Q$5</f>
        <v>0.22396888406449644</v>
      </c>
      <c r="R13" s="662">
        <f t="shared" ref="R13" si="7">R12/R$5</f>
        <v>0.23261176568971328</v>
      </c>
      <c r="S13" s="662">
        <f t="shared" ref="S13" si="8">S12/S$5</f>
        <v>0.24398516890414848</v>
      </c>
      <c r="T13" s="662">
        <f t="shared" ref="T13" si="9">T12/T$5</f>
        <v>0.23345294501279706</v>
      </c>
      <c r="U13" s="662">
        <f t="shared" ref="U13" si="10">U12/U$5</f>
        <v>0.24301604449459302</v>
      </c>
      <c r="V13" s="662">
        <f t="shared" ref="V13" si="11">V12/V$5</f>
        <v>0.24981969761684023</v>
      </c>
      <c r="W13" s="662">
        <f t="shared" ref="W13" si="12">W12/W$5</f>
        <v>0.25769171531363311</v>
      </c>
      <c r="X13" s="662">
        <f t="shared" ref="X13" si="13">X12/X$5</f>
        <v>0.25940265093887493</v>
      </c>
      <c r="Y13" s="662">
        <f t="shared" ref="Y13" si="14">Y12/Y$5</f>
        <v>0.26106901436707874</v>
      </c>
      <c r="Z13" s="662">
        <f t="shared" ref="Z13" si="15">Z12/Z$5</f>
        <v>0.26269015453417749</v>
      </c>
      <c r="AA13" s="662"/>
      <c r="AB13" s="663"/>
      <c r="AC13" s="663"/>
      <c r="AD13" s="663"/>
      <c r="AE13" s="663"/>
      <c r="AF13" s="663"/>
      <c r="AG13" s="663"/>
      <c r="AH13" s="663"/>
      <c r="AI13" s="663"/>
      <c r="AJ13" s="663"/>
      <c r="AK13" s="663"/>
      <c r="AL13" s="663"/>
      <c r="AM13" s="663"/>
      <c r="AN13" s="663"/>
      <c r="AO13" s="663"/>
      <c r="AP13" s="663"/>
      <c r="AQ13" s="663"/>
      <c r="AR13" s="663"/>
      <c r="AS13" s="663"/>
      <c r="AT13" s="663"/>
      <c r="AU13" s="663"/>
      <c r="AV13" s="663"/>
      <c r="AW13" s="663"/>
      <c r="AX13" s="663"/>
      <c r="AY13" s="663"/>
      <c r="AZ13" s="663"/>
      <c r="BA13" s="663"/>
    </row>
    <row r="14" spans="1:55" s="29" customFormat="1" ht="21" customHeight="1" x14ac:dyDescent="0.25">
      <c r="A14" s="115"/>
      <c r="B14" s="103"/>
      <c r="C14" s="103"/>
      <c r="D14" s="66"/>
      <c r="E14" s="66"/>
      <c r="F14" s="66"/>
      <c r="G14" s="66"/>
      <c r="H14" s="66"/>
      <c r="I14" s="66"/>
      <c r="J14" s="66"/>
      <c r="K14" s="66"/>
      <c r="L14" s="66"/>
      <c r="M14" s="66"/>
      <c r="N14" s="66"/>
      <c r="O14" s="66"/>
      <c r="P14" s="303"/>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66"/>
      <c r="AT14" s="66"/>
      <c r="AU14" s="66"/>
      <c r="AV14" s="66"/>
      <c r="AW14" s="66"/>
      <c r="AX14" s="66"/>
      <c r="AY14" s="66"/>
      <c r="AZ14" s="66"/>
      <c r="BA14" s="66"/>
      <c r="BB14" s="112"/>
      <c r="BC14" s="112"/>
    </row>
    <row r="15" spans="1:55" s="124" customFormat="1" ht="20.25" customHeight="1" x14ac:dyDescent="0.25">
      <c r="A15" s="115">
        <v>5</v>
      </c>
      <c r="B15" s="123" t="s">
        <v>1255</v>
      </c>
      <c r="C15" s="123" t="s">
        <v>422</v>
      </c>
      <c r="D15" s="118"/>
      <c r="E15" s="118"/>
      <c r="F15" s="118"/>
      <c r="G15" s="118"/>
      <c r="H15" s="118"/>
      <c r="I15" s="119">
        <f>Input!I40</f>
        <v>68.371455463000004</v>
      </c>
      <c r="J15" s="119">
        <f>Input!J40</f>
        <v>39.216981767999997</v>
      </c>
      <c r="K15" s="119">
        <f>Input!K40</f>
        <v>33.793831392000001</v>
      </c>
      <c r="L15" s="119">
        <f>Input!L40</f>
        <v>36.81384233</v>
      </c>
      <c r="M15" s="119">
        <f>Input!M40</f>
        <v>36.516915462</v>
      </c>
      <c r="N15" s="119">
        <f>Input!N40</f>
        <v>27.945021708999999</v>
      </c>
      <c r="O15" s="119">
        <f>Input!O40</f>
        <v>31.808990529999999</v>
      </c>
      <c r="P15" s="671">
        <f>Input!P40</f>
        <v>40.674128404000001</v>
      </c>
      <c r="Q15" s="172">
        <f>Input!Q40</f>
        <v>101.71289197524426</v>
      </c>
      <c r="R15" s="172">
        <f>Input!R40</f>
        <v>133.59326505145162</v>
      </c>
      <c r="S15" s="172">
        <f>Input!S40</f>
        <v>140.73852797752977</v>
      </c>
      <c r="T15" s="172">
        <f>Input!T40</f>
        <v>99.91127477701157</v>
      </c>
      <c r="U15" s="172">
        <f>Input!U40</f>
        <v>98.416263781680655</v>
      </c>
      <c r="V15" s="172">
        <f>Input!V40</f>
        <v>107.27935621901526</v>
      </c>
      <c r="W15" s="172">
        <f>Input!W40</f>
        <v>116.95323100091025</v>
      </c>
      <c r="X15" s="172">
        <f>Input!X40</f>
        <v>125.34044754634992</v>
      </c>
      <c r="Y15" s="172">
        <f>Input!Y40</f>
        <v>134.08280931157887</v>
      </c>
      <c r="Z15" s="172">
        <f>Input!Z40</f>
        <v>143.21281857534004</v>
      </c>
      <c r="AA15" s="172"/>
      <c r="AB15" s="173"/>
      <c r="AC15" s="173"/>
      <c r="AD15" s="173"/>
      <c r="AE15" s="173"/>
      <c r="AF15" s="173"/>
      <c r="AG15" s="173"/>
      <c r="AH15" s="173"/>
      <c r="AI15" s="173"/>
      <c r="AJ15" s="173"/>
      <c r="AK15" s="173"/>
      <c r="AL15" s="173"/>
      <c r="AM15" s="173"/>
      <c r="AN15" s="173"/>
      <c r="AO15" s="173"/>
      <c r="AP15" s="173"/>
      <c r="AQ15" s="173"/>
      <c r="AR15" s="173"/>
      <c r="AS15" s="173"/>
      <c r="AT15" s="173"/>
      <c r="AU15" s="173"/>
      <c r="AV15" s="173"/>
      <c r="AW15" s="173"/>
      <c r="AX15" s="173"/>
      <c r="AY15" s="173"/>
      <c r="AZ15" s="173"/>
      <c r="BA15" s="173"/>
    </row>
    <row r="16" spans="1:55" s="677" customFormat="1" ht="24" customHeight="1" x14ac:dyDescent="0.25">
      <c r="A16" s="676"/>
      <c r="C16" s="678" t="s">
        <v>423</v>
      </c>
      <c r="D16" s="679"/>
      <c r="E16" s="679"/>
      <c r="F16" s="679"/>
      <c r="G16" s="679"/>
      <c r="H16" s="679"/>
      <c r="I16" s="679"/>
      <c r="J16" s="679"/>
      <c r="K16" s="679"/>
      <c r="L16" s="679"/>
      <c r="M16" s="679"/>
      <c r="N16" s="679"/>
      <c r="O16" s="679"/>
      <c r="P16" s="680"/>
      <c r="Q16" s="681"/>
      <c r="R16" s="681"/>
      <c r="S16" s="681"/>
      <c r="T16" s="681"/>
      <c r="U16" s="681"/>
      <c r="V16" s="681"/>
      <c r="W16" s="681"/>
      <c r="X16" s="681"/>
      <c r="Y16" s="681"/>
      <c r="Z16" s="681"/>
      <c r="AA16" s="681"/>
      <c r="AB16" s="681"/>
      <c r="AC16" s="681"/>
      <c r="AD16" s="681"/>
      <c r="AE16" s="681"/>
      <c r="AF16" s="681"/>
      <c r="AG16" s="681"/>
      <c r="AH16" s="681"/>
      <c r="AI16" s="681"/>
      <c r="AJ16" s="681"/>
      <c r="AK16" s="681"/>
      <c r="AL16" s="681"/>
      <c r="AM16" s="681"/>
      <c r="AN16" s="681"/>
      <c r="AO16" s="681"/>
      <c r="AP16" s="681"/>
      <c r="AQ16" s="681"/>
      <c r="AR16" s="681"/>
      <c r="AS16" s="681"/>
      <c r="AT16" s="681"/>
      <c r="AU16" s="681"/>
      <c r="AV16" s="681"/>
      <c r="AW16" s="681"/>
      <c r="AX16" s="681"/>
      <c r="AY16" s="681"/>
      <c r="AZ16" s="681"/>
      <c r="BA16" s="681"/>
      <c r="BB16" s="682"/>
      <c r="BC16" s="682"/>
    </row>
    <row r="17" spans="1:55" s="677" customFormat="1" ht="20.25" customHeight="1" x14ac:dyDescent="0.25">
      <c r="A17" s="676"/>
      <c r="B17" s="683"/>
      <c r="C17" s="678" t="s">
        <v>424</v>
      </c>
      <c r="D17" s="679"/>
      <c r="E17" s="679"/>
      <c r="F17" s="679"/>
      <c r="G17" s="679"/>
      <c r="H17" s="679"/>
      <c r="I17" s="679"/>
      <c r="J17" s="679"/>
      <c r="K17" s="679"/>
      <c r="L17" s="679"/>
      <c r="M17" s="679"/>
      <c r="N17" s="679"/>
      <c r="O17" s="679"/>
      <c r="P17" s="680"/>
      <c r="Q17" s="681"/>
      <c r="R17" s="681"/>
      <c r="S17" s="681"/>
      <c r="T17" s="681"/>
      <c r="U17" s="681"/>
      <c r="V17" s="681"/>
      <c r="W17" s="681"/>
      <c r="X17" s="681"/>
      <c r="Y17" s="681"/>
      <c r="Z17" s="681"/>
      <c r="AA17" s="681"/>
      <c r="AB17" s="681"/>
      <c r="AC17" s="681"/>
      <c r="AD17" s="681"/>
      <c r="AE17" s="681"/>
      <c r="AF17" s="681"/>
      <c r="AG17" s="681"/>
      <c r="AH17" s="681"/>
      <c r="AI17" s="681"/>
      <c r="AJ17" s="681"/>
      <c r="AK17" s="681"/>
      <c r="AL17" s="681"/>
      <c r="AM17" s="681"/>
      <c r="AN17" s="681"/>
      <c r="AO17" s="681"/>
      <c r="AP17" s="681"/>
      <c r="AQ17" s="681"/>
      <c r="AR17" s="681"/>
      <c r="AS17" s="681"/>
      <c r="AT17" s="681"/>
      <c r="AU17" s="681"/>
      <c r="AV17" s="681"/>
      <c r="AW17" s="681"/>
      <c r="AX17" s="681"/>
      <c r="AY17" s="681"/>
      <c r="AZ17" s="681"/>
      <c r="BA17" s="681"/>
      <c r="BB17" s="682"/>
      <c r="BC17" s="682"/>
    </row>
    <row r="18" spans="1:55" s="124" customFormat="1" ht="16.5" customHeight="1" x14ac:dyDescent="0.25">
      <c r="A18" s="115"/>
      <c r="B18" s="140" t="s">
        <v>427</v>
      </c>
      <c r="C18" s="140" t="s">
        <v>427</v>
      </c>
      <c r="D18" s="267"/>
      <c r="E18" s="267"/>
      <c r="F18" s="267"/>
      <c r="G18" s="267"/>
      <c r="H18" s="267"/>
      <c r="I18" s="656">
        <f>Input!I47</f>
        <v>168.37281902599966</v>
      </c>
      <c r="J18" s="656">
        <f>Input!J47</f>
        <v>127.87703163600001</v>
      </c>
      <c r="K18" s="656">
        <f>Input!K47</f>
        <v>158.00894568399997</v>
      </c>
      <c r="L18" s="656">
        <f>Input!L47</f>
        <v>186.93812527799997</v>
      </c>
      <c r="M18" s="656">
        <f>Input!M47</f>
        <v>186.55696830200009</v>
      </c>
      <c r="N18" s="656">
        <f>Input!N47</f>
        <v>160.74955490999997</v>
      </c>
      <c r="O18" s="656">
        <f>Input!O47</f>
        <v>181.78307433800001</v>
      </c>
      <c r="P18" s="684">
        <f>Input!P47</f>
        <v>217.12852030100004</v>
      </c>
      <c r="Q18" s="657">
        <f>Input!Q47</f>
        <v>273.35082034359561</v>
      </c>
      <c r="R18" s="657">
        <f>Input!R47</f>
        <v>272.7942275523551</v>
      </c>
      <c r="S18" s="657">
        <f>Input!S47</f>
        <v>397.41417371342959</v>
      </c>
      <c r="T18" s="657">
        <f>Input!T47</f>
        <v>449.32470313824018</v>
      </c>
      <c r="U18" s="657">
        <f>Input!U47</f>
        <v>509.17464324136733</v>
      </c>
      <c r="V18" s="657">
        <f>Input!V47</f>
        <v>547.73173872434927</v>
      </c>
      <c r="W18" s="657">
        <f>Input!W47</f>
        <v>597.83741306465026</v>
      </c>
      <c r="X18" s="657">
        <f>Input!X47</f>
        <v>621.98760542854041</v>
      </c>
      <c r="Y18" s="657">
        <f>Input!Y47</f>
        <v>648.32482036026067</v>
      </c>
      <c r="Z18" s="657">
        <f>Input!Z47</f>
        <v>677.07237183411826</v>
      </c>
      <c r="AA18" s="657"/>
      <c r="AB18" s="268"/>
      <c r="AC18" s="268"/>
      <c r="AD18" s="268"/>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row>
    <row r="19" spans="1:55" s="665" customFormat="1" ht="15.75" customHeight="1" x14ac:dyDescent="0.25">
      <c r="A19" s="658"/>
      <c r="B19" s="685"/>
      <c r="C19" s="685" t="s">
        <v>426</v>
      </c>
      <c r="D19" s="686"/>
      <c r="E19" s="686"/>
      <c r="F19" s="686"/>
      <c r="G19" s="686"/>
      <c r="H19" s="686"/>
      <c r="I19" s="661">
        <f>I18/I$5</f>
        <v>6.8670924656143814E-2</v>
      </c>
      <c r="J19" s="661">
        <f>J18/J$5</f>
        <v>0.10438361607747482</v>
      </c>
      <c r="K19" s="661">
        <f t="shared" ref="K19:P19" si="16">K18/K$5</f>
        <v>0.11409396806576647</v>
      </c>
      <c r="L19" s="661">
        <f t="shared" si="16"/>
        <v>0.13465958494444979</v>
      </c>
      <c r="M19" s="661">
        <f t="shared" si="16"/>
        <v>0.13315755204107216</v>
      </c>
      <c r="N19" s="661">
        <f t="shared" si="16"/>
        <v>0.12740418281013474</v>
      </c>
      <c r="O19" s="661">
        <f t="shared" si="16"/>
        <v>0.14462208628863807</v>
      </c>
      <c r="P19" s="674">
        <f t="shared" si="16"/>
        <v>0.13931852203684114</v>
      </c>
      <c r="Q19" s="662">
        <f t="shared" ref="Q19" si="17">Q18/Q$5</f>
        <v>0.16323114228236821</v>
      </c>
      <c r="R19" s="662">
        <f t="shared" ref="R19" si="18">R18/R$5</f>
        <v>0.15614443873344824</v>
      </c>
      <c r="S19" s="662">
        <f t="shared" ref="S19" si="19">S18/S$5</f>
        <v>0.18017778967512454</v>
      </c>
      <c r="T19" s="662">
        <f t="shared" ref="T19" si="20">T18/T$5</f>
        <v>0.19098562263306185</v>
      </c>
      <c r="U19" s="662">
        <f t="shared" ref="U19" si="21">U18/U$5</f>
        <v>0.20365283009867174</v>
      </c>
      <c r="V19" s="662">
        <f t="shared" ref="V19" si="22">V18/V$5</f>
        <v>0.20890360239637534</v>
      </c>
      <c r="W19" s="662">
        <f t="shared" ref="W19" si="23">W18/W$5</f>
        <v>0.2155284903773371</v>
      </c>
      <c r="X19" s="662">
        <f t="shared" ref="X19" si="24">X18/X$5</f>
        <v>0.21589612895838586</v>
      </c>
      <c r="Y19" s="662">
        <f t="shared" ref="Y19" si="25">Y18/Y$5</f>
        <v>0.21632907888712341</v>
      </c>
      <c r="Z19" s="662">
        <f t="shared" ref="Z19" si="26">Z18/Z$5</f>
        <v>0.21682732794327889</v>
      </c>
      <c r="AA19" s="662"/>
      <c r="AB19" s="663"/>
      <c r="AC19" s="663"/>
      <c r="AD19" s="663"/>
      <c r="AE19" s="663"/>
      <c r="AF19" s="663"/>
      <c r="AG19" s="663"/>
      <c r="AH19" s="663"/>
      <c r="AI19" s="663"/>
      <c r="AJ19" s="663"/>
      <c r="AK19" s="663"/>
      <c r="AL19" s="663"/>
      <c r="AM19" s="663"/>
      <c r="AN19" s="663"/>
      <c r="AO19" s="663"/>
      <c r="AP19" s="663"/>
      <c r="AQ19" s="663"/>
      <c r="AR19" s="663"/>
      <c r="AS19" s="663"/>
      <c r="AT19" s="663"/>
      <c r="AU19" s="663"/>
      <c r="AV19" s="663"/>
      <c r="AW19" s="663"/>
      <c r="AX19" s="663"/>
      <c r="AY19" s="663"/>
      <c r="AZ19" s="663"/>
      <c r="BA19" s="663"/>
    </row>
    <row r="20" spans="1:55" s="124" customFormat="1" ht="13.8" customHeight="1" x14ac:dyDescent="0.25">
      <c r="A20" s="115"/>
      <c r="B20" s="123"/>
      <c r="C20" s="123"/>
      <c r="D20" s="118"/>
      <c r="E20" s="118"/>
      <c r="F20" s="118"/>
      <c r="G20" s="118"/>
      <c r="H20" s="118"/>
      <c r="I20" s="118"/>
      <c r="J20" s="118"/>
      <c r="K20" s="118"/>
      <c r="L20" s="118"/>
      <c r="M20" s="118"/>
      <c r="N20" s="118"/>
      <c r="O20" s="118"/>
      <c r="P20" s="218"/>
      <c r="Q20" s="173"/>
      <c r="R20" s="173"/>
      <c r="S20" s="173"/>
      <c r="T20" s="173"/>
      <c r="U20" s="173"/>
      <c r="V20" s="173"/>
      <c r="W20" s="173"/>
      <c r="X20" s="173"/>
      <c r="Y20" s="173"/>
      <c r="Z20" s="173"/>
      <c r="AA20" s="173"/>
      <c r="AB20" s="173"/>
      <c r="AC20" s="173"/>
      <c r="AD20" s="173"/>
      <c r="AE20" s="173"/>
      <c r="AF20" s="173"/>
      <c r="AG20" s="173"/>
      <c r="AH20" s="173"/>
      <c r="AI20" s="173"/>
      <c r="AJ20" s="173"/>
      <c r="AK20" s="173"/>
      <c r="AL20" s="173"/>
      <c r="AM20" s="173"/>
      <c r="AN20" s="173"/>
      <c r="AO20" s="173"/>
      <c r="AP20" s="173"/>
      <c r="AQ20" s="173"/>
      <c r="AR20" s="173"/>
      <c r="AS20" s="118"/>
      <c r="AT20" s="118"/>
      <c r="AU20" s="118"/>
      <c r="AV20" s="118"/>
      <c r="AW20" s="118"/>
      <c r="AX20" s="118"/>
      <c r="AY20" s="118"/>
      <c r="AZ20" s="118"/>
      <c r="BA20" s="118"/>
    </row>
    <row r="21" spans="1:55" s="124" customFormat="1" x14ac:dyDescent="0.25">
      <c r="A21" s="115">
        <v>6</v>
      </c>
      <c r="B21" s="123" t="s">
        <v>344</v>
      </c>
      <c r="C21" s="123" t="s">
        <v>441</v>
      </c>
      <c r="D21" s="118"/>
      <c r="E21" s="118"/>
      <c r="F21" s="118"/>
      <c r="G21" s="118"/>
      <c r="H21" s="118"/>
      <c r="I21" s="119">
        <f>Input!I66</f>
        <v>4.2809301020000001</v>
      </c>
      <c r="J21" s="119">
        <f>Input!J66</f>
        <v>17.714871417000001</v>
      </c>
      <c r="K21" s="119">
        <f>Input!K66</f>
        <v>16.213594465</v>
      </c>
      <c r="L21" s="119">
        <f>Input!L66</f>
        <v>18.773405464</v>
      </c>
      <c r="M21" s="119">
        <f>Input!M66</f>
        <v>16.074493083</v>
      </c>
      <c r="N21" s="119">
        <f>Input!N66</f>
        <v>13.251147259</v>
      </c>
      <c r="O21" s="119">
        <f>Input!O66</f>
        <v>7.751782188</v>
      </c>
      <c r="P21" s="671">
        <f>Input!P66</f>
        <v>6.3201838529999996</v>
      </c>
      <c r="Q21" s="172">
        <f ca="1">Input!Q66</f>
        <v>17.147038332660816</v>
      </c>
      <c r="R21" s="172">
        <f ca="1">Input!R66</f>
        <v>22.538510309889645</v>
      </c>
      <c r="S21" s="172">
        <f ca="1">Input!S66</f>
        <v>25.72823050976745</v>
      </c>
      <c r="T21" s="172">
        <f ca="1">Input!T66</f>
        <v>32.164055639101129</v>
      </c>
      <c r="U21" s="172">
        <f ca="1">Input!U66</f>
        <v>40.591249862676456</v>
      </c>
      <c r="V21" s="172">
        <f ca="1">Input!V66</f>
        <v>52.437401326562984</v>
      </c>
      <c r="W21" s="172">
        <f ca="1">Input!W66</f>
        <v>64.008195179952637</v>
      </c>
      <c r="X21" s="172">
        <f ca="1">Input!X66</f>
        <v>72.94463897556561</v>
      </c>
      <c r="Y21" s="172">
        <f ca="1">Input!Y66</f>
        <v>85.079387646910135</v>
      </c>
      <c r="Z21" s="172">
        <f ca="1">Input!Z66</f>
        <v>97.600234564623094</v>
      </c>
      <c r="AA21" s="172"/>
      <c r="AB21" s="173"/>
      <c r="AC21" s="173"/>
      <c r="AD21" s="173"/>
      <c r="AE21" s="173"/>
      <c r="AF21" s="173"/>
      <c r="AG21" s="173"/>
      <c r="AH21" s="173"/>
      <c r="AI21" s="173"/>
      <c r="AJ21" s="173"/>
      <c r="AK21" s="173"/>
      <c r="AL21" s="173"/>
      <c r="AM21" s="173"/>
      <c r="AN21" s="173"/>
      <c r="AO21" s="173"/>
      <c r="AP21" s="173"/>
      <c r="AQ21" s="173"/>
      <c r="AR21" s="173"/>
      <c r="AS21" s="173"/>
      <c r="AT21" s="173"/>
      <c r="AU21" s="173"/>
      <c r="AV21" s="173"/>
      <c r="AW21" s="173"/>
      <c r="AX21" s="173"/>
      <c r="AY21" s="173"/>
      <c r="AZ21" s="173"/>
      <c r="BA21" s="173"/>
    </row>
    <row r="22" spans="1:55" s="124" customFormat="1" x14ac:dyDescent="0.25">
      <c r="A22" s="115">
        <v>7</v>
      </c>
      <c r="B22" s="123" t="s">
        <v>38</v>
      </c>
      <c r="C22" s="123" t="s">
        <v>454</v>
      </c>
      <c r="D22" s="118"/>
      <c r="E22" s="118"/>
      <c r="F22" s="118"/>
      <c r="G22" s="118"/>
      <c r="H22" s="118"/>
      <c r="I22" s="119">
        <f>Input!I77</f>
        <v>30.303225344000001</v>
      </c>
      <c r="J22" s="119">
        <f>Input!J77</f>
        <v>15.816122703</v>
      </c>
      <c r="K22" s="119">
        <f>Input!K77</f>
        <v>9.1025276989999995</v>
      </c>
      <c r="L22" s="119">
        <f>Input!L77</f>
        <v>10.81134303</v>
      </c>
      <c r="M22" s="119">
        <f>Input!M77</f>
        <v>12.200034045000001</v>
      </c>
      <c r="N22" s="119">
        <f>Input!N77</f>
        <v>14.622931346</v>
      </c>
      <c r="O22" s="119">
        <f>Input!O77</f>
        <v>14.325530898</v>
      </c>
      <c r="P22" s="671">
        <f>Input!P77</f>
        <v>8.6470170460000002</v>
      </c>
      <c r="Q22" s="172">
        <f ca="1">Input!Q77</f>
        <v>20.120894729406555</v>
      </c>
      <c r="R22" s="172">
        <f ca="1">Input!R77</f>
        <v>29.465539293990329</v>
      </c>
      <c r="S22" s="172">
        <f ca="1">Input!S77</f>
        <v>32.724693406458059</v>
      </c>
      <c r="T22" s="172">
        <f ca="1">Input!T77</f>
        <v>29.014919358833119</v>
      </c>
      <c r="U22" s="172">
        <f ca="1">Input!U77</f>
        <v>25.237263873631399</v>
      </c>
      <c r="V22" s="172">
        <f ca="1">Input!V77</f>
        <v>21.790137894049515</v>
      </c>
      <c r="W22" s="172">
        <f ca="1">Input!W77</f>
        <v>19.193749452861223</v>
      </c>
      <c r="X22" s="172">
        <f ca="1">Input!X77</f>
        <v>19.091307431490439</v>
      </c>
      <c r="Y22" s="172">
        <f ca="1">Input!Y77</f>
        <v>19.72910553235301</v>
      </c>
      <c r="Z22" s="172">
        <f ca="1">Input!Z77</f>
        <v>20.540316885102435</v>
      </c>
      <c r="AA22" s="172"/>
      <c r="AB22" s="173"/>
      <c r="AC22" s="173"/>
      <c r="AD22" s="173"/>
      <c r="AE22" s="173"/>
      <c r="AF22" s="173"/>
      <c r="AG22" s="173"/>
      <c r="AH22" s="173"/>
      <c r="AI22" s="173"/>
      <c r="AJ22" s="173"/>
      <c r="AK22" s="173"/>
      <c r="AL22" s="173"/>
      <c r="AM22" s="173"/>
      <c r="AN22" s="173"/>
      <c r="AO22" s="173"/>
      <c r="AP22" s="173"/>
      <c r="AQ22" s="173"/>
      <c r="AR22" s="173"/>
      <c r="AS22" s="173"/>
      <c r="AT22" s="173"/>
      <c r="AU22" s="173"/>
      <c r="AV22" s="173"/>
      <c r="AW22" s="173"/>
      <c r="AX22" s="173"/>
      <c r="AY22" s="173"/>
      <c r="AZ22" s="173"/>
      <c r="BA22" s="173"/>
    </row>
    <row r="23" spans="1:55" s="692" customFormat="1" x14ac:dyDescent="0.25">
      <c r="A23" s="282"/>
      <c r="B23" s="687" t="s">
        <v>1256</v>
      </c>
      <c r="C23" s="288"/>
      <c r="D23" s="285"/>
      <c r="E23" s="285"/>
      <c r="F23" s="285"/>
      <c r="G23" s="285"/>
      <c r="H23" s="285"/>
      <c r="I23" s="688">
        <f>Input!I69</f>
        <v>25.505476234</v>
      </c>
      <c r="J23" s="688">
        <f>Input!J69</f>
        <v>5.45</v>
      </c>
      <c r="K23" s="688">
        <f>Input!K69</f>
        <v>4.4980130369999998</v>
      </c>
      <c r="L23" s="688">
        <f>Input!L69</f>
        <v>6.8281941420000001</v>
      </c>
      <c r="M23" s="688">
        <f>Input!M69</f>
        <v>8.3658396649999993</v>
      </c>
      <c r="N23" s="688">
        <f>Input!N69</f>
        <v>10.314154786</v>
      </c>
      <c r="O23" s="688">
        <f>Input!O69</f>
        <v>6.5888547370000001</v>
      </c>
      <c r="P23" s="689">
        <f>Input!P69</f>
        <v>1.3245273529999999</v>
      </c>
      <c r="Q23" s="690">
        <f ca="1">Input!Q69</f>
        <v>12.916923249096442</v>
      </c>
      <c r="R23" s="690">
        <f ca="1">Input!R69</f>
        <v>22.838884529150331</v>
      </c>
      <c r="S23" s="690">
        <f ca="1">Input!S69</f>
        <v>24.366173368748793</v>
      </c>
      <c r="T23" s="690">
        <f ca="1">Input!T69</f>
        <v>19.843671313066856</v>
      </c>
      <c r="U23" s="690">
        <f ca="1">Input!U69</f>
        <v>15.160595635021753</v>
      </c>
      <c r="V23" s="690">
        <f ca="1">Input!V69</f>
        <v>11.043318682656746</v>
      </c>
      <c r="W23" s="690">
        <f ca="1">Input!W69</f>
        <v>8.2279871133458933</v>
      </c>
      <c r="X23" s="690">
        <f ca="1">Input!X69</f>
        <v>7.8933156905878956</v>
      </c>
      <c r="Y23" s="690">
        <f ca="1">Input!Y69</f>
        <v>8.1675499886462966</v>
      </c>
      <c r="Z23" s="690">
        <f ca="1">Input!Z69</f>
        <v>8.4450135190520097</v>
      </c>
      <c r="AA23" s="690"/>
      <c r="AB23" s="691"/>
      <c r="AC23" s="691"/>
      <c r="AD23" s="691"/>
      <c r="AE23" s="691"/>
      <c r="AF23" s="691"/>
      <c r="AG23" s="691"/>
      <c r="AH23" s="691"/>
      <c r="AI23" s="691"/>
      <c r="AJ23" s="691"/>
      <c r="AK23" s="691"/>
      <c r="AL23" s="691"/>
      <c r="AM23" s="691"/>
      <c r="AN23" s="691"/>
      <c r="AO23" s="691"/>
      <c r="AP23" s="691"/>
      <c r="AQ23" s="691"/>
      <c r="AR23" s="691"/>
      <c r="AS23" s="691"/>
      <c r="AT23" s="691"/>
      <c r="AU23" s="691"/>
      <c r="AV23" s="691"/>
      <c r="AW23" s="691"/>
      <c r="AX23" s="691"/>
      <c r="AY23" s="691"/>
      <c r="AZ23" s="691"/>
      <c r="BA23" s="691"/>
    </row>
    <row r="24" spans="1:55" s="692" customFormat="1" x14ac:dyDescent="0.25">
      <c r="A24" s="282">
        <v>8</v>
      </c>
      <c r="B24" s="123" t="s">
        <v>1257</v>
      </c>
      <c r="C24" s="123" t="s">
        <v>457</v>
      </c>
      <c r="D24" s="118"/>
      <c r="E24" s="118"/>
      <c r="F24" s="118"/>
      <c r="G24" s="118"/>
      <c r="H24" s="118"/>
      <c r="I24" s="119">
        <f>Input!I82</f>
        <v>0</v>
      </c>
      <c r="J24" s="119">
        <f>Input!J82</f>
        <v>0</v>
      </c>
      <c r="K24" s="119">
        <f>Input!K82</f>
        <v>10.724382085</v>
      </c>
      <c r="L24" s="119">
        <f>Input!L82</f>
        <v>8.0301361270000005</v>
      </c>
      <c r="M24" s="119">
        <f>Input!M82</f>
        <v>10.57976874</v>
      </c>
      <c r="N24" s="119">
        <f>Input!N82</f>
        <v>14.439489521</v>
      </c>
      <c r="O24" s="119">
        <f>Input!O82</f>
        <v>15.238404243</v>
      </c>
      <c r="P24" s="671">
        <f>Input!P82</f>
        <v>16.083128633000001</v>
      </c>
      <c r="Q24" s="172">
        <f>Input!Q82</f>
        <v>18.916049658050063</v>
      </c>
      <c r="R24" s="172">
        <f>Input!R82</f>
        <v>19.734300586747469</v>
      </c>
      <c r="S24" s="172">
        <f>Input!S82</f>
        <v>24.914672387804931</v>
      </c>
      <c r="T24" s="172">
        <f>Input!T82</f>
        <v>26.574965223304741</v>
      </c>
      <c r="U24" s="172">
        <f>Input!U82</f>
        <v>28.241606771429087</v>
      </c>
      <c r="V24" s="172">
        <f>Input!V82</f>
        <v>29.616590580384958</v>
      </c>
      <c r="W24" s="172">
        <f>Input!W82</f>
        <v>31.332243041009249</v>
      </c>
      <c r="X24" s="172">
        <f>Input!X82</f>
        <v>32.542428450111565</v>
      </c>
      <c r="Y24" s="172">
        <f>Input!Y82</f>
        <v>33.852506563385894</v>
      </c>
      <c r="Z24" s="172">
        <f>Input!Z82</f>
        <v>35.272330768297039</v>
      </c>
      <c r="AA24" s="172"/>
      <c r="AB24" s="173"/>
      <c r="AC24" s="173"/>
      <c r="AD24" s="173"/>
      <c r="AE24" s="173"/>
      <c r="AF24" s="173"/>
      <c r="AG24" s="173"/>
      <c r="AH24" s="173"/>
      <c r="AI24" s="173"/>
      <c r="AJ24" s="173"/>
      <c r="AK24" s="173"/>
      <c r="AL24" s="173"/>
      <c r="AM24" s="173"/>
      <c r="AN24" s="173"/>
      <c r="AO24" s="173"/>
      <c r="AP24" s="173"/>
      <c r="AQ24" s="173"/>
      <c r="AR24" s="173"/>
      <c r="AS24" s="173"/>
      <c r="AT24" s="173"/>
      <c r="AU24" s="173"/>
      <c r="AV24" s="173"/>
      <c r="AW24" s="173"/>
      <c r="AX24" s="173"/>
      <c r="AY24" s="173"/>
      <c r="AZ24" s="173"/>
      <c r="BA24" s="173"/>
    </row>
    <row r="25" spans="1:55" s="124" customFormat="1" x14ac:dyDescent="0.25">
      <c r="A25" s="115">
        <v>9</v>
      </c>
      <c r="B25" s="123" t="s">
        <v>1258</v>
      </c>
      <c r="C25" s="669" t="s">
        <v>1259</v>
      </c>
      <c r="D25" s="469"/>
      <c r="E25" s="469"/>
      <c r="F25" s="469"/>
      <c r="G25" s="469"/>
      <c r="H25" s="469"/>
      <c r="I25" s="667">
        <f>I26-I27</f>
        <v>7.7926472540000002</v>
      </c>
      <c r="J25" s="667">
        <f>J26-J27</f>
        <v>144.079731082</v>
      </c>
      <c r="K25" s="667">
        <f t="shared" ref="K25:P25" si="27">K26-K27</f>
        <v>3.6649756000000006E-2</v>
      </c>
      <c r="L25" s="667">
        <f t="shared" si="27"/>
        <v>0.66612479899999999</v>
      </c>
      <c r="M25" s="667">
        <f t="shared" si="27"/>
        <v>1.5148018000000013E-2</v>
      </c>
      <c r="N25" s="667">
        <f t="shared" si="27"/>
        <v>0.19602635799999998</v>
      </c>
      <c r="O25" s="667">
        <f t="shared" si="27"/>
        <v>2.7435855259999999</v>
      </c>
      <c r="P25" s="693">
        <f t="shared" si="27"/>
        <v>2.1762872849999999</v>
      </c>
      <c r="Q25" s="668">
        <f t="shared" ref="Q25" si="28">Q26-Q27</f>
        <v>0.91089126966666678</v>
      </c>
      <c r="R25" s="668">
        <f t="shared" ref="R25" si="29">R26-R27</f>
        <v>1.0467947702777778</v>
      </c>
      <c r="S25" s="668">
        <f t="shared" ref="S25" si="30">S26-S27</f>
        <v>1.127796755324074</v>
      </c>
      <c r="T25" s="668">
        <f t="shared" ref="T25" si="31">T26-T27</f>
        <v>1.2985224325447531</v>
      </c>
      <c r="U25" s="668">
        <f t="shared" ref="U25" si="32">U26-U27</f>
        <v>1.4785289249688784</v>
      </c>
      <c r="V25" s="668">
        <f t="shared" ref="V25" si="33">V26-V27</f>
        <v>1.2673752972970249</v>
      </c>
      <c r="W25" s="668">
        <f t="shared" ref="W25" si="34">W26-W27</f>
        <v>1.1883182416798623</v>
      </c>
      <c r="X25" s="668">
        <f t="shared" ref="X25" si="35">X26-X27</f>
        <v>1.2345560703487284</v>
      </c>
      <c r="Y25" s="668">
        <f t="shared" ref="Y25" si="36">Y26-Y27</f>
        <v>1.2658496203605536</v>
      </c>
      <c r="Z25" s="668">
        <f t="shared" ref="Z25" si="37">Z26-Z27</f>
        <v>1.2888584311999667</v>
      </c>
      <c r="AA25" s="668"/>
      <c r="AB25" s="470"/>
      <c r="AC25" s="470"/>
      <c r="AD25" s="470"/>
      <c r="AE25" s="470"/>
      <c r="AF25" s="470"/>
      <c r="AG25" s="470"/>
      <c r="AH25" s="470"/>
      <c r="AI25" s="470"/>
      <c r="AJ25" s="470"/>
      <c r="AK25" s="470"/>
      <c r="AL25" s="470"/>
      <c r="AM25" s="470"/>
      <c r="AN25" s="470"/>
      <c r="AO25" s="470"/>
      <c r="AP25" s="470"/>
      <c r="AQ25" s="470"/>
      <c r="AR25" s="470"/>
      <c r="AS25" s="470"/>
      <c r="AT25" s="470"/>
      <c r="AU25" s="470"/>
      <c r="AV25" s="470"/>
      <c r="AW25" s="470"/>
      <c r="AX25" s="470"/>
      <c r="AY25" s="470"/>
      <c r="AZ25" s="470"/>
      <c r="BA25" s="470"/>
    </row>
    <row r="26" spans="1:55" s="701" customFormat="1" x14ac:dyDescent="0.25">
      <c r="A26" s="676"/>
      <c r="B26" s="694"/>
      <c r="C26" s="695" t="s">
        <v>431</v>
      </c>
      <c r="D26" s="696"/>
      <c r="E26" s="696"/>
      <c r="F26" s="696"/>
      <c r="G26" s="696"/>
      <c r="H26" s="696"/>
      <c r="I26" s="697">
        <f>Input!I52</f>
        <v>8.7732738030000004</v>
      </c>
      <c r="J26" s="697">
        <f>Input!J52</f>
        <v>144.14160363799999</v>
      </c>
      <c r="K26" s="697">
        <f>Input!K52</f>
        <v>0.22343835200000001</v>
      </c>
      <c r="L26" s="697">
        <f>Input!L52</f>
        <v>0.68875094599999998</v>
      </c>
      <c r="M26" s="697">
        <f>Input!M52</f>
        <v>0.23141077800000001</v>
      </c>
      <c r="N26" s="697">
        <f>Input!N52</f>
        <v>0.34645156399999999</v>
      </c>
      <c r="O26" s="697">
        <f>Input!O52</f>
        <v>2.8734187769999999</v>
      </c>
      <c r="P26" s="698">
        <f>Input!P52</f>
        <v>1.8696857170000001</v>
      </c>
      <c r="Q26" s="699">
        <f>Input!Q52</f>
        <v>1.0388593556666668</v>
      </c>
      <c r="R26" s="699">
        <f>Input!R52</f>
        <v>1.1747628562777779</v>
      </c>
      <c r="S26" s="699">
        <f>Input!S52</f>
        <v>1.2557648413240741</v>
      </c>
      <c r="T26" s="699">
        <f>Input!T52</f>
        <v>1.4264905185447532</v>
      </c>
      <c r="U26" s="699">
        <f>Input!U52</f>
        <v>1.6064970109688785</v>
      </c>
      <c r="V26" s="699">
        <f>Input!V52</f>
        <v>1.395343383297025</v>
      </c>
      <c r="W26" s="699">
        <f>Input!W52</f>
        <v>1.3162863276798624</v>
      </c>
      <c r="X26" s="699">
        <f>Input!X52</f>
        <v>1.3625241563487285</v>
      </c>
      <c r="Y26" s="699">
        <f>Input!Y52</f>
        <v>1.3938177063605537</v>
      </c>
      <c r="Z26" s="699">
        <f>Input!Z52</f>
        <v>1.4168265171999668</v>
      </c>
      <c r="AA26" s="699"/>
      <c r="AB26" s="700"/>
      <c r="AC26" s="700"/>
      <c r="AD26" s="700"/>
      <c r="AE26" s="700"/>
      <c r="AF26" s="700"/>
      <c r="AG26" s="700"/>
      <c r="AH26" s="700"/>
      <c r="AI26" s="700"/>
      <c r="AJ26" s="700"/>
      <c r="AK26" s="700"/>
      <c r="AL26" s="700"/>
      <c r="AM26" s="700"/>
      <c r="AN26" s="700"/>
      <c r="AO26" s="700"/>
      <c r="AP26" s="700"/>
      <c r="AQ26" s="700"/>
      <c r="AR26" s="700"/>
      <c r="AS26" s="700"/>
      <c r="AT26" s="700"/>
      <c r="AU26" s="700"/>
      <c r="AV26" s="700"/>
      <c r="AW26" s="700"/>
      <c r="AX26" s="700"/>
      <c r="AY26" s="700"/>
      <c r="AZ26" s="700"/>
      <c r="BA26" s="700"/>
    </row>
    <row r="27" spans="1:55" s="701" customFormat="1" x14ac:dyDescent="0.25">
      <c r="A27" s="676"/>
      <c r="B27" s="694"/>
      <c r="C27" s="702" t="s">
        <v>433</v>
      </c>
      <c r="D27" s="703"/>
      <c r="E27" s="703"/>
      <c r="F27" s="703"/>
      <c r="G27" s="703"/>
      <c r="H27" s="703"/>
      <c r="I27" s="704">
        <f>Input!I56</f>
        <v>0.98062654900000001</v>
      </c>
      <c r="J27" s="704">
        <f>Input!J56</f>
        <v>6.1872556000000002E-2</v>
      </c>
      <c r="K27" s="704">
        <f>Input!K56</f>
        <v>0.186788596</v>
      </c>
      <c r="L27" s="704">
        <f>Input!L56</f>
        <v>2.2626146999999999E-2</v>
      </c>
      <c r="M27" s="704">
        <f>Input!M56</f>
        <v>0.21626276</v>
      </c>
      <c r="N27" s="704">
        <f>Input!N56</f>
        <v>0.15042520600000001</v>
      </c>
      <c r="O27" s="704">
        <f>Input!O56</f>
        <v>0.12983325100000001</v>
      </c>
      <c r="P27" s="705">
        <f>Input!P56</f>
        <v>-0.30660156799999999</v>
      </c>
      <c r="Q27" s="706">
        <f>Input!Q56</f>
        <v>0.12796808600000001</v>
      </c>
      <c r="R27" s="706">
        <f>Input!R56</f>
        <v>0.12796808600000001</v>
      </c>
      <c r="S27" s="706">
        <f>Input!S56</f>
        <v>0.12796808600000001</v>
      </c>
      <c r="T27" s="706">
        <f>Input!T56</f>
        <v>0.12796808600000001</v>
      </c>
      <c r="U27" s="706">
        <f>Input!U56</f>
        <v>0.12796808600000001</v>
      </c>
      <c r="V27" s="706">
        <f>Input!V56</f>
        <v>0.12796808600000001</v>
      </c>
      <c r="W27" s="706">
        <f>Input!W56</f>
        <v>0.12796808600000001</v>
      </c>
      <c r="X27" s="706">
        <f>Input!X56</f>
        <v>0.12796808600000001</v>
      </c>
      <c r="Y27" s="706">
        <f>Input!Y56</f>
        <v>0.12796808600000001</v>
      </c>
      <c r="Z27" s="706">
        <f>Input!Z56</f>
        <v>0.12796808600000001</v>
      </c>
      <c r="AA27" s="706"/>
      <c r="AB27" s="707"/>
      <c r="AC27" s="707"/>
      <c r="AD27" s="707"/>
      <c r="AE27" s="707"/>
      <c r="AF27" s="707"/>
      <c r="AG27" s="707"/>
      <c r="AH27" s="707"/>
      <c r="AI27" s="707"/>
      <c r="AJ27" s="707"/>
      <c r="AK27" s="707"/>
      <c r="AL27" s="707"/>
      <c r="AM27" s="707"/>
      <c r="AN27" s="707"/>
      <c r="AO27" s="707"/>
      <c r="AP27" s="707"/>
      <c r="AQ27" s="707"/>
      <c r="AR27" s="707"/>
      <c r="AS27" s="707"/>
      <c r="AT27" s="707"/>
      <c r="AU27" s="707"/>
      <c r="AV27" s="707"/>
      <c r="AW27" s="707"/>
      <c r="AX27" s="707"/>
      <c r="AY27" s="707"/>
      <c r="AZ27" s="707"/>
      <c r="BA27" s="707"/>
    </row>
    <row r="28" spans="1:55" s="124" customFormat="1" x14ac:dyDescent="0.25">
      <c r="A28" s="115"/>
      <c r="B28" s="140" t="s">
        <v>460</v>
      </c>
      <c r="C28" s="123" t="s">
        <v>1260</v>
      </c>
      <c r="D28" s="118"/>
      <c r="E28" s="118"/>
      <c r="F28" s="118"/>
      <c r="G28" s="118"/>
      <c r="H28" s="118"/>
      <c r="I28" s="119">
        <f>Input!I86</f>
        <v>150.14317103799968</v>
      </c>
      <c r="J28" s="119">
        <f>Input!J86</f>
        <v>273.85551143199996</v>
      </c>
      <c r="K28" s="119">
        <f>Input!K86</f>
        <v>175.88104429099994</v>
      </c>
      <c r="L28" s="119">
        <f>Input!L86</f>
        <v>203.59644863799997</v>
      </c>
      <c r="M28" s="119">
        <f>Input!M86</f>
        <v>201.02634409800007</v>
      </c>
      <c r="N28" s="119">
        <f>Input!N86</f>
        <v>174.01328670199999</v>
      </c>
      <c r="O28" s="119">
        <f>Input!O86</f>
        <v>193.19131539699998</v>
      </c>
      <c r="P28" s="671">
        <f>Input!P86</f>
        <v>233.06110302600004</v>
      </c>
      <c r="Q28" s="172">
        <f ca="1">Input!Q86</f>
        <v>290.2039048745666</v>
      </c>
      <c r="R28" s="172">
        <f ca="1">Input!R86</f>
        <v>286.64829392527963</v>
      </c>
      <c r="S28" s="172">
        <f ca="1">Input!S86</f>
        <v>416.46017995986801</v>
      </c>
      <c r="T28" s="172">
        <f ca="1">Input!T86</f>
        <v>480.34732707435768</v>
      </c>
      <c r="U28" s="172">
        <f ca="1">Input!U86</f>
        <v>554.2487649268104</v>
      </c>
      <c r="V28" s="172">
        <f ca="1">Input!V86</f>
        <v>609.26296803454466</v>
      </c>
      <c r="W28" s="172">
        <f ca="1">Input!W86</f>
        <v>675.17242007443087</v>
      </c>
      <c r="X28" s="172">
        <f ca="1">Input!X86</f>
        <v>709.61792149307576</v>
      </c>
      <c r="Y28" s="172">
        <f ca="1">Input!Y86</f>
        <v>748.79345865856419</v>
      </c>
      <c r="Z28" s="172">
        <f ca="1">Input!Z86</f>
        <v>790.69347871313585</v>
      </c>
      <c r="AA28" s="172"/>
      <c r="AB28" s="173"/>
      <c r="AC28" s="173"/>
      <c r="AD28" s="173"/>
      <c r="AE28" s="173"/>
      <c r="AF28" s="173"/>
      <c r="AG28" s="173"/>
      <c r="AH28" s="173"/>
      <c r="AI28" s="173"/>
      <c r="AJ28" s="173"/>
      <c r="AK28" s="173"/>
      <c r="AL28" s="173"/>
      <c r="AM28" s="173"/>
      <c r="AN28" s="173"/>
      <c r="AO28" s="173"/>
      <c r="AP28" s="173"/>
      <c r="AQ28" s="173"/>
      <c r="AR28" s="173"/>
      <c r="AS28" s="173"/>
      <c r="AT28" s="173"/>
      <c r="AU28" s="173"/>
      <c r="AV28" s="173"/>
      <c r="AW28" s="173"/>
      <c r="AX28" s="173"/>
      <c r="AY28" s="173"/>
      <c r="AZ28" s="173"/>
      <c r="BA28" s="173"/>
    </row>
    <row r="29" spans="1:55" s="709" customFormat="1" x14ac:dyDescent="0.25">
      <c r="A29" s="658"/>
      <c r="B29" s="708"/>
      <c r="C29" s="708" t="s">
        <v>459</v>
      </c>
      <c r="D29" s="673"/>
      <c r="E29" s="673"/>
      <c r="F29" s="673"/>
      <c r="G29" s="673"/>
      <c r="H29" s="673"/>
      <c r="I29" s="661">
        <f>I28/I$5</f>
        <v>6.1235955100287752E-2</v>
      </c>
      <c r="J29" s="661">
        <f>J28/J$5</f>
        <v>0.22354310387332171</v>
      </c>
      <c r="K29" s="661">
        <f t="shared" ref="K29:Z29" si="38">K28/K$5</f>
        <v>0.12699892505353885</v>
      </c>
      <c r="L29" s="661">
        <f t="shared" si="38"/>
        <v>0.14665929290232149</v>
      </c>
      <c r="M29" s="661">
        <f t="shared" si="38"/>
        <v>0.14348526415010862</v>
      </c>
      <c r="N29" s="661">
        <f t="shared" si="38"/>
        <v>0.13791652861985521</v>
      </c>
      <c r="O29" s="661">
        <f t="shared" si="38"/>
        <v>0.15369819873114496</v>
      </c>
      <c r="P29" s="674">
        <f t="shared" si="38"/>
        <v>0.14954151749777636</v>
      </c>
      <c r="Q29" s="662">
        <f t="shared" ca="1" si="38"/>
        <v>0.17329494320864244</v>
      </c>
      <c r="R29" s="662">
        <f t="shared" ca="1" si="38"/>
        <v>0.16407435513008853</v>
      </c>
      <c r="S29" s="662">
        <f t="shared" ca="1" si="38"/>
        <v>0.18881277940273408</v>
      </c>
      <c r="T29" s="662">
        <f t="shared" ca="1" si="38"/>
        <v>0.20417179981577477</v>
      </c>
      <c r="U29" s="662">
        <f t="shared" ca="1" si="38"/>
        <v>0.22168097145900456</v>
      </c>
      <c r="V29" s="662">
        <f t="shared" ca="1" si="38"/>
        <v>0.23237146915303628</v>
      </c>
      <c r="W29" s="662">
        <f t="shared" ca="1" si="38"/>
        <v>0.24340880858742597</v>
      </c>
      <c r="X29" s="662">
        <f t="shared" ca="1" si="38"/>
        <v>0.24631320777573318</v>
      </c>
      <c r="Y29" s="662">
        <f t="shared" ca="1" si="38"/>
        <v>0.24985284243521383</v>
      </c>
      <c r="Z29" s="662">
        <f t="shared" ca="1" si="38"/>
        <v>0.25321363172318107</v>
      </c>
      <c r="AA29" s="662"/>
      <c r="AB29" s="663"/>
      <c r="AC29" s="663"/>
      <c r="AD29" s="663"/>
      <c r="AE29" s="663"/>
      <c r="AF29" s="663"/>
      <c r="AG29" s="663"/>
      <c r="AH29" s="663"/>
      <c r="AI29" s="663"/>
      <c r="AJ29" s="663"/>
      <c r="AK29" s="663"/>
      <c r="AL29" s="663"/>
      <c r="AM29" s="663"/>
      <c r="AN29" s="663"/>
      <c r="AO29" s="663"/>
      <c r="AP29" s="663"/>
      <c r="AQ29" s="663"/>
      <c r="AR29" s="663"/>
      <c r="AS29" s="663"/>
      <c r="AT29" s="663"/>
      <c r="AU29" s="663"/>
      <c r="AV29" s="663"/>
      <c r="AW29" s="663"/>
      <c r="AX29" s="663"/>
      <c r="AY29" s="663"/>
      <c r="AZ29" s="663"/>
      <c r="BA29" s="663"/>
      <c r="BB29" s="675"/>
      <c r="BC29" s="675"/>
    </row>
    <row r="30" spans="1:55" s="29" customFormat="1" x14ac:dyDescent="0.25">
      <c r="A30" s="115"/>
      <c r="B30" s="103"/>
      <c r="C30" s="103"/>
      <c r="D30" s="66"/>
      <c r="E30" s="66"/>
      <c r="F30" s="66"/>
      <c r="G30" s="66"/>
      <c r="H30" s="66"/>
      <c r="I30" s="66"/>
      <c r="J30" s="66"/>
      <c r="K30" s="66"/>
      <c r="L30" s="66"/>
      <c r="M30" s="66"/>
      <c r="N30" s="66"/>
      <c r="O30" s="66"/>
      <c r="P30" s="303"/>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66"/>
      <c r="AT30" s="66"/>
      <c r="AU30" s="66"/>
      <c r="AV30" s="66"/>
      <c r="AW30" s="66"/>
      <c r="AX30" s="66"/>
      <c r="AY30" s="66"/>
      <c r="AZ30" s="66"/>
      <c r="BA30" s="66"/>
      <c r="BB30" s="112"/>
      <c r="BC30" s="112"/>
    </row>
    <row r="31" spans="1:55" s="124" customFormat="1" x14ac:dyDescent="0.25">
      <c r="A31" s="115">
        <v>10</v>
      </c>
      <c r="B31" s="669" t="s">
        <v>1261</v>
      </c>
      <c r="C31" s="669" t="s">
        <v>463</v>
      </c>
      <c r="D31" s="469"/>
      <c r="E31" s="469"/>
      <c r="F31" s="469"/>
      <c r="G31" s="469"/>
      <c r="H31" s="469"/>
      <c r="I31" s="667">
        <f>Input!I90</f>
        <v>29.024226928000001</v>
      </c>
      <c r="J31" s="667">
        <f>Input!J90</f>
        <v>59.090007555</v>
      </c>
      <c r="K31" s="667">
        <f>Input!K90</f>
        <v>34.389506357000002</v>
      </c>
      <c r="L31" s="667">
        <f>Input!L90</f>
        <v>39.205654510999999</v>
      </c>
      <c r="M31" s="667">
        <f>Input!M90</f>
        <v>38.021545803999999</v>
      </c>
      <c r="N31" s="667">
        <f>Input!N90</f>
        <v>31.785869465000001</v>
      </c>
      <c r="O31" s="667">
        <f>Input!O90</f>
        <v>35.331750581000001</v>
      </c>
      <c r="P31" s="693">
        <f>Input!P90</f>
        <v>48.661827508000002</v>
      </c>
      <c r="Q31" s="668">
        <f ca="1">Input!Q90</f>
        <v>60.592918242469587</v>
      </c>
      <c r="R31" s="668">
        <f ca="1">Input!R90</f>
        <v>59.850526979177332</v>
      </c>
      <c r="S31" s="668">
        <f ca="1">Input!S90</f>
        <v>86.954507543444166</v>
      </c>
      <c r="T31" s="668">
        <f ca="1">Input!T90</f>
        <v>100.29377905850556</v>
      </c>
      <c r="U31" s="668">
        <f ca="1">Input!U90</f>
        <v>115.72397729698234</v>
      </c>
      <c r="V31" s="668">
        <f ca="1">Input!V90</f>
        <v>127.21062876889265</v>
      </c>
      <c r="W31" s="668">
        <f ca="1">Input!W90</f>
        <v>140.97214600479941</v>
      </c>
      <c r="X31" s="668">
        <f ca="1">Input!X90</f>
        <v>148.16417001351473</v>
      </c>
      <c r="Y31" s="668">
        <f ca="1">Input!Y90</f>
        <v>156.3437984771609</v>
      </c>
      <c r="Z31" s="668">
        <f ca="1">Input!Z90</f>
        <v>165.09228341095891</v>
      </c>
      <c r="AA31" s="668"/>
      <c r="AB31" s="470"/>
      <c r="AC31" s="470"/>
      <c r="AD31" s="470"/>
      <c r="AE31" s="470"/>
      <c r="AF31" s="470"/>
      <c r="AG31" s="470"/>
      <c r="AH31" s="470"/>
      <c r="AI31" s="470"/>
      <c r="AJ31" s="470"/>
      <c r="AK31" s="470"/>
      <c r="AL31" s="470"/>
      <c r="AM31" s="470"/>
      <c r="AN31" s="470"/>
      <c r="AO31" s="470"/>
      <c r="AP31" s="470"/>
      <c r="AQ31" s="470"/>
      <c r="AR31" s="470"/>
      <c r="AS31" s="470"/>
      <c r="AT31" s="470"/>
      <c r="AU31" s="470"/>
      <c r="AV31" s="470"/>
      <c r="AW31" s="470"/>
      <c r="AX31" s="470"/>
      <c r="AY31" s="470"/>
      <c r="AZ31" s="470"/>
      <c r="BA31" s="470"/>
    </row>
    <row r="32" spans="1:55" s="124" customFormat="1" ht="13.8" thickBot="1" x14ac:dyDescent="0.3">
      <c r="A32" s="115"/>
      <c r="B32" s="140" t="s">
        <v>371</v>
      </c>
      <c r="C32" s="140" t="s">
        <v>1262</v>
      </c>
      <c r="D32" s="267"/>
      <c r="E32" s="267"/>
      <c r="F32" s="267"/>
      <c r="G32" s="267"/>
      <c r="H32" s="267"/>
      <c r="I32" s="656">
        <f>Input!I94</f>
        <v>121.11894410999967</v>
      </c>
      <c r="J32" s="656">
        <f>Input!J94</f>
        <v>214.76550387699996</v>
      </c>
      <c r="K32" s="656">
        <f>Input!K94</f>
        <v>141.49153793399995</v>
      </c>
      <c r="L32" s="656">
        <f>Input!L94</f>
        <v>164.39079412699996</v>
      </c>
      <c r="M32" s="656">
        <f>Input!M94</f>
        <v>163.00479829400007</v>
      </c>
      <c r="N32" s="656">
        <f>Input!N94</f>
        <v>142.227417237</v>
      </c>
      <c r="O32" s="656">
        <f>Input!O94</f>
        <v>157.85956481599999</v>
      </c>
      <c r="P32" s="684">
        <f>Input!P94</f>
        <v>184.39927551800002</v>
      </c>
      <c r="Q32" s="657">
        <f ca="1">Input!Q94</f>
        <v>229.61098663209702</v>
      </c>
      <c r="R32" s="657">
        <f ca="1">Input!R94</f>
        <v>226.79776694610229</v>
      </c>
      <c r="S32" s="657">
        <f ca="1">Input!S94</f>
        <v>329.50567241642386</v>
      </c>
      <c r="T32" s="657">
        <f ca="1">Input!T94</f>
        <v>380.05354801585213</v>
      </c>
      <c r="U32" s="657">
        <f ca="1">Input!U94</f>
        <v>438.52478762982804</v>
      </c>
      <c r="V32" s="657">
        <f ca="1">Input!V94</f>
        <v>482.05233926565199</v>
      </c>
      <c r="W32" s="657">
        <f ca="1">Input!W94</f>
        <v>534.2002740696314</v>
      </c>
      <c r="X32" s="657">
        <f ca="1">Input!X94</f>
        <v>561.45375147956099</v>
      </c>
      <c r="Y32" s="657">
        <f ca="1">Input!Y94</f>
        <v>592.44966018140326</v>
      </c>
      <c r="Z32" s="657">
        <f ca="1">Input!Z94</f>
        <v>625.60119530217696</v>
      </c>
      <c r="AA32" s="657"/>
      <c r="AB32" s="173"/>
      <c r="AC32" s="173"/>
      <c r="AD32" s="173"/>
      <c r="AE32" s="173"/>
      <c r="AF32" s="173"/>
      <c r="AG32" s="173"/>
      <c r="AH32" s="173"/>
      <c r="AI32" s="173"/>
      <c r="AJ32" s="173"/>
      <c r="AK32" s="173"/>
      <c r="AL32" s="173"/>
      <c r="AM32" s="173"/>
      <c r="AN32" s="173"/>
      <c r="AO32" s="173"/>
      <c r="AP32" s="173"/>
      <c r="AQ32" s="173"/>
      <c r="AR32" s="173"/>
      <c r="AS32" s="173"/>
      <c r="AT32" s="173"/>
      <c r="AU32" s="173"/>
      <c r="AV32" s="173"/>
      <c r="AW32" s="173"/>
      <c r="AX32" s="173"/>
      <c r="AY32" s="173"/>
      <c r="AZ32" s="173"/>
      <c r="BA32" s="173"/>
    </row>
    <row r="33" spans="1:53" s="124" customFormat="1" ht="14.4" thickTop="1" thickBot="1" x14ac:dyDescent="0.3">
      <c r="A33" s="115"/>
      <c r="B33" s="710" t="s">
        <v>1263</v>
      </c>
      <c r="C33" s="711" t="s">
        <v>1264</v>
      </c>
      <c r="D33" s="712"/>
      <c r="E33" s="712"/>
      <c r="F33" s="712"/>
      <c r="G33" s="712"/>
      <c r="H33" s="712"/>
      <c r="I33" s="713">
        <f>I32/I$5</f>
        <v>4.9398412009275319E-2</v>
      </c>
      <c r="J33" s="713">
        <f>J32/J$5</f>
        <v>0.17530904194894578</v>
      </c>
      <c r="K33" s="713">
        <f t="shared" ref="K33:Z33" si="39">K32/K$5</f>
        <v>0.10216719655166115</v>
      </c>
      <c r="L33" s="713">
        <f t="shared" si="39"/>
        <v>0.11841777097587865</v>
      </c>
      <c r="M33" s="713">
        <f t="shared" si="39"/>
        <v>0.11634687307225651</v>
      </c>
      <c r="N33" s="713">
        <f t="shared" si="39"/>
        <v>0.11272421797012901</v>
      </c>
      <c r="O33" s="713">
        <f t="shared" si="39"/>
        <v>0.12558913797363375</v>
      </c>
      <c r="P33" s="714">
        <f t="shared" si="39"/>
        <v>0.118318102542302</v>
      </c>
      <c r="Q33" s="715">
        <f t="shared" ca="1" si="39"/>
        <v>0.13711194859934098</v>
      </c>
      <c r="R33" s="715">
        <f t="shared" ca="1" si="39"/>
        <v>0.12981656666104485</v>
      </c>
      <c r="S33" s="715">
        <f t="shared" ca="1" si="39"/>
        <v>0.14938974920461087</v>
      </c>
      <c r="T33" s="715">
        <f t="shared" ca="1" si="39"/>
        <v>0.16154189385705819</v>
      </c>
      <c r="U33" s="715">
        <f t="shared" ca="1" si="39"/>
        <v>0.17539525044042462</v>
      </c>
      <c r="V33" s="715">
        <f t="shared" ca="1" si="39"/>
        <v>0.18385363325982793</v>
      </c>
      <c r="W33" s="715">
        <f t="shared" ca="1" si="39"/>
        <v>0.19258643924470586</v>
      </c>
      <c r="X33" s="715">
        <f t="shared" ca="1" si="39"/>
        <v>0.19488441646692459</v>
      </c>
      <c r="Y33" s="715">
        <f t="shared" ca="1" si="39"/>
        <v>0.19768499562119821</v>
      </c>
      <c r="Z33" s="715">
        <f t="shared" ca="1" si="39"/>
        <v>0.20034407129630422</v>
      </c>
      <c r="AA33" s="715"/>
      <c r="AB33" s="716"/>
      <c r="AC33" s="716"/>
      <c r="AD33" s="716"/>
      <c r="AE33" s="716"/>
      <c r="AF33" s="716"/>
      <c r="AG33" s="716"/>
      <c r="AH33" s="716"/>
      <c r="AI33" s="716"/>
      <c r="AJ33" s="716"/>
      <c r="AK33" s="716"/>
      <c r="AL33" s="716"/>
      <c r="AM33" s="716"/>
      <c r="AN33" s="716"/>
      <c r="AO33" s="716"/>
      <c r="AP33" s="716"/>
      <c r="AQ33" s="716"/>
      <c r="AR33" s="716"/>
      <c r="AS33" s="716"/>
      <c r="AT33" s="716"/>
      <c r="AU33" s="716"/>
      <c r="AV33" s="716"/>
      <c r="AW33" s="716"/>
      <c r="AX33" s="716"/>
      <c r="AY33" s="716"/>
      <c r="AZ33" s="716"/>
      <c r="BA33" s="716"/>
    </row>
    <row r="34" spans="1:53" s="124" customFormat="1" ht="13.8" thickTop="1" x14ac:dyDescent="0.25">
      <c r="A34" s="115"/>
      <c r="B34" s="717" t="s">
        <v>1265</v>
      </c>
      <c r="C34" s="717" t="s">
        <v>471</v>
      </c>
      <c r="D34" s="718"/>
      <c r="E34" s="718"/>
      <c r="F34" s="718"/>
      <c r="G34" s="718"/>
      <c r="H34" s="718"/>
      <c r="I34" s="719">
        <f>Input!I100</f>
        <v>9.6224834220000002</v>
      </c>
      <c r="J34" s="719">
        <f>Input!J100</f>
        <v>0</v>
      </c>
      <c r="K34" s="719">
        <f>Input!K100</f>
        <v>0</v>
      </c>
      <c r="L34" s="719">
        <f>Input!L100</f>
        <v>0</v>
      </c>
      <c r="M34" s="719">
        <f>Input!M100</f>
        <v>0</v>
      </c>
      <c r="N34" s="719">
        <f>Input!N100</f>
        <v>0</v>
      </c>
      <c r="O34" s="719">
        <f>Input!O100</f>
        <v>0</v>
      </c>
      <c r="P34" s="720">
        <f>Input!P100</f>
        <v>0</v>
      </c>
      <c r="Q34" s="721">
        <f ca="1">Input!Q100</f>
        <v>0</v>
      </c>
      <c r="R34" s="721">
        <f ca="1">Input!R100</f>
        <v>0</v>
      </c>
      <c r="S34" s="721">
        <f ca="1">Input!S100</f>
        <v>0</v>
      </c>
      <c r="T34" s="721">
        <f ca="1">Input!T100</f>
        <v>0</v>
      </c>
      <c r="U34" s="721">
        <f ca="1">Input!U100</f>
        <v>0</v>
      </c>
      <c r="V34" s="721">
        <f ca="1">Input!V100</f>
        <v>0</v>
      </c>
      <c r="W34" s="721">
        <f ca="1">Input!W100</f>
        <v>0</v>
      </c>
      <c r="X34" s="721">
        <f ca="1">Input!X100</f>
        <v>0</v>
      </c>
      <c r="Y34" s="721">
        <f ca="1">Input!Y100</f>
        <v>0</v>
      </c>
      <c r="Z34" s="721">
        <f ca="1">Input!Z100</f>
        <v>0</v>
      </c>
      <c r="AA34" s="721"/>
      <c r="AB34" s="173"/>
      <c r="AC34" s="173"/>
      <c r="AD34" s="173"/>
      <c r="AE34" s="173"/>
      <c r="AF34" s="173"/>
      <c r="AG34" s="173"/>
      <c r="AH34" s="173"/>
      <c r="AI34" s="173"/>
      <c r="AJ34" s="173"/>
      <c r="AK34" s="173"/>
      <c r="AL34" s="173"/>
      <c r="AM34" s="173"/>
      <c r="AN34" s="173"/>
      <c r="AO34" s="173"/>
      <c r="AP34" s="173"/>
      <c r="AQ34" s="173"/>
      <c r="AR34" s="173"/>
      <c r="AS34" s="173"/>
      <c r="AT34" s="173"/>
      <c r="AU34" s="173"/>
      <c r="AV34" s="173"/>
      <c r="AW34" s="173"/>
      <c r="AX34" s="173"/>
      <c r="AY34" s="173"/>
      <c r="AZ34" s="173"/>
      <c r="BA34" s="173"/>
    </row>
    <row r="35" spans="1:53" s="124" customFormat="1" x14ac:dyDescent="0.25">
      <c r="A35" s="115"/>
      <c r="B35" s="123" t="s">
        <v>1266</v>
      </c>
      <c r="C35" s="123" t="s">
        <v>476</v>
      </c>
      <c r="D35" s="118"/>
      <c r="E35" s="118"/>
      <c r="F35" s="118"/>
      <c r="G35" s="118"/>
      <c r="H35" s="118"/>
      <c r="I35" s="119">
        <f>Input!I106</f>
        <v>111.496460688</v>
      </c>
      <c r="J35" s="119">
        <f>Input!J106</f>
        <v>214.76550387699999</v>
      </c>
      <c r="K35" s="119">
        <f>Input!K106</f>
        <v>141.49153793400001</v>
      </c>
      <c r="L35" s="119">
        <f>Input!L106</f>
        <v>164.39079412699999</v>
      </c>
      <c r="M35" s="119">
        <f>Input!M106</f>
        <v>163.00479829400001</v>
      </c>
      <c r="N35" s="119">
        <f>Input!N106</f>
        <v>142.227417237</v>
      </c>
      <c r="O35" s="119">
        <f>Input!O106</f>
        <v>157.85956481599999</v>
      </c>
      <c r="P35" s="671">
        <f>Input!P106</f>
        <v>184.4</v>
      </c>
      <c r="Q35" s="172">
        <f ca="1">Input!Q106</f>
        <v>229.61098663209702</v>
      </c>
      <c r="R35" s="172">
        <f ca="1">Input!R106</f>
        <v>226.79776694610229</v>
      </c>
      <c r="S35" s="172">
        <f ca="1">Input!S106</f>
        <v>329.50567241642386</v>
      </c>
      <c r="T35" s="172">
        <f ca="1">Input!T106</f>
        <v>380.05354801585207</v>
      </c>
      <c r="U35" s="172">
        <f ca="1">Input!U106</f>
        <v>438.52478762982804</v>
      </c>
      <c r="V35" s="172">
        <f ca="1">Input!V106</f>
        <v>482.05233926565199</v>
      </c>
      <c r="W35" s="172">
        <f ca="1">Input!W106</f>
        <v>534.2002740696314</v>
      </c>
      <c r="X35" s="172">
        <f ca="1">Input!X106</f>
        <v>561.45375147956099</v>
      </c>
      <c r="Y35" s="172">
        <f ca="1">Input!Y106</f>
        <v>592.44966018140326</v>
      </c>
      <c r="Z35" s="172">
        <f ca="1">Input!Z106</f>
        <v>625.60119530217696</v>
      </c>
      <c r="AA35" s="172"/>
      <c r="AB35" s="173"/>
      <c r="AC35" s="173"/>
      <c r="AD35" s="173"/>
      <c r="AE35" s="173"/>
      <c r="AF35" s="173"/>
      <c r="AG35" s="173"/>
      <c r="AH35" s="173"/>
      <c r="AI35" s="173"/>
      <c r="AJ35" s="173"/>
      <c r="AK35" s="173"/>
      <c r="AL35" s="173"/>
      <c r="AM35" s="173"/>
      <c r="AN35" s="173"/>
      <c r="AO35" s="173"/>
      <c r="AP35" s="173"/>
      <c r="AQ35" s="173"/>
      <c r="AR35" s="173"/>
      <c r="AS35" s="173"/>
      <c r="AT35" s="173"/>
      <c r="AU35" s="173"/>
      <c r="AV35" s="173"/>
      <c r="AW35" s="173"/>
      <c r="AX35" s="173"/>
      <c r="AY35" s="173"/>
      <c r="AZ35" s="173"/>
      <c r="BA35" s="173"/>
    </row>
    <row r="36" spans="1:53" s="124" customFormat="1" x14ac:dyDescent="0.25">
      <c r="A36" s="115"/>
      <c r="B36" s="123"/>
      <c r="C36" s="123"/>
      <c r="D36" s="118"/>
      <c r="E36" s="118"/>
      <c r="F36" s="118"/>
      <c r="G36" s="118"/>
      <c r="H36" s="118"/>
      <c r="I36" s="118"/>
      <c r="J36" s="118"/>
      <c r="K36" s="118"/>
      <c r="L36" s="118"/>
      <c r="M36" s="118"/>
      <c r="N36" s="118"/>
      <c r="O36" s="118"/>
      <c r="P36" s="218"/>
      <c r="Q36" s="173"/>
      <c r="R36" s="173"/>
      <c r="S36" s="173"/>
      <c r="T36" s="173"/>
      <c r="U36" s="173"/>
      <c r="V36" s="173"/>
      <c r="W36" s="173"/>
      <c r="X36" s="173"/>
      <c r="Y36" s="173"/>
      <c r="Z36" s="173"/>
      <c r="AA36" s="173"/>
      <c r="AB36" s="173"/>
      <c r="AC36" s="173"/>
      <c r="AD36" s="173"/>
      <c r="AE36" s="173"/>
      <c r="AF36" s="173"/>
      <c r="AG36" s="173"/>
      <c r="AH36" s="173"/>
      <c r="AI36" s="173"/>
      <c r="AJ36" s="173"/>
      <c r="AK36" s="173"/>
      <c r="AL36" s="173"/>
      <c r="AM36" s="173"/>
      <c r="AN36" s="173"/>
      <c r="AO36" s="173"/>
      <c r="AP36" s="173"/>
      <c r="AQ36" s="173"/>
      <c r="AR36" s="173"/>
      <c r="AS36" s="118"/>
      <c r="AT36" s="118"/>
      <c r="AU36" s="118"/>
      <c r="AV36" s="118"/>
      <c r="AW36" s="118"/>
      <c r="AX36" s="118"/>
      <c r="AY36" s="118"/>
      <c r="AZ36" s="118"/>
      <c r="BA36" s="118"/>
    </row>
    <row r="37" spans="1:53" s="124" customFormat="1" x14ac:dyDescent="0.25">
      <c r="A37" s="115"/>
      <c r="B37" s="123" t="s">
        <v>1267</v>
      </c>
      <c r="C37" s="123" t="s">
        <v>1268</v>
      </c>
      <c r="D37" s="118"/>
      <c r="E37" s="118"/>
      <c r="F37" s="118"/>
      <c r="G37" s="118"/>
      <c r="H37" s="118"/>
      <c r="I37" s="119">
        <f>Input!I118</f>
        <v>30</v>
      </c>
      <c r="J37" s="119">
        <f>Input!J118</f>
        <v>30</v>
      </c>
      <c r="K37" s="119">
        <f>Input!K118</f>
        <v>19.100000000000001</v>
      </c>
      <c r="L37" s="119">
        <f>Input!L118</f>
        <v>22.037990225000001</v>
      </c>
      <c r="M37" s="119">
        <f>Input!M118</f>
        <v>22.820674062000002</v>
      </c>
      <c r="N37" s="119">
        <f>Input!N118</f>
        <v>17.067290068000002</v>
      </c>
      <c r="O37" s="119">
        <f>Input!O118</f>
        <v>18.943147778</v>
      </c>
      <c r="P37" s="671">
        <f>Input!P118</f>
        <v>25.815898572520005</v>
      </c>
      <c r="Q37" s="172">
        <f ca="1">Input!Q118</f>
        <v>30.463986956335713</v>
      </c>
      <c r="R37" s="172">
        <f ca="1">Input!R118</f>
        <v>29.863593778030303</v>
      </c>
      <c r="S37" s="172">
        <f ca="1">Input!S118</f>
        <v>43.231592255088081</v>
      </c>
      <c r="T37" s="172">
        <f ca="1">Input!T118</f>
        <v>49.708416211466798</v>
      </c>
      <c r="U37" s="172">
        <f ca="1">Input!U118</f>
        <v>56.779281888075801</v>
      </c>
      <c r="V37" s="172">
        <f ca="1">Input!V118</f>
        <v>63.067833252756309</v>
      </c>
      <c r="W37" s="172">
        <f ca="1">Input!W118</f>
        <v>70.717078393246027</v>
      </c>
      <c r="X37" s="172">
        <f ca="1">Input!X118</f>
        <v>73.713684148849225</v>
      </c>
      <c r="Y37" s="172">
        <f ca="1">Input!Y118</f>
        <v>77.665874579060045</v>
      </c>
      <c r="Z37" s="172">
        <f ca="1">Input!Z118</f>
        <v>81.959768741772962</v>
      </c>
      <c r="AA37" s="172"/>
      <c r="AB37" s="173"/>
      <c r="AC37" s="173"/>
      <c r="AD37" s="173"/>
      <c r="AE37" s="173"/>
      <c r="AF37" s="173"/>
      <c r="AG37" s="173"/>
      <c r="AH37" s="173"/>
      <c r="AI37" s="173"/>
      <c r="AJ37" s="173"/>
      <c r="AK37" s="173"/>
      <c r="AL37" s="173"/>
      <c r="AM37" s="173"/>
      <c r="AN37" s="173"/>
      <c r="AO37" s="173"/>
      <c r="AP37" s="173"/>
      <c r="AQ37" s="173"/>
      <c r="AR37" s="173"/>
      <c r="AS37" s="173"/>
      <c r="AT37" s="173"/>
      <c r="AU37" s="173"/>
      <c r="AV37" s="173"/>
      <c r="AW37" s="173"/>
      <c r="AX37" s="173"/>
      <c r="AY37" s="173"/>
      <c r="AZ37" s="173"/>
      <c r="BA37" s="173"/>
    </row>
    <row r="38" spans="1:53" s="124" customFormat="1" x14ac:dyDescent="0.25">
      <c r="A38" s="115"/>
      <c r="B38" s="123" t="s">
        <v>1269</v>
      </c>
      <c r="C38" s="123" t="s">
        <v>486</v>
      </c>
      <c r="D38" s="118"/>
      <c r="E38" s="118"/>
      <c r="F38" s="118"/>
      <c r="G38" s="118"/>
      <c r="H38" s="118"/>
      <c r="I38" s="119">
        <f>Input!I121</f>
        <v>0</v>
      </c>
      <c r="J38" s="119">
        <f>Input!J121</f>
        <v>0</v>
      </c>
      <c r="K38" s="119">
        <f>Input!K121</f>
        <v>0</v>
      </c>
      <c r="L38" s="119">
        <f>Input!L121</f>
        <v>0</v>
      </c>
      <c r="M38" s="119">
        <f>Input!M121</f>
        <v>0</v>
      </c>
      <c r="N38" s="119">
        <f>Input!N121</f>
        <v>0</v>
      </c>
      <c r="O38" s="119">
        <f>Input!O121</f>
        <v>0</v>
      </c>
      <c r="P38" s="671">
        <f>Input!P121</f>
        <v>0</v>
      </c>
      <c r="Q38" s="172">
        <f>Input!Q121</f>
        <v>0</v>
      </c>
      <c r="R38" s="172">
        <f>Input!R121</f>
        <v>0</v>
      </c>
      <c r="S38" s="172">
        <f>Input!S121</f>
        <v>0</v>
      </c>
      <c r="T38" s="172">
        <f>Input!T121</f>
        <v>0</v>
      </c>
      <c r="U38" s="172">
        <f>Input!U121</f>
        <v>0</v>
      </c>
      <c r="V38" s="172">
        <f>Input!V121</f>
        <v>0</v>
      </c>
      <c r="W38" s="172">
        <f>Input!W121</f>
        <v>0</v>
      </c>
      <c r="X38" s="172">
        <f>Input!X121</f>
        <v>0</v>
      </c>
      <c r="Y38" s="172">
        <f>Input!Y121</f>
        <v>0</v>
      </c>
      <c r="Z38" s="172">
        <f>Input!Z121</f>
        <v>0</v>
      </c>
      <c r="AA38" s="172"/>
      <c r="AB38" s="173"/>
      <c r="AC38" s="173"/>
      <c r="AD38" s="173"/>
      <c r="AE38" s="173"/>
      <c r="AF38" s="173"/>
      <c r="AG38" s="173"/>
      <c r="AH38" s="173"/>
      <c r="AI38" s="173"/>
      <c r="AJ38" s="173"/>
      <c r="AK38" s="173"/>
      <c r="AL38" s="173"/>
      <c r="AM38" s="173"/>
      <c r="AN38" s="173"/>
      <c r="AO38" s="173"/>
      <c r="AP38" s="173"/>
      <c r="AQ38" s="173"/>
      <c r="AR38" s="173"/>
      <c r="AS38" s="173"/>
      <c r="AT38" s="173"/>
      <c r="AU38" s="173"/>
      <c r="AV38" s="173"/>
      <c r="AW38" s="173"/>
      <c r="AX38" s="173"/>
      <c r="AY38" s="173"/>
      <c r="AZ38" s="173"/>
      <c r="BA38" s="173"/>
    </row>
    <row r="39" spans="1:53" s="124" customFormat="1" x14ac:dyDescent="0.25">
      <c r="A39" s="115"/>
      <c r="B39" s="123" t="s">
        <v>1270</v>
      </c>
      <c r="C39" s="123" t="s">
        <v>489</v>
      </c>
      <c r="D39" s="118"/>
      <c r="E39" s="118"/>
      <c r="F39" s="118"/>
      <c r="G39" s="118"/>
      <c r="H39" s="118"/>
      <c r="I39" s="119">
        <f>Input!I125</f>
        <v>0</v>
      </c>
      <c r="J39" s="119">
        <f>Input!J125</f>
        <v>0</v>
      </c>
      <c r="K39" s="119">
        <f>Input!K125</f>
        <v>0</v>
      </c>
      <c r="L39" s="119">
        <f>Input!L125</f>
        <v>0</v>
      </c>
      <c r="M39" s="119">
        <f>Input!M125</f>
        <v>0</v>
      </c>
      <c r="N39" s="119">
        <f>Input!N125</f>
        <v>0</v>
      </c>
      <c r="O39" s="119">
        <f>Input!O125</f>
        <v>0</v>
      </c>
      <c r="P39" s="671">
        <f>Input!P125</f>
        <v>0</v>
      </c>
      <c r="Q39" s="172">
        <f>Input!Q125</f>
        <v>0</v>
      </c>
      <c r="R39" s="172">
        <f>Input!R125</f>
        <v>0</v>
      </c>
      <c r="S39" s="172">
        <f>Input!S125</f>
        <v>0</v>
      </c>
      <c r="T39" s="172">
        <f>Input!T125</f>
        <v>0</v>
      </c>
      <c r="U39" s="172">
        <f>Input!U125</f>
        <v>0</v>
      </c>
      <c r="V39" s="172">
        <f>Input!V125</f>
        <v>0</v>
      </c>
      <c r="W39" s="172">
        <f>Input!W125</f>
        <v>0</v>
      </c>
      <c r="X39" s="172">
        <f>Input!X125</f>
        <v>0</v>
      </c>
      <c r="Y39" s="172">
        <f>Input!Y125</f>
        <v>0</v>
      </c>
      <c r="Z39" s="172">
        <f>Input!Z125</f>
        <v>0</v>
      </c>
      <c r="AA39" s="172"/>
      <c r="AB39" s="173"/>
      <c r="AC39" s="173"/>
      <c r="AD39" s="173"/>
      <c r="AE39" s="173"/>
      <c r="AF39" s="173"/>
      <c r="AG39" s="173"/>
      <c r="AH39" s="173"/>
      <c r="AI39" s="173"/>
      <c r="AJ39" s="173"/>
      <c r="AK39" s="173"/>
      <c r="AL39" s="173"/>
      <c r="AM39" s="173"/>
      <c r="AN39" s="173"/>
      <c r="AO39" s="173"/>
      <c r="AP39" s="173"/>
      <c r="AQ39" s="173"/>
      <c r="AR39" s="173"/>
      <c r="AS39" s="173"/>
      <c r="AT39" s="173"/>
      <c r="AU39" s="173"/>
      <c r="AV39" s="173"/>
      <c r="AW39" s="173"/>
      <c r="AX39" s="173"/>
      <c r="AY39" s="173"/>
      <c r="AZ39" s="173"/>
      <c r="BA39" s="173"/>
    </row>
    <row r="40" spans="1:53" s="124" customFormat="1" x14ac:dyDescent="0.25">
      <c r="A40" s="115"/>
      <c r="B40" s="140" t="s">
        <v>1271</v>
      </c>
      <c r="C40" s="140" t="s">
        <v>491</v>
      </c>
      <c r="D40" s="267"/>
      <c r="E40" s="267"/>
      <c r="F40" s="267"/>
      <c r="G40" s="267"/>
      <c r="H40" s="267"/>
      <c r="I40" s="656">
        <f>I35-I37-I38-I39</f>
        <v>81.496460687999999</v>
      </c>
      <c r="J40" s="656">
        <f>J35-J37-J38-J39</f>
        <v>184.76550387699999</v>
      </c>
      <c r="K40" s="656">
        <f t="shared" ref="K40:Z40" si="40">K35-K37-K38-K39</f>
        <v>122.39153793400001</v>
      </c>
      <c r="L40" s="656">
        <f t="shared" si="40"/>
        <v>142.35280390200001</v>
      </c>
      <c r="M40" s="656">
        <f t="shared" si="40"/>
        <v>140.18412423200002</v>
      </c>
      <c r="N40" s="656">
        <f t="shared" si="40"/>
        <v>125.16012716899999</v>
      </c>
      <c r="O40" s="656">
        <f t="shared" si="40"/>
        <v>138.91641703799999</v>
      </c>
      <c r="P40" s="684">
        <f t="shared" si="40"/>
        <v>158.58410142747999</v>
      </c>
      <c r="Q40" s="657">
        <f t="shared" ca="1" si="40"/>
        <v>199.14699967576132</v>
      </c>
      <c r="R40" s="657">
        <f t="shared" ca="1" si="40"/>
        <v>196.93417316807199</v>
      </c>
      <c r="S40" s="657">
        <f t="shared" ca="1" si="40"/>
        <v>286.2740801613358</v>
      </c>
      <c r="T40" s="657">
        <f t="shared" ca="1" si="40"/>
        <v>330.34513180438529</v>
      </c>
      <c r="U40" s="657">
        <f t="shared" ca="1" si="40"/>
        <v>381.74550574175225</v>
      </c>
      <c r="V40" s="657">
        <f t="shared" ca="1" si="40"/>
        <v>418.98450601289568</v>
      </c>
      <c r="W40" s="657">
        <f t="shared" ca="1" si="40"/>
        <v>463.48319567638538</v>
      </c>
      <c r="X40" s="657">
        <f t="shared" ca="1" si="40"/>
        <v>487.74006733071178</v>
      </c>
      <c r="Y40" s="657">
        <f t="shared" ca="1" si="40"/>
        <v>514.78378560234319</v>
      </c>
      <c r="Z40" s="657">
        <f t="shared" ca="1" si="40"/>
        <v>543.64142656040394</v>
      </c>
      <c r="AA40" s="657"/>
      <c r="AB40" s="268"/>
      <c r="AC40" s="268"/>
      <c r="AD40" s="268"/>
      <c r="AE40" s="268"/>
      <c r="AF40" s="268"/>
      <c r="AG40" s="268"/>
      <c r="AH40" s="268"/>
      <c r="AI40" s="268"/>
      <c r="AJ40" s="268"/>
      <c r="AK40" s="268"/>
      <c r="AL40" s="268"/>
      <c r="AM40" s="268"/>
      <c r="AN40" s="268"/>
      <c r="AO40" s="268"/>
      <c r="AP40" s="268"/>
      <c r="AQ40" s="268"/>
      <c r="AR40" s="268"/>
      <c r="AS40" s="268"/>
      <c r="AT40" s="268"/>
      <c r="AU40" s="268"/>
      <c r="AV40" s="268"/>
      <c r="AW40" s="268"/>
      <c r="AX40" s="268"/>
      <c r="AY40" s="268"/>
      <c r="AZ40" s="268"/>
      <c r="BA40" s="268"/>
    </row>
    <row r="41" spans="1:53" s="124" customFormat="1" x14ac:dyDescent="0.25">
      <c r="A41" s="115"/>
      <c r="B41" s="123"/>
      <c r="C41" s="123"/>
      <c r="D41" s="118"/>
      <c r="E41" s="118"/>
      <c r="F41" s="118"/>
      <c r="G41" s="118"/>
      <c r="H41" s="118"/>
      <c r="I41" s="118"/>
      <c r="J41" s="118"/>
      <c r="K41" s="118"/>
      <c r="L41" s="118"/>
      <c r="M41" s="118"/>
      <c r="N41" s="118"/>
      <c r="O41" s="118"/>
      <c r="P41" s="218"/>
      <c r="Q41" s="173"/>
      <c r="R41" s="173"/>
      <c r="S41" s="173"/>
      <c r="T41" s="173"/>
      <c r="U41" s="173"/>
      <c r="V41" s="173"/>
      <c r="W41" s="173"/>
      <c r="X41" s="173"/>
      <c r="Y41" s="173"/>
      <c r="Z41" s="173"/>
      <c r="AA41" s="173"/>
      <c r="AB41" s="173"/>
      <c r="AC41" s="173"/>
      <c r="AD41" s="173"/>
      <c r="AE41" s="173"/>
      <c r="AF41" s="173"/>
      <c r="AG41" s="173"/>
      <c r="AH41" s="173"/>
      <c r="AI41" s="173"/>
      <c r="AJ41" s="173"/>
      <c r="AK41" s="173"/>
      <c r="AL41" s="173"/>
      <c r="AM41" s="173"/>
      <c r="AN41" s="173"/>
      <c r="AO41" s="173"/>
      <c r="AP41" s="173"/>
      <c r="AQ41" s="173"/>
      <c r="AR41" s="173"/>
      <c r="AS41" s="118"/>
      <c r="AT41" s="118"/>
      <c r="AU41" s="118"/>
      <c r="AV41" s="118"/>
      <c r="AW41" s="118"/>
      <c r="AX41" s="118"/>
      <c r="AY41" s="118"/>
      <c r="AZ41" s="118"/>
      <c r="BA41" s="118"/>
    </row>
    <row r="42" spans="1:53" s="124" customFormat="1" x14ac:dyDescent="0.25">
      <c r="A42" s="115"/>
      <c r="B42" s="123" t="s">
        <v>1272</v>
      </c>
      <c r="C42" s="123" t="s">
        <v>495</v>
      </c>
      <c r="D42" s="118"/>
      <c r="E42" s="118"/>
      <c r="F42" s="118"/>
      <c r="G42" s="118"/>
      <c r="H42" s="118"/>
      <c r="I42" s="119">
        <f>Input!I133</f>
        <v>62.8</v>
      </c>
      <c r="J42" s="119">
        <f>Input!J133</f>
        <v>62.8</v>
      </c>
      <c r="K42" s="119">
        <f>Input!K133</f>
        <v>78.599999999999994</v>
      </c>
      <c r="L42" s="119">
        <f>Input!L133</f>
        <v>78.5685</v>
      </c>
      <c r="M42" s="119">
        <f>Input!M133</f>
        <v>78.568372499999995</v>
      </c>
      <c r="N42" s="119">
        <f>Input!N133</f>
        <v>78.5685</v>
      </c>
      <c r="O42" s="119">
        <f>Input!O133</f>
        <v>78.5685</v>
      </c>
      <c r="P42" s="671">
        <f>Input!P133</f>
        <v>0.46600000000000003</v>
      </c>
      <c r="Q42" s="172">
        <f>Input!Q133</f>
        <v>28.786179500000003</v>
      </c>
      <c r="R42" s="172">
        <f>Input!R133</f>
        <v>28.786179500000003</v>
      </c>
      <c r="S42" s="172">
        <f>Input!S133</f>
        <v>57.572359000000006</v>
      </c>
      <c r="T42" s="172">
        <f>Input!T133</f>
        <v>115.14471800000001</v>
      </c>
      <c r="U42" s="172">
        <f>Input!U133</f>
        <v>115.14471800000001</v>
      </c>
      <c r="V42" s="172">
        <f>Input!V133</f>
        <v>143.93089749999999</v>
      </c>
      <c r="W42" s="172">
        <f>Input!W133</f>
        <v>201.50325649999999</v>
      </c>
      <c r="X42" s="172">
        <f>Input!X133</f>
        <v>201.50325649999999</v>
      </c>
      <c r="Y42" s="172">
        <f>Input!Y133</f>
        <v>287.86179499999997</v>
      </c>
      <c r="Z42" s="172">
        <f>Input!Z133</f>
        <v>316.64797450000003</v>
      </c>
      <c r="AA42" s="172"/>
      <c r="AB42" s="173"/>
      <c r="AC42" s="173"/>
      <c r="AD42" s="173"/>
      <c r="AE42" s="173"/>
      <c r="AF42" s="173"/>
      <c r="AG42" s="173"/>
      <c r="AH42" s="173"/>
      <c r="AI42" s="173"/>
      <c r="AJ42" s="173"/>
      <c r="AK42" s="173"/>
      <c r="AL42" s="173"/>
      <c r="AM42" s="173"/>
      <c r="AN42" s="173"/>
      <c r="AO42" s="173"/>
      <c r="AP42" s="173"/>
      <c r="AQ42" s="173"/>
      <c r="AR42" s="173"/>
      <c r="AS42" s="173"/>
      <c r="AT42" s="173"/>
      <c r="AU42" s="173"/>
      <c r="AV42" s="173"/>
      <c r="AW42" s="173"/>
      <c r="AX42" s="173"/>
      <c r="AY42" s="173"/>
      <c r="AZ42" s="173"/>
      <c r="BA42" s="173"/>
    </row>
    <row r="43" spans="1:53" s="124" customFormat="1" ht="13.8" thickBot="1" x14ac:dyDescent="0.3">
      <c r="A43" s="115"/>
      <c r="B43" s="722" t="s">
        <v>1273</v>
      </c>
      <c r="C43" s="722" t="s">
        <v>497</v>
      </c>
      <c r="D43" s="723"/>
      <c r="E43" s="723"/>
      <c r="F43" s="723"/>
      <c r="G43" s="723"/>
      <c r="H43" s="723"/>
      <c r="I43" s="724">
        <f>Input!I136</f>
        <v>18.696460688000002</v>
      </c>
      <c r="J43" s="724">
        <f>Input!J136</f>
        <v>121.96550387699999</v>
      </c>
      <c r="K43" s="724">
        <f>Input!K136</f>
        <v>43.791537934000019</v>
      </c>
      <c r="L43" s="724">
        <f>Input!L136</f>
        <v>63.784303902000005</v>
      </c>
      <c r="M43" s="724">
        <f>Input!M136</f>
        <v>61.615751732000021</v>
      </c>
      <c r="N43" s="724">
        <f>Input!N136</f>
        <v>46.591627168999992</v>
      </c>
      <c r="O43" s="724">
        <f>Input!O136</f>
        <v>60.347917037999991</v>
      </c>
      <c r="P43" s="725">
        <f>Input!P136</f>
        <v>158.11810142747998</v>
      </c>
      <c r="Q43" s="726">
        <f ca="1">Input!Q136</f>
        <v>170.36082017576132</v>
      </c>
      <c r="R43" s="726">
        <f ca="1">Input!R136</f>
        <v>168.14799366807199</v>
      </c>
      <c r="S43" s="726">
        <f ca="1">Input!S136</f>
        <v>228.7017211613358</v>
      </c>
      <c r="T43" s="726">
        <f ca="1">Input!T136</f>
        <v>215.20041380438528</v>
      </c>
      <c r="U43" s="726">
        <f ca="1">Input!U136</f>
        <v>266.60078774175224</v>
      </c>
      <c r="V43" s="726">
        <f ca="1">Input!V136</f>
        <v>275.05360851289572</v>
      </c>
      <c r="W43" s="726">
        <f ca="1">Input!W136</f>
        <v>261.97993917638541</v>
      </c>
      <c r="X43" s="726">
        <f ca="1">Input!X136</f>
        <v>286.23681083071176</v>
      </c>
      <c r="Y43" s="726">
        <f ca="1">Input!Y136</f>
        <v>226.92199060234321</v>
      </c>
      <c r="Z43" s="726">
        <f ca="1">Input!Z136</f>
        <v>226.99345206040391</v>
      </c>
      <c r="AA43" s="726"/>
      <c r="AB43" s="727"/>
      <c r="AC43" s="727"/>
      <c r="AD43" s="727"/>
      <c r="AE43" s="727"/>
      <c r="AF43" s="727"/>
      <c r="AG43" s="727"/>
      <c r="AH43" s="727"/>
      <c r="AI43" s="727"/>
      <c r="AJ43" s="727"/>
      <c r="AK43" s="727"/>
      <c r="AL43" s="727"/>
      <c r="AM43" s="727"/>
      <c r="AN43" s="727"/>
      <c r="AO43" s="727"/>
      <c r="AP43" s="727"/>
      <c r="AQ43" s="727"/>
      <c r="AR43" s="727"/>
      <c r="AS43" s="727"/>
      <c r="AT43" s="727"/>
      <c r="AU43" s="727"/>
      <c r="AV43" s="727"/>
      <c r="AW43" s="727"/>
      <c r="AX43" s="727"/>
      <c r="AY43" s="727"/>
      <c r="AZ43" s="727"/>
      <c r="BA43" s="727"/>
    </row>
    <row r="44" spans="1:53" s="729" customFormat="1" ht="13.8" thickTop="1" x14ac:dyDescent="0.25">
      <c r="A44" s="676"/>
      <c r="B44" s="458" t="s">
        <v>1274</v>
      </c>
      <c r="C44" s="458"/>
      <c r="D44" s="542"/>
      <c r="E44" s="542"/>
      <c r="F44" s="542"/>
      <c r="G44" s="542"/>
      <c r="H44" s="542"/>
      <c r="I44" s="543">
        <f>I32-Input!I94</f>
        <v>0</v>
      </c>
      <c r="J44" s="543">
        <f>J32-Input!J94</f>
        <v>0</v>
      </c>
      <c r="K44" s="543">
        <f>K32-Input!K94</f>
        <v>0</v>
      </c>
      <c r="L44" s="543">
        <f>L32-Input!L94</f>
        <v>0</v>
      </c>
      <c r="M44" s="543">
        <f>M32-Input!M94</f>
        <v>0</v>
      </c>
      <c r="N44" s="543">
        <f>N32-Input!N94</f>
        <v>0</v>
      </c>
      <c r="O44" s="543">
        <f>O32-Input!O94</f>
        <v>0</v>
      </c>
      <c r="P44" s="745">
        <f>P32-Input!P94</f>
        <v>0</v>
      </c>
      <c r="Q44" s="1880">
        <f ca="1">Q32-Input!Q94</f>
        <v>0</v>
      </c>
      <c r="R44" s="1880">
        <f ca="1">R32-Input!R94</f>
        <v>0</v>
      </c>
      <c r="S44" s="1880">
        <f ca="1">S32-Input!S94</f>
        <v>0</v>
      </c>
      <c r="T44" s="1880">
        <f ca="1">T32-Input!T94</f>
        <v>0</v>
      </c>
      <c r="U44" s="1880">
        <f ca="1">U32-Input!U94</f>
        <v>0</v>
      </c>
      <c r="V44" s="1880">
        <f ca="1">V32-Input!V94</f>
        <v>0</v>
      </c>
      <c r="W44" s="1880">
        <f ca="1">W32-Input!W94</f>
        <v>0</v>
      </c>
      <c r="X44" s="1880">
        <f ca="1">X32-Input!X94</f>
        <v>0</v>
      </c>
      <c r="Y44" s="1880">
        <f ca="1">Y32-Input!Y94</f>
        <v>0</v>
      </c>
      <c r="Z44" s="1880">
        <f ca="1">Z32-Input!Z94</f>
        <v>0</v>
      </c>
      <c r="AA44" s="1880"/>
      <c r="AB44" s="1896"/>
      <c r="AC44" s="1896"/>
      <c r="AD44" s="1896"/>
      <c r="AE44" s="1896"/>
      <c r="AF44" s="1896"/>
      <c r="AG44" s="1896"/>
      <c r="AH44" s="1896"/>
      <c r="AI44" s="1896"/>
      <c r="AJ44" s="1896"/>
      <c r="AK44" s="1896"/>
      <c r="AL44" s="1896"/>
      <c r="AM44" s="1896"/>
      <c r="AN44" s="1896"/>
      <c r="AO44" s="1896"/>
      <c r="AP44" s="1896"/>
      <c r="AQ44" s="1896"/>
      <c r="AR44" s="1896"/>
      <c r="AS44" s="542"/>
      <c r="AT44" s="542"/>
      <c r="AU44" s="542"/>
      <c r="AV44" s="542"/>
      <c r="AW44" s="542"/>
      <c r="AX44" s="542"/>
      <c r="AY44" s="542"/>
      <c r="AZ44" s="542"/>
      <c r="BA44" s="542"/>
    </row>
    <row r="45" spans="1:53" s="734" customFormat="1" x14ac:dyDescent="0.25">
      <c r="A45" s="658"/>
      <c r="B45" s="730"/>
      <c r="C45" s="730"/>
      <c r="D45" s="731"/>
      <c r="E45" s="731"/>
      <c r="F45" s="731"/>
      <c r="G45" s="731"/>
      <c r="H45" s="731"/>
      <c r="I45" s="731"/>
      <c r="J45" s="731"/>
      <c r="K45" s="731"/>
      <c r="L45" s="731"/>
      <c r="M45" s="731"/>
      <c r="N45" s="731"/>
      <c r="O45" s="731"/>
      <c r="P45" s="732"/>
      <c r="Q45" s="733"/>
      <c r="R45" s="731"/>
      <c r="S45" s="731"/>
      <c r="T45" s="731"/>
      <c r="U45" s="731"/>
      <c r="V45" s="731"/>
      <c r="W45" s="731"/>
      <c r="X45" s="731"/>
      <c r="Y45" s="731"/>
      <c r="Z45" s="731"/>
      <c r="AA45" s="731"/>
      <c r="AB45" s="731"/>
      <c r="AC45" s="731"/>
      <c r="AD45" s="731"/>
      <c r="AE45" s="731"/>
      <c r="AF45" s="731"/>
      <c r="AG45" s="731"/>
      <c r="AH45" s="731"/>
      <c r="AI45" s="731"/>
      <c r="AJ45" s="731"/>
      <c r="AK45" s="731"/>
      <c r="AL45" s="731"/>
      <c r="AM45" s="731"/>
      <c r="AN45" s="731"/>
      <c r="AO45" s="731"/>
      <c r="AP45" s="731"/>
      <c r="AQ45" s="731"/>
      <c r="AR45" s="731"/>
      <c r="AS45" s="731"/>
      <c r="AT45" s="731"/>
      <c r="AU45" s="731"/>
      <c r="AV45" s="731"/>
      <c r="AW45" s="731"/>
      <c r="AX45" s="731"/>
      <c r="AY45" s="731"/>
      <c r="AZ45" s="731"/>
      <c r="BA45" s="731"/>
    </row>
    <row r="46" spans="1:53" s="734" customFormat="1" x14ac:dyDescent="0.25">
      <c r="A46" s="658"/>
      <c r="B46" s="730"/>
      <c r="C46" s="730"/>
      <c r="D46" s="731"/>
      <c r="E46" s="731"/>
      <c r="F46" s="731"/>
      <c r="G46" s="731"/>
      <c r="H46" s="731"/>
      <c r="I46" s="731"/>
      <c r="J46" s="731"/>
      <c r="K46" s="731"/>
      <c r="L46" s="731"/>
      <c r="M46" s="731"/>
      <c r="N46" s="731"/>
      <c r="O46" s="731"/>
      <c r="P46" s="732"/>
      <c r="Q46" s="731"/>
      <c r="R46" s="731"/>
      <c r="S46" s="731"/>
      <c r="T46" s="731"/>
      <c r="U46" s="731"/>
      <c r="V46" s="731"/>
      <c r="W46" s="731"/>
      <c r="X46" s="731"/>
      <c r="Y46" s="731"/>
      <c r="Z46" s="731"/>
      <c r="AA46" s="731"/>
      <c r="AB46" s="731"/>
      <c r="AC46" s="731"/>
      <c r="AD46" s="731"/>
      <c r="AE46" s="731"/>
      <c r="AF46" s="731"/>
      <c r="AG46" s="731"/>
      <c r="AH46" s="731"/>
      <c r="AI46" s="731"/>
      <c r="AJ46" s="731"/>
      <c r="AK46" s="731"/>
      <c r="AL46" s="731"/>
      <c r="AM46" s="731"/>
      <c r="AN46" s="731"/>
      <c r="AO46" s="731"/>
      <c r="AP46" s="731"/>
      <c r="AQ46" s="731"/>
      <c r="AR46" s="731"/>
      <c r="AS46" s="731"/>
      <c r="AT46" s="731"/>
      <c r="AU46" s="731"/>
      <c r="AV46" s="731"/>
      <c r="AW46" s="731"/>
      <c r="AX46" s="731"/>
      <c r="AY46" s="731"/>
      <c r="AZ46" s="731"/>
      <c r="BA46" s="731"/>
    </row>
    <row r="47" spans="1:53" s="734" customFormat="1" x14ac:dyDescent="0.25">
      <c r="A47" s="658"/>
      <c r="B47" s="730"/>
      <c r="C47" s="730"/>
      <c r="D47" s="731"/>
      <c r="E47" s="731"/>
      <c r="F47" s="731"/>
      <c r="G47" s="731"/>
      <c r="H47" s="731"/>
      <c r="I47" s="731"/>
      <c r="J47" s="731"/>
      <c r="K47" s="731"/>
      <c r="L47" s="731"/>
      <c r="M47" s="731"/>
      <c r="N47" s="731"/>
      <c r="O47" s="731"/>
      <c r="P47" s="732"/>
      <c r="Q47" s="731"/>
      <c r="R47" s="731"/>
      <c r="S47" s="731"/>
      <c r="T47" s="731"/>
      <c r="U47" s="731"/>
      <c r="V47" s="731"/>
      <c r="W47" s="731"/>
      <c r="X47" s="731"/>
      <c r="Y47" s="731"/>
      <c r="Z47" s="731"/>
      <c r="AA47" s="731"/>
      <c r="AB47" s="731"/>
      <c r="AC47" s="731"/>
      <c r="AD47" s="731"/>
      <c r="AE47" s="731"/>
      <c r="AF47" s="731"/>
      <c r="AG47" s="731"/>
      <c r="AH47" s="731"/>
      <c r="AI47" s="731"/>
      <c r="AJ47" s="731"/>
      <c r="AK47" s="731"/>
      <c r="AL47" s="731"/>
      <c r="AM47" s="731"/>
      <c r="AN47" s="731"/>
      <c r="AO47" s="731"/>
      <c r="AP47" s="731"/>
      <c r="AQ47" s="731"/>
      <c r="AR47" s="731"/>
      <c r="AS47" s="731"/>
      <c r="AT47" s="731"/>
      <c r="AU47" s="731"/>
      <c r="AV47" s="731"/>
      <c r="AW47" s="731"/>
      <c r="AX47" s="731"/>
      <c r="AY47" s="731"/>
      <c r="AZ47" s="731"/>
      <c r="BA47" s="731"/>
    </row>
    <row r="48" spans="1:53" s="734" customFormat="1" x14ac:dyDescent="0.25">
      <c r="A48" s="658"/>
      <c r="B48" s="730"/>
      <c r="C48" s="730"/>
      <c r="D48" s="731"/>
      <c r="E48" s="731"/>
      <c r="F48" s="731"/>
      <c r="G48" s="731"/>
      <c r="H48" s="731"/>
      <c r="I48" s="731"/>
      <c r="J48" s="731"/>
      <c r="K48" s="731"/>
      <c r="L48" s="731"/>
      <c r="M48" s="731"/>
      <c r="N48" s="731"/>
      <c r="O48" s="731"/>
      <c r="P48" s="732"/>
      <c r="Q48" s="731"/>
      <c r="R48" s="731"/>
      <c r="S48" s="731"/>
      <c r="T48" s="731"/>
      <c r="U48" s="731"/>
      <c r="V48" s="731"/>
      <c r="W48" s="731"/>
      <c r="X48" s="731"/>
      <c r="Y48" s="731"/>
      <c r="Z48" s="731"/>
      <c r="AA48" s="731"/>
      <c r="AB48" s="731"/>
      <c r="AC48" s="731"/>
      <c r="AD48" s="731"/>
      <c r="AE48" s="731"/>
      <c r="AF48" s="731"/>
      <c r="AG48" s="731"/>
      <c r="AH48" s="731"/>
      <c r="AI48" s="731"/>
      <c r="AJ48" s="731"/>
      <c r="AK48" s="731"/>
      <c r="AL48" s="731"/>
      <c r="AM48" s="731"/>
      <c r="AN48" s="731"/>
      <c r="AO48" s="731"/>
      <c r="AP48" s="731"/>
      <c r="AQ48" s="731"/>
      <c r="AR48" s="731"/>
      <c r="AS48" s="731"/>
      <c r="AT48" s="731"/>
      <c r="AU48" s="731"/>
      <c r="AV48" s="731"/>
      <c r="AW48" s="731"/>
      <c r="AX48" s="731"/>
      <c r="AY48" s="731"/>
      <c r="AZ48" s="731"/>
      <c r="BA48" s="731"/>
    </row>
    <row r="49" spans="1:53" s="734" customFormat="1" x14ac:dyDescent="0.25">
      <c r="A49" s="658"/>
      <c r="B49" s="730"/>
      <c r="C49" s="730"/>
      <c r="D49" s="731"/>
      <c r="E49" s="731"/>
      <c r="F49" s="731"/>
      <c r="G49" s="731"/>
      <c r="H49" s="731"/>
      <c r="I49" s="731"/>
      <c r="J49" s="731"/>
      <c r="K49" s="735"/>
      <c r="L49" s="731"/>
      <c r="M49" s="731"/>
      <c r="N49" s="731"/>
      <c r="O49" s="731"/>
      <c r="P49" s="732"/>
      <c r="Q49" s="731"/>
      <c r="R49" s="731"/>
      <c r="S49" s="731"/>
      <c r="T49" s="731"/>
      <c r="U49" s="731"/>
      <c r="V49" s="731"/>
      <c r="W49" s="731"/>
      <c r="X49" s="731"/>
      <c r="Y49" s="731"/>
      <c r="Z49" s="731"/>
      <c r="AA49" s="731"/>
      <c r="AB49" s="731"/>
      <c r="AC49" s="731"/>
      <c r="AD49" s="731"/>
      <c r="AE49" s="731"/>
      <c r="AF49" s="731"/>
      <c r="AG49" s="731"/>
      <c r="AH49" s="731"/>
      <c r="AI49" s="731"/>
      <c r="AJ49" s="731"/>
      <c r="AK49" s="731"/>
      <c r="AL49" s="731"/>
      <c r="AM49" s="731"/>
      <c r="AN49" s="731"/>
      <c r="AO49" s="731"/>
      <c r="AP49" s="731"/>
      <c r="AQ49" s="731"/>
      <c r="AR49" s="731"/>
      <c r="AS49" s="731"/>
      <c r="AT49" s="731"/>
      <c r="AU49" s="731"/>
      <c r="AV49" s="731"/>
      <c r="AW49" s="731"/>
      <c r="AX49" s="731"/>
      <c r="AY49" s="731"/>
      <c r="AZ49" s="731"/>
      <c r="BA49" s="731"/>
    </row>
    <row r="50" spans="1:53" s="734" customFormat="1" x14ac:dyDescent="0.25">
      <c r="A50" s="658"/>
      <c r="B50" s="730"/>
      <c r="C50" s="730"/>
      <c r="D50" s="731"/>
      <c r="E50" s="731"/>
      <c r="F50" s="731"/>
      <c r="G50" s="731"/>
      <c r="H50" s="731"/>
      <c r="I50" s="731"/>
      <c r="J50" s="731"/>
      <c r="K50" s="731"/>
      <c r="L50" s="731"/>
      <c r="M50" s="731"/>
      <c r="N50" s="731"/>
      <c r="O50" s="735"/>
      <c r="P50" s="732"/>
      <c r="Q50" s="731"/>
      <c r="R50" s="731"/>
      <c r="S50" s="731"/>
      <c r="T50" s="731"/>
      <c r="U50" s="731"/>
      <c r="V50" s="731"/>
      <c r="W50" s="731"/>
      <c r="X50" s="731"/>
      <c r="Y50" s="731"/>
      <c r="Z50" s="731"/>
      <c r="AA50" s="731"/>
      <c r="AB50" s="731"/>
      <c r="AC50" s="731"/>
      <c r="AD50" s="731"/>
      <c r="AE50" s="731"/>
      <c r="AF50" s="731"/>
      <c r="AG50" s="731"/>
      <c r="AH50" s="731"/>
      <c r="AI50" s="731"/>
      <c r="AJ50" s="731"/>
      <c r="AK50" s="731"/>
      <c r="AL50" s="731"/>
      <c r="AM50" s="731"/>
      <c r="AN50" s="731"/>
      <c r="AO50" s="731"/>
      <c r="AP50" s="731"/>
      <c r="AQ50" s="731"/>
      <c r="AR50" s="731"/>
      <c r="AS50" s="731"/>
      <c r="AT50" s="731"/>
      <c r="AU50" s="731"/>
      <c r="AV50" s="731"/>
      <c r="AW50" s="731"/>
      <c r="AX50" s="731"/>
      <c r="AY50" s="731"/>
      <c r="AZ50" s="731"/>
      <c r="BA50" s="731"/>
    </row>
    <row r="51" spans="1:53" s="734" customFormat="1" x14ac:dyDescent="0.25">
      <c r="A51" s="658"/>
      <c r="B51" s="730"/>
      <c r="C51" s="730"/>
      <c r="D51" s="731"/>
      <c r="E51" s="731"/>
      <c r="F51" s="731"/>
      <c r="G51" s="731"/>
      <c r="H51" s="731"/>
      <c r="I51" s="731"/>
      <c r="J51" s="731"/>
      <c r="K51" s="731"/>
      <c r="L51" s="731"/>
      <c r="M51" s="731"/>
      <c r="N51" s="731"/>
      <c r="O51" s="731"/>
      <c r="P51" s="732"/>
      <c r="Q51" s="731"/>
      <c r="R51" s="731"/>
      <c r="S51" s="731"/>
      <c r="T51" s="731"/>
      <c r="U51" s="731"/>
      <c r="V51" s="731"/>
      <c r="W51" s="731"/>
      <c r="X51" s="731"/>
      <c r="Y51" s="731"/>
      <c r="Z51" s="731"/>
      <c r="AA51" s="731"/>
      <c r="AB51" s="731"/>
      <c r="AC51" s="731"/>
      <c r="AD51" s="731"/>
      <c r="AE51" s="731"/>
      <c r="AF51" s="731"/>
      <c r="AG51" s="731"/>
      <c r="AH51" s="731"/>
      <c r="AI51" s="731"/>
      <c r="AJ51" s="731"/>
      <c r="AK51" s="731"/>
      <c r="AL51" s="731"/>
      <c r="AM51" s="731"/>
      <c r="AN51" s="731"/>
      <c r="AO51" s="731"/>
      <c r="AP51" s="731"/>
      <c r="AQ51" s="731"/>
      <c r="AR51" s="731"/>
      <c r="AS51" s="731"/>
      <c r="AT51" s="731"/>
      <c r="AU51" s="731"/>
      <c r="AV51" s="731"/>
      <c r="AW51" s="731"/>
      <c r="AX51" s="731"/>
      <c r="AY51" s="731"/>
      <c r="AZ51" s="731"/>
      <c r="BA51" s="731"/>
    </row>
    <row r="52" spans="1:53" x14ac:dyDescent="0.25">
      <c r="B52" s="736"/>
      <c r="C52" s="736"/>
      <c r="M52" s="642"/>
      <c r="P52" s="737"/>
    </row>
    <row r="53" spans="1:53" x14ac:dyDescent="0.25">
      <c r="M53" s="642"/>
      <c r="P53" s="737"/>
    </row>
    <row r="54" spans="1:53" x14ac:dyDescent="0.25">
      <c r="M54" s="642"/>
      <c r="P54" s="737"/>
    </row>
    <row r="55" spans="1:53" x14ac:dyDescent="0.25">
      <c r="A55" s="738"/>
      <c r="D55" s="518"/>
      <c r="E55" s="518"/>
      <c r="F55" s="518"/>
      <c r="G55" s="518"/>
      <c r="H55" s="518"/>
      <c r="I55" s="518"/>
      <c r="J55" s="518"/>
      <c r="K55" s="518"/>
      <c r="L55" s="518"/>
      <c r="M55" s="518"/>
      <c r="N55" s="639"/>
      <c r="O55" s="639"/>
      <c r="P55" s="640"/>
      <c r="Q55" s="641"/>
      <c r="R55" s="641"/>
      <c r="S55" s="641"/>
      <c r="T55" s="641"/>
      <c r="U55" s="641"/>
      <c r="V55" s="641"/>
      <c r="W55" s="641"/>
      <c r="X55" s="641"/>
      <c r="Y55" s="641"/>
      <c r="Z55" s="641"/>
      <c r="AA55" s="641"/>
      <c r="AB55" s="641"/>
      <c r="AC55" s="641"/>
      <c r="AD55" s="641"/>
      <c r="AE55" s="641"/>
      <c r="AF55" s="641"/>
      <c r="AG55" s="641"/>
      <c r="AH55" s="641"/>
      <c r="AI55" s="641"/>
      <c r="AJ55" s="641"/>
      <c r="AK55" s="641"/>
      <c r="AL55" s="641"/>
      <c r="AM55" s="641"/>
      <c r="AN55" s="641"/>
      <c r="AO55" s="641"/>
      <c r="AP55" s="641"/>
      <c r="AQ55" s="641"/>
      <c r="AR55" s="641"/>
      <c r="AS55" s="641"/>
      <c r="AT55" s="641"/>
      <c r="AU55" s="641"/>
      <c r="AV55" s="641"/>
      <c r="AW55" s="641"/>
      <c r="AX55" s="641"/>
      <c r="AY55" s="641"/>
      <c r="AZ55" s="641"/>
      <c r="BA55" s="641"/>
    </row>
    <row r="56" spans="1:53" x14ac:dyDescent="0.25">
      <c r="A56" s="738"/>
      <c r="B56" s="2376" t="s">
        <v>1275</v>
      </c>
      <c r="C56" s="2378" t="s">
        <v>503</v>
      </c>
      <c r="D56" s="42"/>
      <c r="E56" s="42"/>
      <c r="F56" s="643"/>
      <c r="G56" s="643"/>
      <c r="H56" s="643"/>
      <c r="I56" s="643"/>
      <c r="J56" s="643"/>
      <c r="K56" s="643"/>
      <c r="L56" s="643"/>
      <c r="M56" s="643"/>
      <c r="N56" s="643"/>
      <c r="O56" s="643"/>
      <c r="P56" s="1163"/>
      <c r="Q56" s="645"/>
      <c r="R56" s="645"/>
      <c r="S56" s="645"/>
      <c r="T56" s="645"/>
      <c r="U56" s="645"/>
      <c r="V56" s="645"/>
      <c r="W56" s="645"/>
      <c r="X56" s="645"/>
      <c r="Y56" s="645"/>
      <c r="Z56" s="645"/>
      <c r="AA56" s="645"/>
      <c r="AB56" s="645"/>
      <c r="AC56" s="645"/>
      <c r="AD56" s="645"/>
      <c r="AE56" s="645"/>
      <c r="AF56" s="645"/>
      <c r="AG56" s="645"/>
      <c r="AH56" s="645"/>
      <c r="AI56" s="645"/>
      <c r="AJ56" s="645"/>
      <c r="AK56" s="645"/>
      <c r="AL56" s="645"/>
      <c r="AM56" s="645"/>
      <c r="AN56" s="645"/>
      <c r="AO56" s="645"/>
      <c r="AP56" s="645"/>
      <c r="AQ56" s="645"/>
      <c r="AR56" s="645"/>
      <c r="AS56" s="645"/>
      <c r="AT56" s="645"/>
      <c r="AU56" s="645"/>
      <c r="AV56" s="645"/>
      <c r="AW56" s="645"/>
      <c r="AX56" s="645"/>
      <c r="AY56" s="645"/>
      <c r="AZ56" s="645"/>
      <c r="BA56" s="645"/>
    </row>
    <row r="57" spans="1:53" ht="13.8" thickBot="1" x14ac:dyDescent="0.3">
      <c r="A57" s="738"/>
      <c r="B57" s="2377"/>
      <c r="C57" s="2380"/>
      <c r="D57" s="739">
        <v>40178</v>
      </c>
      <c r="E57" s="648">
        <f>DATE(YEAR(D57),MONTH(D57)+13,0)</f>
        <v>40543</v>
      </c>
      <c r="F57" s="648">
        <f t="shared" ref="F57:Z57" si="41">DATE(YEAR(E57),MONTH(E57)+13,0)</f>
        <v>40908</v>
      </c>
      <c r="G57" s="648">
        <f t="shared" si="41"/>
        <v>41274</v>
      </c>
      <c r="H57" s="648">
        <f t="shared" si="41"/>
        <v>41639</v>
      </c>
      <c r="I57" s="648">
        <f t="shared" si="41"/>
        <v>42004</v>
      </c>
      <c r="J57" s="648">
        <f t="shared" si="41"/>
        <v>42369</v>
      </c>
      <c r="K57" s="648">
        <f t="shared" si="41"/>
        <v>42735</v>
      </c>
      <c r="L57" s="648">
        <f t="shared" si="41"/>
        <v>43100</v>
      </c>
      <c r="M57" s="648">
        <f t="shared" si="41"/>
        <v>43465</v>
      </c>
      <c r="N57" s="648">
        <f t="shared" si="41"/>
        <v>43830</v>
      </c>
      <c r="O57" s="648">
        <f t="shared" si="41"/>
        <v>44196</v>
      </c>
      <c r="P57" s="649">
        <f t="shared" si="41"/>
        <v>44561</v>
      </c>
      <c r="Q57" s="650">
        <f t="shared" si="41"/>
        <v>44926</v>
      </c>
      <c r="R57" s="650">
        <f t="shared" si="41"/>
        <v>45291</v>
      </c>
      <c r="S57" s="650">
        <f t="shared" si="41"/>
        <v>45657</v>
      </c>
      <c r="T57" s="650">
        <f t="shared" si="41"/>
        <v>46022</v>
      </c>
      <c r="U57" s="650">
        <f t="shared" si="41"/>
        <v>46387</v>
      </c>
      <c r="V57" s="650">
        <f t="shared" si="41"/>
        <v>46752</v>
      </c>
      <c r="W57" s="650">
        <f t="shared" si="41"/>
        <v>47118</v>
      </c>
      <c r="X57" s="650">
        <f t="shared" si="41"/>
        <v>47483</v>
      </c>
      <c r="Y57" s="650">
        <f t="shared" si="41"/>
        <v>47848</v>
      </c>
      <c r="Z57" s="650">
        <f t="shared" si="41"/>
        <v>48213</v>
      </c>
      <c r="AA57" s="650"/>
      <c r="AB57" s="650"/>
      <c r="AC57" s="650"/>
      <c r="AD57" s="650"/>
      <c r="AE57" s="650"/>
      <c r="AF57" s="650"/>
      <c r="AG57" s="650"/>
      <c r="AH57" s="650"/>
      <c r="AI57" s="650"/>
      <c r="AJ57" s="650"/>
      <c r="AK57" s="650"/>
      <c r="AL57" s="650"/>
      <c r="AM57" s="650"/>
      <c r="AN57" s="650"/>
      <c r="AO57" s="650"/>
      <c r="AP57" s="650"/>
      <c r="AQ57" s="650"/>
      <c r="AR57" s="650"/>
      <c r="AS57" s="650"/>
      <c r="AT57" s="650"/>
      <c r="AU57" s="650"/>
      <c r="AV57" s="650"/>
      <c r="AW57" s="650"/>
      <c r="AX57" s="650"/>
      <c r="AY57" s="650"/>
      <c r="AZ57" s="650"/>
      <c r="BA57" s="650"/>
    </row>
    <row r="58" spans="1:53" ht="13.8" thickTop="1" x14ac:dyDescent="0.25">
      <c r="A58" s="738"/>
      <c r="B58" s="42" t="s">
        <v>1276</v>
      </c>
      <c r="C58" s="42" t="s">
        <v>504</v>
      </c>
      <c r="D58" s="654"/>
      <c r="E58" s="364"/>
      <c r="F58" s="364"/>
      <c r="G58" s="364"/>
      <c r="H58" s="364"/>
      <c r="I58" s="364"/>
      <c r="J58" s="364"/>
      <c r="K58" s="364"/>
      <c r="L58" s="364"/>
      <c r="M58" s="364"/>
      <c r="N58" s="364"/>
      <c r="O58" s="364"/>
      <c r="P58" s="740"/>
      <c r="Q58" s="364"/>
      <c r="R58" s="364"/>
      <c r="S58" s="364"/>
      <c r="T58" s="364"/>
      <c r="U58" s="364"/>
      <c r="V58" s="364"/>
      <c r="W58" s="364"/>
      <c r="X58" s="364"/>
      <c r="Y58" s="364"/>
      <c r="Z58" s="364"/>
      <c r="AA58" s="364"/>
      <c r="AB58" s="364"/>
      <c r="AC58" s="364"/>
      <c r="AD58" s="364"/>
      <c r="AE58" s="364"/>
      <c r="AF58" s="364"/>
      <c r="AG58" s="364"/>
      <c r="AH58" s="364"/>
      <c r="AI58" s="364"/>
      <c r="AJ58" s="364"/>
      <c r="AK58" s="364"/>
      <c r="AL58" s="364"/>
      <c r="AM58" s="364"/>
      <c r="AN58" s="364"/>
      <c r="AO58" s="364"/>
      <c r="AP58" s="364"/>
      <c r="AQ58" s="364"/>
      <c r="AR58" s="364"/>
      <c r="AS58" s="364"/>
      <c r="AT58" s="364"/>
      <c r="AU58" s="364"/>
      <c r="AV58" s="364"/>
      <c r="AW58" s="364"/>
      <c r="AX58" s="364"/>
      <c r="AY58" s="364"/>
      <c r="AZ58" s="364"/>
      <c r="BA58" s="364"/>
    </row>
    <row r="59" spans="1:53" x14ac:dyDescent="0.25">
      <c r="A59" s="115"/>
      <c r="B59" s="116" t="s">
        <v>1277</v>
      </c>
      <c r="C59" s="151"/>
      <c r="D59" s="118"/>
      <c r="E59" s="118"/>
      <c r="F59" s="118"/>
      <c r="G59" s="118"/>
      <c r="H59" s="118"/>
      <c r="I59" s="119">
        <f>I60+I61</f>
        <v>127.49808649400001</v>
      </c>
      <c r="J59" s="119">
        <f>J60+J61</f>
        <v>210.69177091500001</v>
      </c>
      <c r="K59" s="119">
        <f t="shared" ref="K59:Z59" si="42">K60+K61</f>
        <v>135.54888223399999</v>
      </c>
      <c r="L59" s="119">
        <f t="shared" si="42"/>
        <v>96.499799276000005</v>
      </c>
      <c r="M59" s="119">
        <f t="shared" si="42"/>
        <v>92.556725446000002</v>
      </c>
      <c r="N59" s="119">
        <f t="shared" si="42"/>
        <v>138.16217737900001</v>
      </c>
      <c r="O59" s="119">
        <f t="shared" si="42"/>
        <v>108.72871470999999</v>
      </c>
      <c r="P59" s="671">
        <f t="shared" si="42"/>
        <v>68.453780408</v>
      </c>
      <c r="Q59" s="172">
        <f t="shared" ca="1" si="42"/>
        <v>191.11594896576673</v>
      </c>
      <c r="R59" s="172">
        <f t="shared" ca="1" si="42"/>
        <v>184.38590949931969</v>
      </c>
      <c r="S59" s="172">
        <f t="shared" ca="1" si="42"/>
        <v>225.29204635272035</v>
      </c>
      <c r="T59" s="172">
        <f t="shared" ca="1" si="42"/>
        <v>248.40765333491822</v>
      </c>
      <c r="U59" s="172">
        <f t="shared" ca="1" si="42"/>
        <v>275.02460444641957</v>
      </c>
      <c r="V59" s="172">
        <f t="shared" ca="1" si="42"/>
        <v>298.38197308682027</v>
      </c>
      <c r="W59" s="172">
        <f t="shared" ca="1" si="42"/>
        <v>342.73539521436214</v>
      </c>
      <c r="X59" s="172">
        <f t="shared" ca="1" si="42"/>
        <v>383.30625169695742</v>
      </c>
      <c r="Y59" s="172">
        <f t="shared" ca="1" si="42"/>
        <v>424.87884490588687</v>
      </c>
      <c r="Z59" s="172">
        <f t="shared" ca="1" si="42"/>
        <v>482.63437434273152</v>
      </c>
      <c r="AA59" s="172"/>
      <c r="AB59" s="173"/>
      <c r="AC59" s="173"/>
      <c r="AD59" s="173"/>
      <c r="AE59" s="173"/>
      <c r="AF59" s="173"/>
      <c r="AG59" s="173"/>
      <c r="AH59" s="173"/>
      <c r="AI59" s="173"/>
      <c r="AJ59" s="173"/>
      <c r="AK59" s="173"/>
      <c r="AL59" s="173"/>
      <c r="AM59" s="173"/>
      <c r="AN59" s="173"/>
      <c r="AO59" s="173"/>
      <c r="AP59" s="173"/>
      <c r="AQ59" s="173"/>
      <c r="AR59" s="173"/>
      <c r="AS59" s="173"/>
      <c r="AT59" s="173"/>
      <c r="AU59" s="173"/>
      <c r="AV59" s="173"/>
      <c r="AW59" s="173"/>
      <c r="AX59" s="173"/>
      <c r="AY59" s="173"/>
      <c r="AZ59" s="173"/>
      <c r="BA59" s="173"/>
    </row>
    <row r="60" spans="1:53" x14ac:dyDescent="0.25">
      <c r="A60" s="676">
        <v>1</v>
      </c>
      <c r="B60" s="741" t="s">
        <v>1278</v>
      </c>
      <c r="C60" s="742" t="s">
        <v>436</v>
      </c>
      <c r="D60" s="696"/>
      <c r="E60" s="696"/>
      <c r="F60" s="696"/>
      <c r="G60" s="696"/>
      <c r="H60" s="696"/>
      <c r="I60" s="697">
        <f>Input!I158</f>
        <v>0</v>
      </c>
      <c r="J60" s="697">
        <f>Input!J158</f>
        <v>0</v>
      </c>
      <c r="K60" s="697">
        <f>Input!K158</f>
        <v>0</v>
      </c>
      <c r="L60" s="697">
        <f>Input!L158</f>
        <v>0</v>
      </c>
      <c r="M60" s="697">
        <f>Input!M158</f>
        <v>0</v>
      </c>
      <c r="N60" s="697">
        <f>Input!N158</f>
        <v>0</v>
      </c>
      <c r="O60" s="697">
        <f>Input!O158</f>
        <v>0</v>
      </c>
      <c r="P60" s="698">
        <f>Input!P158</f>
        <v>0</v>
      </c>
      <c r="Q60" s="699">
        <f ca="1">Input!Q158</f>
        <v>23.534424349970777</v>
      </c>
      <c r="R60" s="699">
        <f ca="1">Input!R158</f>
        <v>9.5553164665857366</v>
      </c>
      <c r="S60" s="699">
        <f ca="1">Input!S158</f>
        <v>2.360131490817821</v>
      </c>
      <c r="T60" s="699">
        <f ca="1">Input!T158</f>
        <v>5.8639847587251097</v>
      </c>
      <c r="U60" s="699">
        <f ca="1">Input!U158</f>
        <v>4.3821408332273677</v>
      </c>
      <c r="V60" s="699">
        <f ca="1">Input!V158</f>
        <v>0.3719321376629523</v>
      </c>
      <c r="W60" s="699">
        <f ca="1">Input!W158</f>
        <v>5.3928636092991837</v>
      </c>
      <c r="X60" s="699">
        <f ca="1">Input!X158</f>
        <v>8.4080566836423714</v>
      </c>
      <c r="Y60" s="699">
        <f ca="1">Input!Y158</f>
        <v>5.6388702754829865</v>
      </c>
      <c r="Z60" s="699">
        <f ca="1">Input!Z158</f>
        <v>8.6808558281463775</v>
      </c>
      <c r="AA60" s="699"/>
      <c r="AB60" s="700"/>
      <c r="AC60" s="700"/>
      <c r="AD60" s="700"/>
      <c r="AE60" s="700"/>
      <c r="AF60" s="700"/>
      <c r="AG60" s="700"/>
      <c r="AH60" s="700"/>
      <c r="AI60" s="700"/>
      <c r="AJ60" s="700"/>
      <c r="AK60" s="700"/>
      <c r="AL60" s="700"/>
      <c r="AM60" s="700"/>
      <c r="AN60" s="700"/>
      <c r="AO60" s="700"/>
      <c r="AP60" s="700"/>
      <c r="AQ60" s="700"/>
      <c r="AR60" s="700"/>
      <c r="AS60" s="700"/>
      <c r="AT60" s="700"/>
      <c r="AU60" s="700"/>
      <c r="AV60" s="700"/>
      <c r="AW60" s="700"/>
      <c r="AX60" s="700"/>
      <c r="AY60" s="700"/>
      <c r="AZ60" s="700"/>
      <c r="BA60" s="700"/>
    </row>
    <row r="61" spans="1:53" x14ac:dyDescent="0.25">
      <c r="A61" s="676">
        <v>2</v>
      </c>
      <c r="B61" s="741" t="s">
        <v>1279</v>
      </c>
      <c r="C61" s="742" t="s">
        <v>437</v>
      </c>
      <c r="D61" s="696"/>
      <c r="E61" s="696"/>
      <c r="F61" s="696"/>
      <c r="G61" s="696"/>
      <c r="H61" s="696"/>
      <c r="I61" s="697">
        <f>+Input!I166</f>
        <v>127.49808649400001</v>
      </c>
      <c r="J61" s="697">
        <f>+Input!J166</f>
        <v>210.69177091500001</v>
      </c>
      <c r="K61" s="697">
        <f>+Input!K166</f>
        <v>135.54888223399999</v>
      </c>
      <c r="L61" s="697">
        <f>+Input!L166</f>
        <v>96.499799276000005</v>
      </c>
      <c r="M61" s="697">
        <f>+Input!M166</f>
        <v>92.556725446000002</v>
      </c>
      <c r="N61" s="697">
        <f>+Input!N166</f>
        <v>138.16217737900001</v>
      </c>
      <c r="O61" s="697">
        <f>+Input!O166</f>
        <v>108.72871470999999</v>
      </c>
      <c r="P61" s="698">
        <f>+Input!P166</f>
        <v>68.453780408</v>
      </c>
      <c r="Q61" s="699">
        <f>+Input!Q166</f>
        <v>167.58152461579596</v>
      </c>
      <c r="R61" s="699">
        <f>+Input!R166</f>
        <v>174.83059303273396</v>
      </c>
      <c r="S61" s="699">
        <f>+Input!S166</f>
        <v>222.93191486190253</v>
      </c>
      <c r="T61" s="699">
        <f>+Input!T166</f>
        <v>242.54366857619311</v>
      </c>
      <c r="U61" s="699">
        <f>+Input!U166</f>
        <v>270.64246361319221</v>
      </c>
      <c r="V61" s="699">
        <f>+Input!V166</f>
        <v>298.01004094915731</v>
      </c>
      <c r="W61" s="699">
        <f>+Input!W166</f>
        <v>337.34253160506296</v>
      </c>
      <c r="X61" s="699">
        <f>+Input!X166</f>
        <v>374.89819501331505</v>
      </c>
      <c r="Y61" s="699">
        <f>+Input!Y166</f>
        <v>419.23997463040388</v>
      </c>
      <c r="Z61" s="699">
        <f>+Input!Z166</f>
        <v>473.95351851458514</v>
      </c>
      <c r="AA61" s="699"/>
      <c r="AB61" s="700"/>
      <c r="AC61" s="700"/>
      <c r="AD61" s="700"/>
      <c r="AE61" s="700"/>
      <c r="AF61" s="700"/>
      <c r="AG61" s="700"/>
      <c r="AH61" s="700"/>
      <c r="AI61" s="700"/>
      <c r="AJ61" s="700"/>
      <c r="AK61" s="700"/>
      <c r="AL61" s="700"/>
      <c r="AM61" s="700"/>
      <c r="AN61" s="700"/>
      <c r="AO61" s="700"/>
      <c r="AP61" s="700"/>
      <c r="AQ61" s="700"/>
      <c r="AR61" s="700"/>
      <c r="AS61" s="700"/>
      <c r="AT61" s="700"/>
      <c r="AU61" s="700"/>
      <c r="AV61" s="700"/>
      <c r="AW61" s="700"/>
      <c r="AX61" s="700"/>
      <c r="AY61" s="700"/>
      <c r="AZ61" s="700"/>
      <c r="BA61" s="700"/>
    </row>
    <row r="62" spans="1:53" x14ac:dyDescent="0.25">
      <c r="A62" s="115">
        <v>3</v>
      </c>
      <c r="B62" s="116" t="s">
        <v>1280</v>
      </c>
      <c r="C62" s="116" t="s">
        <v>519</v>
      </c>
      <c r="D62" s="118"/>
      <c r="E62" s="118"/>
      <c r="F62" s="118"/>
      <c r="G62" s="118"/>
      <c r="H62" s="118"/>
      <c r="I62" s="119">
        <f>+Input!I176</f>
        <v>0.87379810000000002</v>
      </c>
      <c r="J62" s="119">
        <f>+Input!J176</f>
        <v>110.0013933</v>
      </c>
      <c r="K62" s="119">
        <f>+Input!K176</f>
        <v>274.11239330000001</v>
      </c>
      <c r="L62" s="119">
        <f>+Input!L176</f>
        <v>313.80139329999997</v>
      </c>
      <c r="M62" s="119">
        <f>+Input!M176</f>
        <v>222.70139330000001</v>
      </c>
      <c r="N62" s="119">
        <f>+Input!N176</f>
        <v>113.9413933</v>
      </c>
      <c r="O62" s="119">
        <f>+Input!O176</f>
        <v>93.341393299999993</v>
      </c>
      <c r="P62" s="671">
        <f>+Input!P176</f>
        <v>139.20139330000001</v>
      </c>
      <c r="Q62" s="172">
        <f>+Input!Q176</f>
        <v>138.75912513857048</v>
      </c>
      <c r="R62" s="172">
        <f>+Input!R176</f>
        <v>152.06115390134735</v>
      </c>
      <c r="S62" s="172">
        <f>+Input!S176</f>
        <v>302.97251636497458</v>
      </c>
      <c r="T62" s="172">
        <f>+Input!T176</f>
        <v>411.97276747265255</v>
      </c>
      <c r="U62" s="172">
        <f>+Input!U176</f>
        <v>509.97540868564045</v>
      </c>
      <c r="V62" s="172">
        <f>+Input!V176</f>
        <v>700.16452846153436</v>
      </c>
      <c r="W62" s="172">
        <f>+Input!W176</f>
        <v>762.94579446204591</v>
      </c>
      <c r="X62" s="172">
        <f>+Input!X176</f>
        <v>863.73110692340094</v>
      </c>
      <c r="Y62" s="172">
        <f>+Input!Y176</f>
        <v>1033.277942433089</v>
      </c>
      <c r="Z62" s="172">
        <f>+Input!Z176</f>
        <v>1141.2119112502442</v>
      </c>
      <c r="AA62" s="172"/>
      <c r="AB62" s="173"/>
      <c r="AC62" s="173"/>
      <c r="AD62" s="173"/>
      <c r="AE62" s="173"/>
      <c r="AF62" s="173"/>
      <c r="AG62" s="173"/>
      <c r="AH62" s="173"/>
      <c r="AI62" s="173"/>
      <c r="AJ62" s="173"/>
      <c r="AK62" s="173"/>
      <c r="AL62" s="173"/>
      <c r="AM62" s="173"/>
      <c r="AN62" s="173"/>
      <c r="AO62" s="173"/>
      <c r="AP62" s="173"/>
      <c r="AQ62" s="173"/>
      <c r="AR62" s="173"/>
      <c r="AS62" s="173"/>
      <c r="AT62" s="173"/>
      <c r="AU62" s="173"/>
      <c r="AV62" s="173"/>
      <c r="AW62" s="173"/>
      <c r="AX62" s="173"/>
      <c r="AY62" s="173"/>
      <c r="AZ62" s="173"/>
      <c r="BA62" s="173"/>
    </row>
    <row r="63" spans="1:53" x14ac:dyDescent="0.25">
      <c r="A63" s="115">
        <v>4</v>
      </c>
      <c r="B63" s="116" t="s">
        <v>1281</v>
      </c>
      <c r="C63" s="116" t="s">
        <v>538</v>
      </c>
      <c r="D63" s="118"/>
      <c r="E63" s="118"/>
      <c r="F63" s="118"/>
      <c r="G63" s="118"/>
      <c r="H63" s="118"/>
      <c r="I63" s="119">
        <f>+Input!I195</f>
        <v>276.91296378800001</v>
      </c>
      <c r="J63" s="119">
        <f>+Input!J195</f>
        <v>272.48071712900003</v>
      </c>
      <c r="K63" s="119">
        <f>+Input!K195</f>
        <v>372.12791607899999</v>
      </c>
      <c r="L63" s="119">
        <f>+Input!L195</f>
        <v>405.93247588899999</v>
      </c>
      <c r="M63" s="119">
        <f>+Input!M195</f>
        <v>428.87786572300001</v>
      </c>
      <c r="N63" s="119">
        <f>+Input!N195</f>
        <v>445.14765052600001</v>
      </c>
      <c r="O63" s="119">
        <f>+Input!O195</f>
        <v>412.70150758099999</v>
      </c>
      <c r="P63" s="671">
        <f>+Input!P195</f>
        <v>503.84008486900001</v>
      </c>
      <c r="Q63" s="172">
        <f>+Input!Q195</f>
        <v>572.82357689960418</v>
      </c>
      <c r="R63" s="172">
        <f>+Input!R195</f>
        <v>598.14746762461095</v>
      </c>
      <c r="S63" s="172">
        <f>+Input!S195</f>
        <v>752.34990253173862</v>
      </c>
      <c r="T63" s="172">
        <f>+Input!T195</f>
        <v>805.39944420353106</v>
      </c>
      <c r="U63" s="172">
        <f>+Input!U195</f>
        <v>849.39502387910159</v>
      </c>
      <c r="V63" s="172">
        <f>+Input!V195</f>
        <v>888.19070163333072</v>
      </c>
      <c r="W63" s="172">
        <f>+Input!W195</f>
        <v>940.91330541636978</v>
      </c>
      <c r="X63" s="172">
        <f>+Input!X195</f>
        <v>1059.6768423842466</v>
      </c>
      <c r="Y63" s="172">
        <f>+Input!Y195</f>
        <v>1097.5668314950244</v>
      </c>
      <c r="Z63" s="172">
        <f>+Input!Z195</f>
        <v>1174.3988615060002</v>
      </c>
      <c r="AA63" s="172"/>
      <c r="AB63" s="173"/>
      <c r="AC63" s="173"/>
      <c r="AD63" s="173"/>
      <c r="AE63" s="173"/>
      <c r="AF63" s="173"/>
      <c r="AG63" s="173"/>
      <c r="AH63" s="173"/>
      <c r="AI63" s="173"/>
      <c r="AJ63" s="173"/>
      <c r="AK63" s="173"/>
      <c r="AL63" s="173"/>
      <c r="AM63" s="173"/>
      <c r="AN63" s="173"/>
      <c r="AO63" s="173"/>
      <c r="AP63" s="173"/>
      <c r="AQ63" s="173"/>
      <c r="AR63" s="173"/>
      <c r="AS63" s="173"/>
      <c r="AT63" s="173"/>
      <c r="AU63" s="173"/>
      <c r="AV63" s="173"/>
      <c r="AW63" s="173"/>
      <c r="AX63" s="173"/>
      <c r="AY63" s="173"/>
      <c r="AZ63" s="173"/>
      <c r="BA63" s="173"/>
    </row>
    <row r="64" spans="1:53" x14ac:dyDescent="0.25">
      <c r="A64" s="115">
        <v>5</v>
      </c>
      <c r="B64" s="116" t="s">
        <v>253</v>
      </c>
      <c r="C64" s="116" t="s">
        <v>555</v>
      </c>
      <c r="D64" s="118"/>
      <c r="E64" s="118"/>
      <c r="F64" s="118"/>
      <c r="G64" s="118"/>
      <c r="H64" s="118"/>
      <c r="I64" s="119">
        <f>Input!I207</f>
        <v>324.83474644699999</v>
      </c>
      <c r="J64" s="119">
        <f>Input!J207</f>
        <v>174.19409459400001</v>
      </c>
      <c r="K64" s="119">
        <f>Input!K207</f>
        <v>231.11905704200001</v>
      </c>
      <c r="L64" s="119">
        <f>Input!L207</f>
        <v>289.89675649999998</v>
      </c>
      <c r="M64" s="119">
        <f>Input!M207</f>
        <v>269.72904185800002</v>
      </c>
      <c r="N64" s="119">
        <f>Input!N207</f>
        <v>312.96735966799997</v>
      </c>
      <c r="O64" s="119">
        <f>Input!O207</f>
        <v>214.908006156</v>
      </c>
      <c r="P64" s="671">
        <f>Input!P207</f>
        <v>254.08388323599999</v>
      </c>
      <c r="Q64" s="172">
        <f>Input!Q207</f>
        <v>279.53627052781201</v>
      </c>
      <c r="R64" s="172">
        <f>Input!R207</f>
        <v>295.0459279210894</v>
      </c>
      <c r="S64" s="172">
        <f>Input!S207</f>
        <v>357.86382579332451</v>
      </c>
      <c r="T64" s="172">
        <f>Input!T207</f>
        <v>374.69236941012321</v>
      </c>
      <c r="U64" s="172">
        <f>Input!U207</f>
        <v>389.44837566541253</v>
      </c>
      <c r="V64" s="172">
        <f>Input!V207</f>
        <v>404.60879143637635</v>
      </c>
      <c r="W64" s="172">
        <f>Input!W207</f>
        <v>422.97449415958044</v>
      </c>
      <c r="X64" s="172">
        <f>Input!X207</f>
        <v>522.85643576070822</v>
      </c>
      <c r="Y64" s="172">
        <f>Input!Y207</f>
        <v>543.47876635677051</v>
      </c>
      <c r="Z64" s="172">
        <f>Input!Z207</f>
        <v>584.62027626658403</v>
      </c>
      <c r="AA64" s="172"/>
      <c r="AB64" s="173"/>
      <c r="AC64" s="173"/>
      <c r="AD64" s="173"/>
      <c r="AE64" s="173"/>
      <c r="AF64" s="173"/>
      <c r="AG64" s="173"/>
      <c r="AH64" s="173"/>
      <c r="AI64" s="173"/>
      <c r="AJ64" s="173"/>
      <c r="AK64" s="173"/>
      <c r="AL64" s="173"/>
      <c r="AM64" s="173"/>
      <c r="AN64" s="173"/>
      <c r="AO64" s="173"/>
      <c r="AP64" s="173"/>
      <c r="AQ64" s="173"/>
      <c r="AR64" s="173"/>
      <c r="AS64" s="173"/>
      <c r="AT64" s="173"/>
      <c r="AU64" s="173"/>
      <c r="AV64" s="173"/>
      <c r="AW64" s="173"/>
      <c r="AX64" s="173"/>
      <c r="AY64" s="173"/>
      <c r="AZ64" s="173"/>
      <c r="BA64" s="173"/>
    </row>
    <row r="65" spans="1:55" x14ac:dyDescent="0.25">
      <c r="A65" s="115">
        <v>6</v>
      </c>
      <c r="B65" s="116" t="s">
        <v>1282</v>
      </c>
      <c r="C65" s="116" t="s">
        <v>557</v>
      </c>
      <c r="D65" s="118"/>
      <c r="E65" s="118"/>
      <c r="F65" s="118"/>
      <c r="G65" s="118"/>
      <c r="H65" s="118"/>
      <c r="I65" s="119">
        <f>Input!I211</f>
        <v>26.330682211999999</v>
      </c>
      <c r="J65" s="119">
        <f>Input!J211</f>
        <v>5.1983805390000004</v>
      </c>
      <c r="K65" s="119">
        <f>Input!K211</f>
        <v>10.231771902</v>
      </c>
      <c r="L65" s="119">
        <f>Input!L211</f>
        <v>9.2872817459999997</v>
      </c>
      <c r="M65" s="119">
        <f>Input!M211</f>
        <v>7.3721254580000002</v>
      </c>
      <c r="N65" s="119">
        <f>Input!N211</f>
        <v>18.589657922000001</v>
      </c>
      <c r="O65" s="119">
        <f>Input!O211</f>
        <v>6.1661140559999996</v>
      </c>
      <c r="P65" s="671">
        <f>Input!P211</f>
        <v>6.7313965429999998</v>
      </c>
      <c r="Q65" s="172">
        <f>Input!Q211</f>
        <v>7.2329343463726641</v>
      </c>
      <c r="R65" s="172">
        <f>Input!R211</f>
        <v>7.5458091459801038</v>
      </c>
      <c r="S65" s="172">
        <f>Input!S211</f>
        <v>9.526629127117296</v>
      </c>
      <c r="T65" s="172">
        <f>Input!T211</f>
        <v>10.161475688212704</v>
      </c>
      <c r="U65" s="172">
        <f>Input!U211</f>
        <v>10.798749808044072</v>
      </c>
      <c r="V65" s="172">
        <f>Input!V211</f>
        <v>11.324502689712517</v>
      </c>
      <c r="W65" s="172">
        <f>Input!W211</f>
        <v>11.980517123656828</v>
      </c>
      <c r="X65" s="172">
        <f>Input!X211</f>
        <v>12.44325600250356</v>
      </c>
      <c r="Y65" s="172">
        <f>Input!Y211</f>
        <v>12.944190878084225</v>
      </c>
      <c r="Z65" s="172">
        <f>Input!Z211</f>
        <v>13.487089392475824</v>
      </c>
      <c r="AA65" s="172"/>
      <c r="AB65" s="173"/>
      <c r="AC65" s="173"/>
      <c r="AD65" s="173"/>
      <c r="AE65" s="173"/>
      <c r="AF65" s="173"/>
      <c r="AG65" s="173"/>
      <c r="AH65" s="173"/>
      <c r="AI65" s="173"/>
      <c r="AJ65" s="173"/>
      <c r="AK65" s="173"/>
      <c r="AL65" s="173"/>
      <c r="AM65" s="173"/>
      <c r="AN65" s="173"/>
      <c r="AO65" s="173"/>
      <c r="AP65" s="173"/>
      <c r="AQ65" s="173"/>
      <c r="AR65" s="173"/>
      <c r="AS65" s="173"/>
      <c r="AT65" s="173"/>
      <c r="AU65" s="173"/>
      <c r="AV65" s="173"/>
      <c r="AW65" s="173"/>
      <c r="AX65" s="173"/>
      <c r="AY65" s="173"/>
      <c r="AZ65" s="173"/>
      <c r="BA65" s="173"/>
    </row>
    <row r="66" spans="1:55" x14ac:dyDescent="0.25">
      <c r="A66" s="115"/>
      <c r="B66" s="133" t="s">
        <v>1283</v>
      </c>
      <c r="C66" s="133" t="s">
        <v>1284</v>
      </c>
      <c r="D66" s="166"/>
      <c r="E66" s="166"/>
      <c r="F66" s="166"/>
      <c r="G66" s="166"/>
      <c r="H66" s="166"/>
      <c r="I66" s="167">
        <f>SUM(I62:I65)+I59</f>
        <v>756.45027704100016</v>
      </c>
      <c r="J66" s="167">
        <f>SUM(J62:J65)+J59</f>
        <v>772.56635647700011</v>
      </c>
      <c r="K66" s="167">
        <f t="shared" ref="K66:Z66" si="43">SUM(K62:K65)+K59</f>
        <v>1023.140020557</v>
      </c>
      <c r="L66" s="167">
        <f t="shared" si="43"/>
        <v>1115.4177067109999</v>
      </c>
      <c r="M66" s="167">
        <f t="shared" si="43"/>
        <v>1021.2371517850002</v>
      </c>
      <c r="N66" s="167">
        <f t="shared" si="43"/>
        <v>1028.8082387949999</v>
      </c>
      <c r="O66" s="167">
        <f t="shared" si="43"/>
        <v>835.84573580299991</v>
      </c>
      <c r="P66" s="743">
        <f t="shared" si="43"/>
        <v>972.31053835600005</v>
      </c>
      <c r="Q66" s="168">
        <f t="shared" ca="1" si="43"/>
        <v>1189.4678558781261</v>
      </c>
      <c r="R66" s="168">
        <f t="shared" ca="1" si="43"/>
        <v>1237.1862680923475</v>
      </c>
      <c r="S66" s="168">
        <f t="shared" ca="1" si="43"/>
        <v>1648.0049201698753</v>
      </c>
      <c r="T66" s="168">
        <f t="shared" ca="1" si="43"/>
        <v>1850.633710109438</v>
      </c>
      <c r="U66" s="168">
        <f t="shared" ca="1" si="43"/>
        <v>2034.642162484618</v>
      </c>
      <c r="V66" s="168">
        <f t="shared" ca="1" si="43"/>
        <v>2302.670497307774</v>
      </c>
      <c r="W66" s="168">
        <f t="shared" ca="1" si="43"/>
        <v>2481.549506376015</v>
      </c>
      <c r="X66" s="168">
        <f t="shared" ca="1" si="43"/>
        <v>2842.0138927678167</v>
      </c>
      <c r="Y66" s="168">
        <f t="shared" ca="1" si="43"/>
        <v>3112.1465760688552</v>
      </c>
      <c r="Z66" s="168">
        <f t="shared" ca="1" si="43"/>
        <v>3396.3525127580356</v>
      </c>
      <c r="AA66" s="168"/>
      <c r="AB66" s="169"/>
      <c r="AC66" s="169"/>
      <c r="AD66" s="169"/>
      <c r="AE66" s="169"/>
      <c r="AF66" s="169"/>
      <c r="AG66" s="169"/>
      <c r="AH66" s="169"/>
      <c r="AI66" s="169"/>
      <c r="AJ66" s="169"/>
      <c r="AK66" s="169"/>
      <c r="AL66" s="169"/>
      <c r="AM66" s="169"/>
      <c r="AN66" s="169"/>
      <c r="AO66" s="169"/>
      <c r="AP66" s="169"/>
      <c r="AQ66" s="169"/>
      <c r="AR66" s="169"/>
      <c r="AS66" s="169"/>
      <c r="AT66" s="169"/>
      <c r="AU66" s="169"/>
      <c r="AV66" s="169"/>
      <c r="AW66" s="169"/>
      <c r="AX66" s="169"/>
      <c r="AY66" s="169"/>
      <c r="AZ66" s="169"/>
      <c r="BA66" s="169"/>
    </row>
    <row r="67" spans="1:55" s="746" customFormat="1" x14ac:dyDescent="0.25">
      <c r="A67" s="676"/>
      <c r="B67" s="458" t="s">
        <v>1274</v>
      </c>
      <c r="C67" s="744"/>
      <c r="D67" s="542"/>
      <c r="E67" s="542"/>
      <c r="F67" s="542"/>
      <c r="G67" s="542"/>
      <c r="H67" s="542"/>
      <c r="I67" s="543">
        <f>I66-Input!I214</f>
        <v>0</v>
      </c>
      <c r="J67" s="543">
        <f>J66-Input!J214</f>
        <v>0</v>
      </c>
      <c r="K67" s="543">
        <f>K66-Input!K214</f>
        <v>0</v>
      </c>
      <c r="L67" s="543">
        <f>L66-Input!L214</f>
        <v>0</v>
      </c>
      <c r="M67" s="543">
        <f>M66-Input!M214</f>
        <v>0</v>
      </c>
      <c r="N67" s="543">
        <f>N66-Input!N214</f>
        <v>0</v>
      </c>
      <c r="O67" s="543">
        <f>O66-Input!O214</f>
        <v>0</v>
      </c>
      <c r="P67" s="745">
        <f>P66-Input!P214</f>
        <v>0</v>
      </c>
      <c r="Q67" s="1880">
        <f ca="1">Q66-Input!Q214</f>
        <v>0</v>
      </c>
      <c r="R67" s="1880">
        <f ca="1">R66-Input!R214</f>
        <v>0</v>
      </c>
      <c r="S67" s="1880">
        <f ca="1">S66-Input!S214</f>
        <v>0</v>
      </c>
      <c r="T67" s="1880">
        <f ca="1">T66-Input!T214</f>
        <v>0</v>
      </c>
      <c r="U67" s="1880">
        <f ca="1">U66-Input!U214</f>
        <v>0</v>
      </c>
      <c r="V67" s="1880">
        <f ca="1">V66-Input!V214</f>
        <v>0</v>
      </c>
      <c r="W67" s="1880">
        <f ca="1">W66-Input!W214</f>
        <v>0</v>
      </c>
      <c r="X67" s="1880">
        <f ca="1">X66-Input!X214</f>
        <v>0</v>
      </c>
      <c r="Y67" s="1880">
        <f ca="1">Y66-Input!Y214</f>
        <v>0</v>
      </c>
      <c r="Z67" s="1880">
        <f ca="1">Z66-Input!Z214</f>
        <v>0</v>
      </c>
      <c r="AA67" s="1880"/>
      <c r="AB67" s="1896"/>
      <c r="AC67" s="1896"/>
      <c r="AD67" s="1896"/>
      <c r="AE67" s="1896"/>
      <c r="AF67" s="1896"/>
      <c r="AG67" s="1896"/>
      <c r="AH67" s="1896"/>
      <c r="AI67" s="1896"/>
      <c r="AJ67" s="1896"/>
      <c r="AK67" s="1896"/>
      <c r="AL67" s="1896"/>
      <c r="AM67" s="1896"/>
      <c r="AN67" s="1896"/>
      <c r="AO67" s="1896"/>
      <c r="AP67" s="1896"/>
      <c r="AQ67" s="1896"/>
      <c r="AR67" s="1896"/>
      <c r="AS67" s="542"/>
      <c r="AT67" s="542"/>
      <c r="AU67" s="542"/>
      <c r="AV67" s="542"/>
      <c r="AW67" s="542"/>
      <c r="AX67" s="542"/>
      <c r="AY67" s="542"/>
      <c r="AZ67" s="542"/>
      <c r="BA67" s="542"/>
    </row>
    <row r="68" spans="1:55" x14ac:dyDescent="0.25">
      <c r="A68" s="658"/>
      <c r="B68" s="730"/>
      <c r="C68" s="747"/>
      <c r="D68" s="748"/>
      <c r="E68" s="748"/>
      <c r="F68" s="748"/>
      <c r="G68" s="748"/>
      <c r="H68" s="748"/>
      <c r="I68" s="748"/>
      <c r="J68" s="748"/>
      <c r="K68" s="748"/>
      <c r="L68" s="748"/>
      <c r="M68" s="748"/>
      <c r="N68" s="748"/>
      <c r="O68" s="748"/>
      <c r="P68" s="749"/>
      <c r="Q68" s="748"/>
      <c r="R68" s="748"/>
      <c r="S68" s="748"/>
      <c r="T68" s="748"/>
      <c r="U68" s="748"/>
      <c r="V68" s="748"/>
      <c r="W68" s="748"/>
      <c r="X68" s="748"/>
      <c r="Y68" s="748"/>
      <c r="Z68" s="748"/>
      <c r="AA68" s="748"/>
      <c r="AB68" s="748"/>
      <c r="AC68" s="748"/>
      <c r="AD68" s="748"/>
      <c r="AE68" s="748"/>
      <c r="AF68" s="748"/>
      <c r="AG68" s="748"/>
      <c r="AH68" s="748"/>
      <c r="AI68" s="748"/>
      <c r="AJ68" s="748"/>
      <c r="AK68" s="748"/>
      <c r="AL68" s="748"/>
      <c r="AM68" s="748"/>
      <c r="AN68" s="748"/>
      <c r="AO68" s="748"/>
      <c r="AP68" s="748"/>
      <c r="AQ68" s="748"/>
      <c r="AR68" s="748"/>
      <c r="AS68" s="748"/>
      <c r="AT68" s="748"/>
      <c r="AU68" s="748"/>
      <c r="AV68" s="748"/>
      <c r="AW68" s="748"/>
      <c r="AX68" s="748"/>
      <c r="AY68" s="748"/>
      <c r="AZ68" s="748"/>
      <c r="BA68" s="748"/>
    </row>
    <row r="69" spans="1:55" x14ac:dyDescent="0.25">
      <c r="A69" s="115">
        <v>7</v>
      </c>
      <c r="B69" s="116" t="s">
        <v>1285</v>
      </c>
      <c r="C69" s="116"/>
      <c r="D69" s="118"/>
      <c r="E69" s="118"/>
      <c r="F69" s="118"/>
      <c r="G69" s="118"/>
      <c r="H69" s="118"/>
      <c r="I69" s="119">
        <f>+Input!I220</f>
        <v>3.6021565500000001</v>
      </c>
      <c r="J69" s="119">
        <f>+Input!J220</f>
        <v>0</v>
      </c>
      <c r="K69" s="119">
        <f>+Input!K220</f>
        <v>0</v>
      </c>
      <c r="L69" s="119">
        <f>+Input!L220</f>
        <v>0</v>
      </c>
      <c r="M69" s="119">
        <f>+Input!M220</f>
        <v>0</v>
      </c>
      <c r="N69" s="119">
        <f>+Input!N220</f>
        <v>0</v>
      </c>
      <c r="O69" s="119">
        <f>+Input!O220</f>
        <v>0</v>
      </c>
      <c r="P69" s="671">
        <f>+Input!P220</f>
        <v>0</v>
      </c>
      <c r="Q69" s="172">
        <f>+Input!Q220</f>
        <v>0</v>
      </c>
      <c r="R69" s="172">
        <f>+Input!R220</f>
        <v>0</v>
      </c>
      <c r="S69" s="172">
        <f>+Input!S220</f>
        <v>0</v>
      </c>
      <c r="T69" s="172">
        <f>+Input!T220</f>
        <v>0</v>
      </c>
      <c r="U69" s="172">
        <f>+Input!U220</f>
        <v>0</v>
      </c>
      <c r="V69" s="172">
        <f>+Input!V220</f>
        <v>0</v>
      </c>
      <c r="W69" s="172">
        <f>+Input!W220</f>
        <v>0</v>
      </c>
      <c r="X69" s="172">
        <f>+Input!X220</f>
        <v>0</v>
      </c>
      <c r="Y69" s="172">
        <f>+Input!Y220</f>
        <v>0</v>
      </c>
      <c r="Z69" s="172">
        <f>+Input!Z220</f>
        <v>0</v>
      </c>
      <c r="AA69" s="172"/>
      <c r="AB69" s="173"/>
      <c r="AC69" s="173"/>
      <c r="AD69" s="173"/>
      <c r="AE69" s="173"/>
      <c r="AF69" s="173"/>
      <c r="AG69" s="173"/>
      <c r="AH69" s="173"/>
      <c r="AI69" s="173"/>
      <c r="AJ69" s="173"/>
      <c r="AK69" s="173"/>
      <c r="AL69" s="173"/>
      <c r="AM69" s="173"/>
      <c r="AN69" s="173"/>
      <c r="AO69" s="173"/>
      <c r="AP69" s="173"/>
      <c r="AQ69" s="173"/>
      <c r="AR69" s="173"/>
      <c r="AS69" s="173"/>
      <c r="AT69" s="173"/>
      <c r="AU69" s="173"/>
      <c r="AV69" s="173"/>
      <c r="AW69" s="173"/>
      <c r="AX69" s="173"/>
      <c r="AY69" s="173"/>
      <c r="AZ69" s="173"/>
      <c r="BA69" s="173"/>
      <c r="BC69" s="750"/>
    </row>
    <row r="70" spans="1:55" x14ac:dyDescent="0.25">
      <c r="A70" s="115">
        <v>8</v>
      </c>
      <c r="B70" s="116" t="s">
        <v>1286</v>
      </c>
      <c r="C70" s="116" t="s">
        <v>564</v>
      </c>
      <c r="D70" s="118"/>
      <c r="E70" s="118"/>
      <c r="F70" s="118"/>
      <c r="G70" s="118"/>
      <c r="H70" s="118"/>
      <c r="I70" s="119">
        <f>Input!I226</f>
        <v>282.51646337599999</v>
      </c>
      <c r="J70" s="119">
        <f>Input!J226</f>
        <v>125.594233461</v>
      </c>
      <c r="K70" s="119">
        <f>Input!K226</f>
        <v>182.48230903199999</v>
      </c>
      <c r="L70" s="119">
        <f>Input!L226</f>
        <v>194.57393710100001</v>
      </c>
      <c r="M70" s="119">
        <f>Input!M226</f>
        <v>167.89683991199999</v>
      </c>
      <c r="N70" s="119">
        <f>Input!N226</f>
        <v>180.25860729600001</v>
      </c>
      <c r="O70" s="119">
        <f>Input!O226</f>
        <v>186.89107758700001</v>
      </c>
      <c r="P70" s="671">
        <f>Input!P226</f>
        <v>186.673965065</v>
      </c>
      <c r="Q70" s="172">
        <f>Input!Q226</f>
        <v>485.92606025099178</v>
      </c>
      <c r="R70" s="172">
        <f>Input!R226</f>
        <v>668.83970554198891</v>
      </c>
      <c r="S70" s="172">
        <f>Input!S226</f>
        <v>601.97647248121837</v>
      </c>
      <c r="T70" s="172">
        <f>Input!T226</f>
        <v>585.25042115631379</v>
      </c>
      <c r="U70" s="172">
        <f>Input!U226</f>
        <v>572.00304492844487</v>
      </c>
      <c r="V70" s="172">
        <f>Input!V226</f>
        <v>556.18033294453448</v>
      </c>
      <c r="W70" s="172">
        <f>Input!W226</f>
        <v>538.8206111294719</v>
      </c>
      <c r="X70" s="172">
        <f>Input!X226</f>
        <v>500.60122966151357</v>
      </c>
      <c r="Y70" s="172">
        <f>Input!Y226</f>
        <v>457.28720100496798</v>
      </c>
      <c r="Z70" s="172">
        <f>Input!Z226</f>
        <v>408.8170617873343</v>
      </c>
      <c r="AA70" s="172"/>
      <c r="AB70" s="173"/>
      <c r="AC70" s="173"/>
      <c r="AD70" s="173"/>
      <c r="AE70" s="173"/>
      <c r="AF70" s="173"/>
      <c r="AG70" s="173"/>
      <c r="AH70" s="173"/>
      <c r="AI70" s="173"/>
      <c r="AJ70" s="173"/>
      <c r="AK70" s="173"/>
      <c r="AL70" s="173"/>
      <c r="AM70" s="173"/>
      <c r="AN70" s="173"/>
      <c r="AO70" s="173"/>
      <c r="AP70" s="173"/>
      <c r="AQ70" s="173"/>
      <c r="AR70" s="173"/>
      <c r="AS70" s="173"/>
      <c r="AT70" s="173"/>
      <c r="AU70" s="173"/>
      <c r="AV70" s="173"/>
      <c r="AW70" s="173"/>
      <c r="AX70" s="173"/>
      <c r="AY70" s="173"/>
      <c r="AZ70" s="173"/>
      <c r="BA70" s="173"/>
    </row>
    <row r="71" spans="1:55" x14ac:dyDescent="0.25">
      <c r="A71" s="115">
        <v>9</v>
      </c>
      <c r="B71" s="116" t="s">
        <v>1287</v>
      </c>
      <c r="C71" s="116" t="s">
        <v>567</v>
      </c>
      <c r="D71" s="118"/>
      <c r="E71" s="118"/>
      <c r="F71" s="118"/>
      <c r="G71" s="118"/>
      <c r="H71" s="118"/>
      <c r="I71" s="119">
        <f>Input!I232</f>
        <v>8.8595820219999997</v>
      </c>
      <c r="J71" s="119">
        <f>Input!J232</f>
        <v>42.673317292999997</v>
      </c>
      <c r="K71" s="119">
        <f>Input!K232</f>
        <v>53.282406113</v>
      </c>
      <c r="L71" s="119">
        <f>Input!L232</f>
        <v>52.352153712000003</v>
      </c>
      <c r="M71" s="119">
        <f>Input!M232</f>
        <v>50.964732112999997</v>
      </c>
      <c r="N71" s="119">
        <f>Input!N232</f>
        <v>56.413717118999998</v>
      </c>
      <c r="O71" s="119">
        <f>Input!O232</f>
        <v>61.731483842000003</v>
      </c>
      <c r="P71" s="671">
        <f>Input!P232</f>
        <v>60.411372448999998</v>
      </c>
      <c r="Q71" s="172">
        <f>Input!Q232</f>
        <v>81.448290950933796</v>
      </c>
      <c r="R71" s="172">
        <f>Input!R232</f>
        <v>96.751574144388812</v>
      </c>
      <c r="S71" s="172">
        <f>Input!S232</f>
        <v>97.244012274527918</v>
      </c>
      <c r="T71" s="172">
        <f>Input!T232</f>
        <v>98.140489437499582</v>
      </c>
      <c r="U71" s="172">
        <f>Input!U232</f>
        <v>98.724828121450685</v>
      </c>
      <c r="V71" s="172">
        <f>Input!V232</f>
        <v>99.515047181474415</v>
      </c>
      <c r="W71" s="172">
        <f>Input!W232</f>
        <v>100.60700538177393</v>
      </c>
      <c r="X71" s="172">
        <f>Input!X232</f>
        <v>100.77989720398247</v>
      </c>
      <c r="Y71" s="172">
        <f>Input!Y232</f>
        <v>101.00141777118925</v>
      </c>
      <c r="Z71" s="172">
        <f>Input!Z232</f>
        <v>101.28366593084871</v>
      </c>
      <c r="AA71" s="172"/>
      <c r="AB71" s="173"/>
      <c r="AC71" s="173"/>
      <c r="AD71" s="173"/>
      <c r="AE71" s="173"/>
      <c r="AF71" s="173"/>
      <c r="AG71" s="173"/>
      <c r="AH71" s="173"/>
      <c r="AI71" s="173"/>
      <c r="AJ71" s="173"/>
      <c r="AK71" s="173"/>
      <c r="AL71" s="173"/>
      <c r="AM71" s="173"/>
      <c r="AN71" s="173"/>
      <c r="AO71" s="173"/>
      <c r="AP71" s="173"/>
      <c r="AQ71" s="173"/>
      <c r="AR71" s="173"/>
      <c r="AS71" s="173"/>
      <c r="AT71" s="173"/>
      <c r="AU71" s="173"/>
      <c r="AV71" s="173"/>
      <c r="AW71" s="173"/>
      <c r="AX71" s="173"/>
      <c r="AY71" s="173"/>
      <c r="AZ71" s="173"/>
      <c r="BA71" s="173"/>
    </row>
    <row r="72" spans="1:55" x14ac:dyDescent="0.25">
      <c r="A72" s="115">
        <v>10</v>
      </c>
      <c r="B72" s="116" t="s">
        <v>1288</v>
      </c>
      <c r="C72" s="116"/>
      <c r="D72" s="118"/>
      <c r="E72" s="118"/>
      <c r="F72" s="118"/>
      <c r="G72" s="118"/>
      <c r="H72" s="118"/>
      <c r="I72" s="119">
        <f>Input!I238</f>
        <v>0</v>
      </c>
      <c r="J72" s="119">
        <f>Input!J238</f>
        <v>0</v>
      </c>
      <c r="K72" s="119">
        <f>Input!K238</f>
        <v>0</v>
      </c>
      <c r="L72" s="119">
        <f>Input!L238</f>
        <v>0</v>
      </c>
      <c r="M72" s="119">
        <f>Input!M238</f>
        <v>0</v>
      </c>
      <c r="N72" s="119">
        <f>Input!N238</f>
        <v>0</v>
      </c>
      <c r="O72" s="119">
        <f>Input!O238</f>
        <v>0</v>
      </c>
      <c r="P72" s="671">
        <f>Input!P238</f>
        <v>0</v>
      </c>
      <c r="Q72" s="172">
        <f>Input!Q238</f>
        <v>0</v>
      </c>
      <c r="R72" s="172">
        <f>Input!R238</f>
        <v>0</v>
      </c>
      <c r="S72" s="172">
        <f>Input!S238</f>
        <v>0</v>
      </c>
      <c r="T72" s="172">
        <f>Input!T238</f>
        <v>0</v>
      </c>
      <c r="U72" s="172">
        <f>Input!U238</f>
        <v>0</v>
      </c>
      <c r="V72" s="172">
        <f>Input!V238</f>
        <v>0</v>
      </c>
      <c r="W72" s="172">
        <f>Input!W238</f>
        <v>0</v>
      </c>
      <c r="X72" s="172">
        <f>Input!X238</f>
        <v>0</v>
      </c>
      <c r="Y72" s="172">
        <f>Input!Y238</f>
        <v>0</v>
      </c>
      <c r="Z72" s="172">
        <f>Input!Z238</f>
        <v>0</v>
      </c>
      <c r="AA72" s="172"/>
      <c r="AB72" s="173"/>
      <c r="AC72" s="173"/>
      <c r="AD72" s="173"/>
      <c r="AE72" s="173"/>
      <c r="AF72" s="173"/>
      <c r="AG72" s="173"/>
      <c r="AH72" s="173"/>
      <c r="AI72" s="173"/>
      <c r="AJ72" s="173"/>
      <c r="AK72" s="173"/>
      <c r="AL72" s="173"/>
      <c r="AM72" s="173"/>
      <c r="AN72" s="173"/>
      <c r="AO72" s="173"/>
      <c r="AP72" s="173"/>
      <c r="AQ72" s="173"/>
      <c r="AR72" s="173"/>
      <c r="AS72" s="173"/>
      <c r="AT72" s="173"/>
      <c r="AU72" s="173"/>
      <c r="AV72" s="173"/>
      <c r="AW72" s="173"/>
      <c r="AX72" s="173"/>
      <c r="AY72" s="173"/>
      <c r="AZ72" s="173"/>
      <c r="BA72" s="173"/>
    </row>
    <row r="73" spans="1:55" x14ac:dyDescent="0.25">
      <c r="A73" s="115">
        <v>11</v>
      </c>
      <c r="B73" s="116" t="s">
        <v>1289</v>
      </c>
      <c r="C73" s="116"/>
      <c r="D73" s="118"/>
      <c r="E73" s="118"/>
      <c r="F73" s="118"/>
      <c r="G73" s="118"/>
      <c r="H73" s="118"/>
      <c r="I73" s="119">
        <f>Input!I244</f>
        <v>0</v>
      </c>
      <c r="J73" s="119">
        <f>Input!J244</f>
        <v>0</v>
      </c>
      <c r="K73" s="119">
        <f>Input!K244</f>
        <v>0</v>
      </c>
      <c r="L73" s="119">
        <f>Input!L244</f>
        <v>0</v>
      </c>
      <c r="M73" s="119">
        <f>Input!M244</f>
        <v>0</v>
      </c>
      <c r="N73" s="119">
        <f>Input!N244</f>
        <v>0</v>
      </c>
      <c r="O73" s="119">
        <f>Input!O244</f>
        <v>0</v>
      </c>
      <c r="P73" s="671">
        <f>Input!P244</f>
        <v>0</v>
      </c>
      <c r="Q73" s="172">
        <f>Input!Q244</f>
        <v>0</v>
      </c>
      <c r="R73" s="172">
        <f>Input!R244</f>
        <v>0</v>
      </c>
      <c r="S73" s="172">
        <f>Input!S244</f>
        <v>0</v>
      </c>
      <c r="T73" s="172">
        <f>Input!T244</f>
        <v>0</v>
      </c>
      <c r="U73" s="172">
        <f>Input!U244</f>
        <v>0</v>
      </c>
      <c r="V73" s="172">
        <f>Input!V244</f>
        <v>0</v>
      </c>
      <c r="W73" s="172">
        <f>Input!W244</f>
        <v>0</v>
      </c>
      <c r="X73" s="172">
        <f>Input!X244</f>
        <v>0</v>
      </c>
      <c r="Y73" s="172">
        <f>Input!Y244</f>
        <v>0</v>
      </c>
      <c r="Z73" s="172">
        <f>Input!Z244</f>
        <v>0</v>
      </c>
      <c r="AA73" s="172"/>
      <c r="AB73" s="173"/>
      <c r="AC73" s="173"/>
      <c r="AD73" s="173"/>
      <c r="AE73" s="173"/>
      <c r="AF73" s="173"/>
      <c r="AG73" s="173"/>
      <c r="AH73" s="173"/>
      <c r="AI73" s="173"/>
      <c r="AJ73" s="173"/>
      <c r="AK73" s="173"/>
      <c r="AL73" s="173"/>
      <c r="AM73" s="173"/>
      <c r="AN73" s="173"/>
      <c r="AO73" s="173"/>
      <c r="AP73" s="173"/>
      <c r="AQ73" s="173"/>
      <c r="AR73" s="173"/>
      <c r="AS73" s="173"/>
      <c r="AT73" s="173"/>
      <c r="AU73" s="173"/>
      <c r="AV73" s="173"/>
      <c r="AW73" s="173"/>
      <c r="AX73" s="173"/>
      <c r="AY73" s="173"/>
      <c r="AZ73" s="173"/>
      <c r="BA73" s="173"/>
    </row>
    <row r="74" spans="1:55" x14ac:dyDescent="0.25">
      <c r="A74" s="115">
        <v>12</v>
      </c>
      <c r="B74" s="116" t="s">
        <v>1290</v>
      </c>
      <c r="C74" s="116"/>
      <c r="D74" s="118"/>
      <c r="E74" s="118"/>
      <c r="F74" s="118"/>
      <c r="G74" s="118"/>
      <c r="H74" s="118"/>
      <c r="I74" s="119">
        <f>Input!I249</f>
        <v>29.992621136</v>
      </c>
      <c r="J74" s="119">
        <f>Input!J249</f>
        <v>21.415993584999999</v>
      </c>
      <c r="K74" s="119">
        <f>Input!K249</f>
        <v>31.104990451999999</v>
      </c>
      <c r="L74" s="119">
        <f>Input!L249</f>
        <v>11.268113916000001</v>
      </c>
      <c r="M74" s="119">
        <f>Input!M249</f>
        <v>25.129864154</v>
      </c>
      <c r="N74" s="119">
        <f>Input!N249</f>
        <v>164.76199041800001</v>
      </c>
      <c r="O74" s="119">
        <f>Input!O249</f>
        <v>170.57785144900001</v>
      </c>
      <c r="P74" s="671">
        <f>Input!P249</f>
        <v>159.58735877699999</v>
      </c>
      <c r="Q74" s="172">
        <f>Input!Q249</f>
        <v>188.6132290947628</v>
      </c>
      <c r="R74" s="172">
        <f>Input!R249</f>
        <v>211.43553137692058</v>
      </c>
      <c r="S74" s="172">
        <f>Input!S249</f>
        <v>216.55063307270822</v>
      </c>
      <c r="T74" s="172">
        <f>Input!T249</f>
        <v>222.33387308527756</v>
      </c>
      <c r="U74" s="172">
        <f>Input!U249</f>
        <v>228.23208263096086</v>
      </c>
      <c r="V74" s="172">
        <f>Input!V249</f>
        <v>234.57693230621507</v>
      </c>
      <c r="W74" s="172">
        <f>Input!W249</f>
        <v>241.50219927170494</v>
      </c>
      <c r="X74" s="172">
        <f>Input!X249</f>
        <v>247.50638218538592</v>
      </c>
      <c r="Y74" s="172">
        <f>Input!Y249</f>
        <v>253.76480401718493</v>
      </c>
      <c r="Z74" s="172">
        <f>Input!Z249</f>
        <v>260.30073227493688</v>
      </c>
      <c r="AA74" s="172"/>
      <c r="AB74" s="173"/>
      <c r="AC74" s="173"/>
      <c r="AD74" s="173"/>
      <c r="AE74" s="173"/>
      <c r="AF74" s="173"/>
      <c r="AG74" s="173"/>
      <c r="AH74" s="173"/>
      <c r="AI74" s="173"/>
      <c r="AJ74" s="173"/>
      <c r="AK74" s="173"/>
      <c r="AL74" s="173"/>
      <c r="AM74" s="173"/>
      <c r="AN74" s="173"/>
      <c r="AO74" s="173"/>
      <c r="AP74" s="173"/>
      <c r="AQ74" s="173"/>
      <c r="AR74" s="173"/>
      <c r="AS74" s="173"/>
      <c r="AT74" s="173"/>
      <c r="AU74" s="173"/>
      <c r="AV74" s="173"/>
      <c r="AW74" s="173"/>
      <c r="AX74" s="173"/>
      <c r="AY74" s="173"/>
      <c r="AZ74" s="173"/>
      <c r="BA74" s="173"/>
    </row>
    <row r="75" spans="1:55" x14ac:dyDescent="0.25">
      <c r="A75" s="115">
        <v>13</v>
      </c>
      <c r="B75" s="116" t="s">
        <v>1291</v>
      </c>
      <c r="C75" s="116" t="s">
        <v>576</v>
      </c>
      <c r="D75" s="118"/>
      <c r="E75" s="118"/>
      <c r="F75" s="118"/>
      <c r="G75" s="118"/>
      <c r="H75" s="118"/>
      <c r="I75" s="119">
        <f>+Input!I254</f>
        <v>0</v>
      </c>
      <c r="J75" s="119">
        <f>+Input!J254</f>
        <v>102.066301514</v>
      </c>
      <c r="K75" s="119">
        <f>+Input!K254</f>
        <v>132.06153973299999</v>
      </c>
      <c r="L75" s="119">
        <f>+Input!L254</f>
        <v>140.09167586000001</v>
      </c>
      <c r="M75" s="119">
        <f>+Input!M254</f>
        <v>143.52605559899999</v>
      </c>
      <c r="N75" s="119">
        <f>+Input!N254</f>
        <v>149.78481101099999</v>
      </c>
      <c r="O75" s="119">
        <f>+Input!O254</f>
        <v>141.60357330100001</v>
      </c>
      <c r="P75" s="671">
        <f>+Input!P254</f>
        <v>140.10113354500001</v>
      </c>
      <c r="Q75" s="172">
        <f>+Input!Q254</f>
        <v>140.10113354500001</v>
      </c>
      <c r="R75" s="172">
        <f>+Input!R254</f>
        <v>140.10113354500001</v>
      </c>
      <c r="S75" s="172">
        <f>+Input!S254</f>
        <v>140.10113354500001</v>
      </c>
      <c r="T75" s="172">
        <f>+Input!T254</f>
        <v>140.10113354500001</v>
      </c>
      <c r="U75" s="172">
        <f>+Input!U254</f>
        <v>140.10113354500001</v>
      </c>
      <c r="V75" s="172">
        <f>+Input!V254</f>
        <v>140.10113354500001</v>
      </c>
      <c r="W75" s="172">
        <f>+Input!W254</f>
        <v>140.10113354500001</v>
      </c>
      <c r="X75" s="172">
        <f>+Input!X254</f>
        <v>140.10113354500001</v>
      </c>
      <c r="Y75" s="172">
        <f>+Input!Y254</f>
        <v>140.10113354500001</v>
      </c>
      <c r="Z75" s="172">
        <f>+Input!Z254</f>
        <v>140.10113354500001</v>
      </c>
      <c r="AA75" s="172"/>
      <c r="AB75" s="173"/>
      <c r="AC75" s="173"/>
      <c r="AD75" s="173"/>
      <c r="AE75" s="173"/>
      <c r="AF75" s="173"/>
      <c r="AG75" s="173"/>
      <c r="AH75" s="173"/>
      <c r="AI75" s="173"/>
      <c r="AJ75" s="173"/>
      <c r="AK75" s="173"/>
      <c r="AL75" s="173"/>
      <c r="AM75" s="173"/>
      <c r="AN75" s="173"/>
      <c r="AO75" s="173"/>
      <c r="AP75" s="173"/>
      <c r="AQ75" s="173"/>
      <c r="AR75" s="173"/>
      <c r="AS75" s="173"/>
      <c r="AT75" s="173"/>
      <c r="AU75" s="173"/>
      <c r="AV75" s="173"/>
      <c r="AW75" s="173"/>
      <c r="AX75" s="173"/>
      <c r="AY75" s="173"/>
      <c r="AZ75" s="173"/>
      <c r="BA75" s="173"/>
    </row>
    <row r="76" spans="1:55" x14ac:dyDescent="0.25">
      <c r="A76" s="115">
        <v>14</v>
      </c>
      <c r="B76" s="116" t="s">
        <v>1292</v>
      </c>
      <c r="C76" s="116" t="s">
        <v>1293</v>
      </c>
      <c r="D76" s="118"/>
      <c r="E76" s="118"/>
      <c r="F76" s="118"/>
      <c r="G76" s="118"/>
      <c r="H76" s="118"/>
      <c r="I76" s="119">
        <f>Input!I259</f>
        <v>9.5248180990000009</v>
      </c>
      <c r="J76" s="119">
        <f>Input!J259</f>
        <v>3.6169953179999998</v>
      </c>
      <c r="K76" s="119">
        <f>Input!K259</f>
        <v>12.188688195999999</v>
      </c>
      <c r="L76" s="119">
        <f>Input!L259</f>
        <v>30.486432994000001</v>
      </c>
      <c r="M76" s="119">
        <f>Input!M259</f>
        <v>25.586233622000002</v>
      </c>
      <c r="N76" s="119">
        <f>Input!N259</f>
        <v>40.525556017</v>
      </c>
      <c r="O76" s="119">
        <f>Input!O259</f>
        <v>40.759714741000003</v>
      </c>
      <c r="P76" s="671">
        <f>Input!P259</f>
        <v>34.410049970999999</v>
      </c>
      <c r="Q76" s="172">
        <f>Input!Q259</f>
        <v>33.158082397625925</v>
      </c>
      <c r="R76" s="172">
        <f>Input!R259</f>
        <v>38.797289268587619</v>
      </c>
      <c r="S76" s="172">
        <f>Input!S259</f>
        <v>53.206005461043183</v>
      </c>
      <c r="T76" s="172">
        <f>Input!T259</f>
        <v>57.478111211432648</v>
      </c>
      <c r="U76" s="172">
        <f>Input!U259</f>
        <v>63.286080591667066</v>
      </c>
      <c r="V76" s="172">
        <f>Input!V259</f>
        <v>63.817704978128077</v>
      </c>
      <c r="W76" s="172">
        <f>Input!W259</f>
        <v>64.309835714675458</v>
      </c>
      <c r="X76" s="172">
        <f>Input!X259</f>
        <v>67.248814410265595</v>
      </c>
      <c r="Y76" s="172">
        <f>Input!Y259</f>
        <v>71.472626073670341</v>
      </c>
      <c r="Z76" s="172">
        <f>Input!Z259</f>
        <v>75.20250936090234</v>
      </c>
      <c r="AA76" s="172"/>
      <c r="AB76" s="173"/>
      <c r="AC76" s="173"/>
      <c r="AD76" s="173"/>
      <c r="AE76" s="173"/>
      <c r="AF76" s="173"/>
      <c r="AG76" s="173"/>
      <c r="AH76" s="173"/>
      <c r="AI76" s="173"/>
      <c r="AJ76" s="173"/>
      <c r="AK76" s="173"/>
      <c r="AL76" s="173"/>
      <c r="AM76" s="173"/>
      <c r="AN76" s="173"/>
      <c r="AO76" s="173"/>
      <c r="AP76" s="173"/>
      <c r="AQ76" s="173"/>
      <c r="AR76" s="173"/>
      <c r="AS76" s="173"/>
      <c r="AT76" s="173"/>
      <c r="AU76" s="173"/>
      <c r="AV76" s="173"/>
      <c r="AW76" s="173"/>
      <c r="AX76" s="173"/>
      <c r="AY76" s="173"/>
      <c r="AZ76" s="173"/>
      <c r="BA76" s="173"/>
    </row>
    <row r="77" spans="1:55" x14ac:dyDescent="0.25">
      <c r="A77" s="115"/>
      <c r="B77" s="133" t="s">
        <v>1294</v>
      </c>
      <c r="C77" s="133" t="s">
        <v>1295</v>
      </c>
      <c r="D77" s="166"/>
      <c r="E77" s="166"/>
      <c r="F77" s="166"/>
      <c r="G77" s="166"/>
      <c r="H77" s="166"/>
      <c r="I77" s="167">
        <f>SUM(I69:I76)</f>
        <v>334.49564118300003</v>
      </c>
      <c r="J77" s="167">
        <f>SUM(J69:J76)</f>
        <v>295.36684117100003</v>
      </c>
      <c r="K77" s="167">
        <f t="shared" ref="K77:Z77" si="44">SUM(K69:K76)</f>
        <v>411.11993352600001</v>
      </c>
      <c r="L77" s="167">
        <f t="shared" si="44"/>
        <v>428.77231358300003</v>
      </c>
      <c r="M77" s="167">
        <f t="shared" si="44"/>
        <v>413.10372539999997</v>
      </c>
      <c r="N77" s="167">
        <f t="shared" si="44"/>
        <v>591.744681861</v>
      </c>
      <c r="O77" s="167">
        <f t="shared" si="44"/>
        <v>601.56370092000009</v>
      </c>
      <c r="P77" s="743">
        <f t="shared" si="44"/>
        <v>581.18387980700004</v>
      </c>
      <c r="Q77" s="168">
        <f t="shared" si="44"/>
        <v>929.24679623931434</v>
      </c>
      <c r="R77" s="168">
        <f t="shared" si="44"/>
        <v>1155.9252338768858</v>
      </c>
      <c r="S77" s="168">
        <f t="shared" si="44"/>
        <v>1109.0782568344976</v>
      </c>
      <c r="T77" s="168">
        <f t="shared" si="44"/>
        <v>1103.3040284355236</v>
      </c>
      <c r="U77" s="168">
        <f t="shared" si="44"/>
        <v>1102.3471698175235</v>
      </c>
      <c r="V77" s="168">
        <f t="shared" si="44"/>
        <v>1094.1911509553522</v>
      </c>
      <c r="W77" s="168">
        <f t="shared" si="44"/>
        <v>1085.3407850426263</v>
      </c>
      <c r="X77" s="168">
        <f t="shared" si="44"/>
        <v>1056.2374570061477</v>
      </c>
      <c r="Y77" s="168">
        <f t="shared" si="44"/>
        <v>1023.6271824120125</v>
      </c>
      <c r="Z77" s="168">
        <f t="shared" si="44"/>
        <v>985.70510289902234</v>
      </c>
      <c r="AA77" s="168"/>
      <c r="AB77" s="169"/>
      <c r="AC77" s="169"/>
      <c r="AD77" s="169"/>
      <c r="AE77" s="169"/>
      <c r="AF77" s="169"/>
      <c r="AG77" s="169"/>
      <c r="AH77" s="169"/>
      <c r="AI77" s="169"/>
      <c r="AJ77" s="169"/>
      <c r="AK77" s="169"/>
      <c r="AL77" s="169"/>
      <c r="AM77" s="169"/>
      <c r="AN77" s="169"/>
      <c r="AO77" s="169"/>
      <c r="AP77" s="169"/>
      <c r="AQ77" s="169"/>
      <c r="AR77" s="169"/>
      <c r="AS77" s="169"/>
      <c r="AT77" s="169"/>
      <c r="AU77" s="169"/>
      <c r="AV77" s="169"/>
      <c r="AW77" s="169"/>
      <c r="AX77" s="169"/>
      <c r="AY77" s="169"/>
      <c r="AZ77" s="169"/>
      <c r="BA77" s="169"/>
    </row>
    <row r="78" spans="1:55" ht="13.8" thickBot="1" x14ac:dyDescent="0.3">
      <c r="A78" s="115"/>
      <c r="B78" s="448" t="s">
        <v>1296</v>
      </c>
      <c r="C78" s="448" t="s">
        <v>1297</v>
      </c>
      <c r="D78" s="450"/>
      <c r="E78" s="450"/>
      <c r="F78" s="450"/>
      <c r="G78" s="450"/>
      <c r="H78" s="450"/>
      <c r="I78" s="451">
        <f>I66+I77</f>
        <v>1090.9459182240003</v>
      </c>
      <c r="J78" s="451">
        <f>J66+J77</f>
        <v>1067.9331976480003</v>
      </c>
      <c r="K78" s="451">
        <f t="shared" ref="K78:Z78" si="45">K66+K77</f>
        <v>1434.2599540829999</v>
      </c>
      <c r="L78" s="451">
        <f t="shared" si="45"/>
        <v>1544.1900202940001</v>
      </c>
      <c r="M78" s="451">
        <f t="shared" si="45"/>
        <v>1434.3408771850002</v>
      </c>
      <c r="N78" s="451">
        <f t="shared" si="45"/>
        <v>1620.552920656</v>
      </c>
      <c r="O78" s="451">
        <f t="shared" si="45"/>
        <v>1437.409436723</v>
      </c>
      <c r="P78" s="751">
        <f t="shared" si="45"/>
        <v>1553.4944181630001</v>
      </c>
      <c r="Q78" s="452">
        <f t="shared" ca="1" si="45"/>
        <v>2118.7146521174404</v>
      </c>
      <c r="R78" s="452">
        <f t="shared" ca="1" si="45"/>
        <v>2393.1115019692334</v>
      </c>
      <c r="S78" s="452">
        <f t="shared" ca="1" si="45"/>
        <v>2757.0831770043728</v>
      </c>
      <c r="T78" s="452">
        <f t="shared" ca="1" si="45"/>
        <v>2953.9377385449616</v>
      </c>
      <c r="U78" s="452">
        <f t="shared" ca="1" si="45"/>
        <v>3136.9893323021415</v>
      </c>
      <c r="V78" s="452">
        <f t="shared" ca="1" si="45"/>
        <v>3396.861648263126</v>
      </c>
      <c r="W78" s="452">
        <f t="shared" ca="1" si="45"/>
        <v>3566.890291418641</v>
      </c>
      <c r="X78" s="452">
        <f t="shared" ca="1" si="45"/>
        <v>3898.2513497739646</v>
      </c>
      <c r="Y78" s="452">
        <f t="shared" ca="1" si="45"/>
        <v>4135.7737584808674</v>
      </c>
      <c r="Z78" s="452">
        <f t="shared" ca="1" si="45"/>
        <v>4382.0576156570578</v>
      </c>
      <c r="AA78" s="452"/>
      <c r="AB78" s="453"/>
      <c r="AC78" s="453"/>
      <c r="AD78" s="453"/>
      <c r="AE78" s="453"/>
      <c r="AF78" s="453"/>
      <c r="AG78" s="453"/>
      <c r="AH78" s="453"/>
      <c r="AI78" s="453"/>
      <c r="AJ78" s="453"/>
      <c r="AK78" s="453"/>
      <c r="AL78" s="453"/>
      <c r="AM78" s="453"/>
      <c r="AN78" s="453"/>
      <c r="AO78" s="453"/>
      <c r="AP78" s="453"/>
      <c r="AQ78" s="453"/>
      <c r="AR78" s="453"/>
      <c r="AS78" s="453"/>
      <c r="AT78" s="453"/>
      <c r="AU78" s="453"/>
      <c r="AV78" s="453"/>
      <c r="AW78" s="453"/>
      <c r="AX78" s="453"/>
      <c r="AY78" s="453"/>
      <c r="AZ78" s="453"/>
      <c r="BA78" s="453"/>
    </row>
    <row r="79" spans="1:55" s="746" customFormat="1" ht="13.8" thickTop="1" x14ac:dyDescent="0.25">
      <c r="A79" s="752"/>
      <c r="B79" s="426" t="s">
        <v>1274</v>
      </c>
      <c r="C79" s="426"/>
      <c r="D79" s="542"/>
      <c r="E79" s="542"/>
      <c r="F79" s="542"/>
      <c r="G79" s="542"/>
      <c r="H79" s="542"/>
      <c r="I79" s="543">
        <f>I78-Input!I265</f>
        <v>0</v>
      </c>
      <c r="J79" s="543">
        <f>J78-Input!J265</f>
        <v>0</v>
      </c>
      <c r="K79" s="543">
        <f>K78-Input!K265</f>
        <v>0</v>
      </c>
      <c r="L79" s="543">
        <f>L78-Input!L265</f>
        <v>0</v>
      </c>
      <c r="M79" s="543">
        <f>M78-Input!M265</f>
        <v>0</v>
      </c>
      <c r="N79" s="543">
        <f>N78-Input!N265</f>
        <v>0</v>
      </c>
      <c r="O79" s="543">
        <f>O78-Input!O265</f>
        <v>0</v>
      </c>
      <c r="P79" s="745">
        <f>P78-Input!P265</f>
        <v>0</v>
      </c>
      <c r="Q79" s="1880">
        <f ca="1">Q78-Input!Q265</f>
        <v>0</v>
      </c>
      <c r="R79" s="1880">
        <f ca="1">R78-Input!R265</f>
        <v>0</v>
      </c>
      <c r="S79" s="1880">
        <f ca="1">S78-Input!S265</f>
        <v>0</v>
      </c>
      <c r="T79" s="1880">
        <f ca="1">T78-Input!T265</f>
        <v>0</v>
      </c>
      <c r="U79" s="1880">
        <f ca="1">U78-Input!U265</f>
        <v>0</v>
      </c>
      <c r="V79" s="1880">
        <f ca="1">V78-Input!V265</f>
        <v>0</v>
      </c>
      <c r="W79" s="1880">
        <f ca="1">W78-Input!W265</f>
        <v>0</v>
      </c>
      <c r="X79" s="1880">
        <f ca="1">X78-Input!X265</f>
        <v>0</v>
      </c>
      <c r="Y79" s="1880">
        <f ca="1">Y78-Input!Y265</f>
        <v>0</v>
      </c>
      <c r="Z79" s="1880">
        <f ca="1">Z78-Input!Z265</f>
        <v>0</v>
      </c>
      <c r="AA79" s="1880"/>
      <c r="AB79" s="1896"/>
      <c r="AC79" s="1896"/>
      <c r="AD79" s="1896"/>
      <c r="AE79" s="1896"/>
      <c r="AF79" s="1896"/>
      <c r="AG79" s="1896"/>
      <c r="AH79" s="1896"/>
      <c r="AI79" s="1896"/>
      <c r="AJ79" s="1896"/>
      <c r="AK79" s="1896"/>
      <c r="AL79" s="1896"/>
      <c r="AM79" s="1896"/>
      <c r="AN79" s="1896"/>
      <c r="AO79" s="1896"/>
      <c r="AP79" s="1896"/>
      <c r="AQ79" s="1896"/>
      <c r="AR79" s="1896"/>
      <c r="AS79" s="542"/>
      <c r="AT79" s="542"/>
      <c r="AU79" s="542"/>
      <c r="AV79" s="542"/>
      <c r="AW79" s="542"/>
      <c r="AX79" s="542"/>
      <c r="AY79" s="542"/>
      <c r="AZ79" s="542"/>
      <c r="BA79" s="542"/>
    </row>
    <row r="80" spans="1:55" x14ac:dyDescent="0.25">
      <c r="A80" s="738"/>
      <c r="D80" s="753"/>
      <c r="E80" s="753"/>
      <c r="F80" s="753"/>
      <c r="G80" s="753"/>
      <c r="H80" s="753"/>
      <c r="I80" s="753"/>
      <c r="J80" s="753"/>
      <c r="K80" s="753"/>
      <c r="L80" s="753"/>
      <c r="M80" s="753"/>
      <c r="N80" s="753"/>
      <c r="O80" s="753"/>
      <c r="P80" s="754"/>
      <c r="Q80" s="753"/>
      <c r="R80" s="753"/>
      <c r="S80" s="753"/>
      <c r="T80" s="753"/>
      <c r="U80" s="753"/>
      <c r="V80" s="753"/>
      <c r="W80" s="753"/>
      <c r="X80" s="753"/>
      <c r="Y80" s="753"/>
      <c r="Z80" s="753"/>
      <c r="AA80" s="753"/>
      <c r="AB80" s="753"/>
      <c r="AC80" s="753"/>
      <c r="AD80" s="753"/>
      <c r="AE80" s="753"/>
      <c r="AF80" s="753"/>
      <c r="AG80" s="753"/>
      <c r="AH80" s="753"/>
      <c r="AI80" s="753"/>
      <c r="AJ80" s="753"/>
      <c r="AK80" s="753"/>
      <c r="AL80" s="753"/>
      <c r="AM80" s="753"/>
      <c r="AN80" s="753"/>
      <c r="AO80" s="753"/>
      <c r="AP80" s="753"/>
      <c r="AQ80" s="753"/>
      <c r="AR80" s="753"/>
      <c r="AS80" s="753"/>
      <c r="AT80" s="753"/>
      <c r="AU80" s="753"/>
      <c r="AV80" s="753"/>
      <c r="AW80" s="753"/>
      <c r="AX80" s="753"/>
      <c r="AY80" s="753"/>
      <c r="AZ80" s="753"/>
      <c r="BA80" s="753"/>
    </row>
    <row r="81" spans="1:53" x14ac:dyDescent="0.25">
      <c r="A81" s="64"/>
      <c r="B81" s="42" t="s">
        <v>136</v>
      </c>
      <c r="C81" s="42" t="s">
        <v>582</v>
      </c>
      <c r="D81" s="118"/>
      <c r="E81" s="118"/>
      <c r="F81" s="118"/>
      <c r="G81" s="118"/>
      <c r="H81" s="118"/>
      <c r="I81" s="118"/>
      <c r="J81" s="118"/>
      <c r="K81" s="118"/>
      <c r="L81" s="118"/>
      <c r="M81" s="118"/>
      <c r="N81" s="118"/>
      <c r="O81" s="118"/>
      <c r="P81" s="671"/>
      <c r="Q81" s="118"/>
      <c r="R81" s="118"/>
      <c r="S81" s="118"/>
      <c r="T81" s="118"/>
      <c r="U81" s="118"/>
      <c r="V81" s="118"/>
      <c r="W81" s="118"/>
      <c r="X81" s="118"/>
      <c r="Y81" s="118"/>
      <c r="Z81" s="118"/>
      <c r="AA81" s="118"/>
      <c r="AB81" s="118"/>
      <c r="AC81" s="118"/>
      <c r="AD81" s="118"/>
      <c r="AE81" s="118"/>
      <c r="AF81" s="118"/>
      <c r="AG81" s="118"/>
      <c r="AH81" s="118"/>
      <c r="AI81" s="118"/>
      <c r="AJ81" s="118"/>
      <c r="AK81" s="118"/>
      <c r="AL81" s="118"/>
      <c r="AM81" s="118"/>
      <c r="AN81" s="118"/>
      <c r="AO81" s="118"/>
      <c r="AP81" s="118"/>
      <c r="AQ81" s="118"/>
      <c r="AR81" s="118"/>
      <c r="AS81" s="118"/>
      <c r="AT81" s="118"/>
      <c r="AU81" s="118"/>
      <c r="AV81" s="118"/>
      <c r="AW81" s="118"/>
      <c r="AX81" s="118"/>
      <c r="AY81" s="118"/>
      <c r="AZ81" s="118"/>
      <c r="BA81" s="118"/>
    </row>
    <row r="82" spans="1:53" x14ac:dyDescent="0.25">
      <c r="A82" s="115"/>
      <c r="B82" s="116" t="s">
        <v>1298</v>
      </c>
      <c r="C82" s="151"/>
      <c r="D82" s="118"/>
      <c r="E82" s="118"/>
      <c r="F82" s="118"/>
      <c r="G82" s="118"/>
      <c r="H82" s="118"/>
      <c r="I82" s="119">
        <f>+I83+I84</f>
        <v>506.573060301</v>
      </c>
      <c r="J82" s="119">
        <f>+J83+J84</f>
        <v>86.689211008000001</v>
      </c>
      <c r="K82" s="119">
        <f t="shared" ref="K82:Z82" si="46">+K83+K84</f>
        <v>74.721502117</v>
      </c>
      <c r="L82" s="119">
        <f t="shared" si="46"/>
        <v>195.69973205599999</v>
      </c>
      <c r="M82" s="119">
        <f t="shared" si="46"/>
        <v>95.986460433999994</v>
      </c>
      <c r="N82" s="119">
        <f t="shared" si="46"/>
        <v>176.39123693100001</v>
      </c>
      <c r="O82" s="119">
        <f t="shared" si="46"/>
        <v>20.094668665</v>
      </c>
      <c r="P82" s="671">
        <f t="shared" si="46"/>
        <v>21.029471059999999</v>
      </c>
      <c r="Q82" s="172">
        <f t="shared" ca="1" si="46"/>
        <v>72.647503604887973</v>
      </c>
      <c r="R82" s="172">
        <f t="shared" ca="1" si="46"/>
        <v>76.070303035653609</v>
      </c>
      <c r="S82" s="172">
        <f t="shared" ca="1" si="46"/>
        <v>94.961281776965492</v>
      </c>
      <c r="T82" s="172">
        <f t="shared" ca="1" si="46"/>
        <v>101.33540287663715</v>
      </c>
      <c r="U82" s="172">
        <f t="shared" ca="1" si="46"/>
        <v>107.52301845349675</v>
      </c>
      <c r="V82" s="172">
        <f t="shared" ca="1" si="46"/>
        <v>113.31186682073751</v>
      </c>
      <c r="W82" s="172">
        <f t="shared" ca="1" si="46"/>
        <v>121.16783928875023</v>
      </c>
      <c r="X82" s="172">
        <f t="shared" ca="1" si="46"/>
        <v>139.32054238281134</v>
      </c>
      <c r="Y82" s="172">
        <f t="shared" ca="1" si="46"/>
        <v>146.63038762804899</v>
      </c>
      <c r="Z82" s="172">
        <f t="shared" ca="1" si="46"/>
        <v>158.88217944832397</v>
      </c>
      <c r="AA82" s="172"/>
      <c r="AB82" s="173"/>
      <c r="AC82" s="173"/>
      <c r="AD82" s="173"/>
      <c r="AE82" s="173"/>
      <c r="AF82" s="173"/>
      <c r="AG82" s="173"/>
      <c r="AH82" s="173"/>
      <c r="AI82" s="173"/>
      <c r="AJ82" s="173"/>
      <c r="AK82" s="173"/>
      <c r="AL82" s="173"/>
      <c r="AM82" s="173"/>
      <c r="AN82" s="173"/>
      <c r="AO82" s="173"/>
      <c r="AP82" s="173"/>
      <c r="AQ82" s="173"/>
      <c r="AR82" s="173"/>
      <c r="AS82" s="173"/>
      <c r="AT82" s="173"/>
      <c r="AU82" s="173"/>
      <c r="AV82" s="173"/>
      <c r="AW82" s="173"/>
      <c r="AX82" s="173"/>
      <c r="AY82" s="173"/>
      <c r="AZ82" s="173"/>
      <c r="BA82" s="173"/>
    </row>
    <row r="83" spans="1:53" x14ac:dyDescent="0.25">
      <c r="A83" s="676">
        <v>15</v>
      </c>
      <c r="B83" s="741" t="s">
        <v>1299</v>
      </c>
      <c r="C83" s="742" t="s">
        <v>445</v>
      </c>
      <c r="D83" s="696"/>
      <c r="E83" s="696"/>
      <c r="F83" s="696"/>
      <c r="G83" s="696"/>
      <c r="H83" s="696"/>
      <c r="I83" s="697">
        <f>Input!I273</f>
        <v>0</v>
      </c>
      <c r="J83" s="697">
        <f>Input!J273</f>
        <v>0</v>
      </c>
      <c r="K83" s="697">
        <f>Input!K273</f>
        <v>0</v>
      </c>
      <c r="L83" s="697">
        <f>Input!L273</f>
        <v>0</v>
      </c>
      <c r="M83" s="697">
        <f>Input!M273</f>
        <v>0</v>
      </c>
      <c r="N83" s="697">
        <f>Input!N273</f>
        <v>0</v>
      </c>
      <c r="O83" s="697">
        <f>Input!O273</f>
        <v>0</v>
      </c>
      <c r="P83" s="698">
        <f>Input!P273</f>
        <v>0</v>
      </c>
      <c r="Q83" s="699">
        <f ca="1">Input!Q273</f>
        <v>0</v>
      </c>
      <c r="R83" s="699">
        <f ca="1">Input!R273</f>
        <v>0</v>
      </c>
      <c r="S83" s="699">
        <f ca="1">Input!S273</f>
        <v>0</v>
      </c>
      <c r="T83" s="699">
        <f ca="1">Input!T273</f>
        <v>0</v>
      </c>
      <c r="U83" s="699">
        <f ca="1">Input!U273</f>
        <v>0</v>
      </c>
      <c r="V83" s="699">
        <f ca="1">Input!V273</f>
        <v>0</v>
      </c>
      <c r="W83" s="699">
        <f ca="1">Input!W273</f>
        <v>0</v>
      </c>
      <c r="X83" s="699">
        <f ca="1">Input!X273</f>
        <v>0</v>
      </c>
      <c r="Y83" s="699">
        <f ca="1">Input!Y273</f>
        <v>0</v>
      </c>
      <c r="Z83" s="699">
        <f ca="1">Input!Z273</f>
        <v>0</v>
      </c>
      <c r="AA83" s="699"/>
      <c r="AB83" s="700"/>
      <c r="AC83" s="700"/>
      <c r="AD83" s="700"/>
      <c r="AE83" s="700"/>
      <c r="AF83" s="700"/>
      <c r="AG83" s="700"/>
      <c r="AH83" s="700"/>
      <c r="AI83" s="700"/>
      <c r="AJ83" s="700"/>
      <c r="AK83" s="700"/>
      <c r="AL83" s="700"/>
      <c r="AM83" s="700"/>
      <c r="AN83" s="700"/>
      <c r="AO83" s="700"/>
      <c r="AP83" s="700"/>
      <c r="AQ83" s="700"/>
      <c r="AR83" s="700"/>
      <c r="AS83" s="700"/>
      <c r="AT83" s="700"/>
      <c r="AU83" s="700"/>
      <c r="AV83" s="700"/>
      <c r="AW83" s="700"/>
      <c r="AX83" s="700"/>
      <c r="AY83" s="700"/>
      <c r="AZ83" s="700"/>
      <c r="BA83" s="700"/>
    </row>
    <row r="84" spans="1:53" x14ac:dyDescent="0.25">
      <c r="A84" s="676">
        <v>16</v>
      </c>
      <c r="B84" s="741" t="s">
        <v>1300</v>
      </c>
      <c r="C84" s="742" t="s">
        <v>446</v>
      </c>
      <c r="D84" s="696"/>
      <c r="E84" s="696"/>
      <c r="F84" s="696"/>
      <c r="G84" s="696"/>
      <c r="H84" s="696"/>
      <c r="I84" s="697">
        <f>+Input!I279</f>
        <v>506.573060301</v>
      </c>
      <c r="J84" s="697">
        <f>+Input!J279</f>
        <v>86.689211008000001</v>
      </c>
      <c r="K84" s="697">
        <f>+Input!K279</f>
        <v>74.721502117</v>
      </c>
      <c r="L84" s="697">
        <f>+Input!L279</f>
        <v>195.69973205599999</v>
      </c>
      <c r="M84" s="697">
        <f>+Input!M279</f>
        <v>95.986460433999994</v>
      </c>
      <c r="N84" s="697">
        <f>+Input!N279</f>
        <v>176.39123693100001</v>
      </c>
      <c r="O84" s="697">
        <f>+Input!O279</f>
        <v>20.094668665</v>
      </c>
      <c r="P84" s="698">
        <f>+Input!P279</f>
        <v>21.029471059999999</v>
      </c>
      <c r="Q84" s="699">
        <f>+Input!Q279</f>
        <v>72.647503604887973</v>
      </c>
      <c r="R84" s="699">
        <f>+Input!R279</f>
        <v>76.070303035653609</v>
      </c>
      <c r="S84" s="699">
        <f>+Input!S279</f>
        <v>94.961281776965492</v>
      </c>
      <c r="T84" s="699">
        <f>+Input!T279</f>
        <v>101.33540287663715</v>
      </c>
      <c r="U84" s="699">
        <f>+Input!U279</f>
        <v>107.52301845349675</v>
      </c>
      <c r="V84" s="699">
        <f>+Input!V279</f>
        <v>113.31186682073751</v>
      </c>
      <c r="W84" s="699">
        <f>+Input!W279</f>
        <v>121.16783928875023</v>
      </c>
      <c r="X84" s="699">
        <f>+Input!X279</f>
        <v>139.32054238281134</v>
      </c>
      <c r="Y84" s="699">
        <f>+Input!Y279</f>
        <v>146.63038762804899</v>
      </c>
      <c r="Z84" s="699">
        <f>+Input!Z279</f>
        <v>158.88217944832397</v>
      </c>
      <c r="AA84" s="699"/>
      <c r="AB84" s="700"/>
      <c r="AC84" s="700"/>
      <c r="AD84" s="700"/>
      <c r="AE84" s="700"/>
      <c r="AF84" s="700"/>
      <c r="AG84" s="700"/>
      <c r="AH84" s="700"/>
      <c r="AI84" s="700"/>
      <c r="AJ84" s="700"/>
      <c r="AK84" s="700"/>
      <c r="AL84" s="700"/>
      <c r="AM84" s="700"/>
      <c r="AN84" s="700"/>
      <c r="AO84" s="700"/>
      <c r="AP84" s="700"/>
      <c r="AQ84" s="700"/>
      <c r="AR84" s="700"/>
      <c r="AS84" s="700"/>
      <c r="AT84" s="700"/>
      <c r="AU84" s="700"/>
      <c r="AV84" s="700"/>
      <c r="AW84" s="700"/>
      <c r="AX84" s="700"/>
      <c r="AY84" s="700"/>
      <c r="AZ84" s="700"/>
      <c r="BA84" s="700"/>
    </row>
    <row r="85" spans="1:53" x14ac:dyDescent="0.25">
      <c r="A85" s="282">
        <v>17</v>
      </c>
      <c r="B85" s="116" t="s">
        <v>588</v>
      </c>
      <c r="C85" s="116"/>
      <c r="D85" s="285"/>
      <c r="E85" s="285"/>
      <c r="F85" s="285"/>
      <c r="G85" s="285"/>
      <c r="H85" s="285"/>
      <c r="I85" s="688">
        <f>Input!I284</f>
        <v>15.125622949</v>
      </c>
      <c r="J85" s="688">
        <f>Input!J284</f>
        <v>15.068433475000001</v>
      </c>
      <c r="K85" s="688">
        <f>Input!K284</f>
        <v>6.5513422910000001</v>
      </c>
      <c r="L85" s="688">
        <f>Input!L284</f>
        <v>31.135070337999998</v>
      </c>
      <c r="M85" s="688">
        <f>Input!M284</f>
        <v>14.769553615</v>
      </c>
      <c r="N85" s="688">
        <f>Input!N284</f>
        <v>5.1531492590000001</v>
      </c>
      <c r="O85" s="688">
        <f>Input!O284</f>
        <v>28.952275234999998</v>
      </c>
      <c r="P85" s="689">
        <f>Input!P284</f>
        <v>10.607673157000001</v>
      </c>
      <c r="Q85" s="690">
        <f>Input!Q284</f>
        <v>11.398021647104835</v>
      </c>
      <c r="R85" s="690">
        <f>Input!R284</f>
        <v>11.891065489061955</v>
      </c>
      <c r="S85" s="690">
        <f>Input!S284</f>
        <v>15.012541219771741</v>
      </c>
      <c r="T85" s="690">
        <f>Input!T284</f>
        <v>16.012964353652997</v>
      </c>
      <c r="U85" s="690">
        <f>Input!U284</f>
        <v>17.017212956658824</v>
      </c>
      <c r="V85" s="690">
        <f>Input!V284</f>
        <v>17.845720784783929</v>
      </c>
      <c r="W85" s="690">
        <f>Input!W284</f>
        <v>18.879501317115231</v>
      </c>
      <c r="X85" s="690">
        <f>Input!X284</f>
        <v>19.608708510969706</v>
      </c>
      <c r="Y85" s="690">
        <f>Input!Y284</f>
        <v>20.39810687714202</v>
      </c>
      <c r="Z85" s="690">
        <f>Input!Z284</f>
        <v>21.2536336554709</v>
      </c>
      <c r="AA85" s="690"/>
      <c r="AB85" s="691"/>
      <c r="AC85" s="691"/>
      <c r="AD85" s="691"/>
      <c r="AE85" s="691"/>
      <c r="AF85" s="691"/>
      <c r="AG85" s="691"/>
      <c r="AH85" s="691"/>
      <c r="AI85" s="691"/>
      <c r="AJ85" s="691"/>
      <c r="AK85" s="691"/>
      <c r="AL85" s="691"/>
      <c r="AM85" s="691"/>
      <c r="AN85" s="691"/>
      <c r="AO85" s="691"/>
      <c r="AP85" s="691"/>
      <c r="AQ85" s="691"/>
      <c r="AR85" s="691"/>
      <c r="AS85" s="691"/>
      <c r="AT85" s="691"/>
      <c r="AU85" s="691"/>
      <c r="AV85" s="691"/>
      <c r="AW85" s="691"/>
      <c r="AX85" s="691"/>
      <c r="AY85" s="691"/>
      <c r="AZ85" s="691"/>
      <c r="BA85" s="691"/>
    </row>
    <row r="86" spans="1:53" x14ac:dyDescent="0.25">
      <c r="A86" s="282">
        <v>18</v>
      </c>
      <c r="B86" s="116" t="s">
        <v>1301</v>
      </c>
      <c r="C86" s="116" t="s">
        <v>592</v>
      </c>
      <c r="D86" s="285"/>
      <c r="E86" s="285"/>
      <c r="F86" s="285"/>
      <c r="G86" s="285"/>
      <c r="H86" s="285"/>
      <c r="I86" s="688">
        <f>Input!I289</f>
        <v>85.018742248999999</v>
      </c>
      <c r="J86" s="688">
        <f>Input!J289</f>
        <v>151.67171022799999</v>
      </c>
      <c r="K86" s="688">
        <f>Input!K289</f>
        <v>249.65009418899999</v>
      </c>
      <c r="L86" s="688">
        <f>Input!L289</f>
        <v>196.247620157</v>
      </c>
      <c r="M86" s="688">
        <f>Input!M289</f>
        <v>204.50767194100001</v>
      </c>
      <c r="N86" s="688">
        <f>Input!N289</f>
        <v>211.39591017500001</v>
      </c>
      <c r="O86" s="688">
        <f>Input!O289</f>
        <v>102.65215320900001</v>
      </c>
      <c r="P86" s="689">
        <f>Input!P289</f>
        <v>96.813029615999994</v>
      </c>
      <c r="Q86" s="690">
        <f>Input!Q289</f>
        <v>173.78764748469024</v>
      </c>
      <c r="R86" s="690">
        <f>Input!R289</f>
        <v>181.3051739514263</v>
      </c>
      <c r="S86" s="690">
        <f>Input!S289</f>
        <v>228.89886527051584</v>
      </c>
      <c r="T86" s="690">
        <f>Input!T289</f>
        <v>244.15249333944013</v>
      </c>
      <c r="U86" s="690">
        <f>Input!U289</f>
        <v>259.46444901119474</v>
      </c>
      <c r="V86" s="690">
        <f>Input!V289</f>
        <v>272.09685407502309</v>
      </c>
      <c r="W86" s="690">
        <f>Input!W289</f>
        <v>287.8590882847609</v>
      </c>
      <c r="X86" s="690">
        <f>Input!X289</f>
        <v>298.97743905408686</v>
      </c>
      <c r="Y86" s="690">
        <f>Input!Y289</f>
        <v>311.01353524979731</v>
      </c>
      <c r="Z86" s="690">
        <f>Input!Z289</f>
        <v>324.05790301546983</v>
      </c>
      <c r="AA86" s="690"/>
      <c r="AB86" s="691"/>
      <c r="AC86" s="691"/>
      <c r="AD86" s="691"/>
      <c r="AE86" s="691"/>
      <c r="AF86" s="691"/>
      <c r="AG86" s="691"/>
      <c r="AH86" s="691"/>
      <c r="AI86" s="691"/>
      <c r="AJ86" s="691"/>
      <c r="AK86" s="691"/>
      <c r="AL86" s="691"/>
      <c r="AM86" s="691"/>
      <c r="AN86" s="691"/>
      <c r="AO86" s="691"/>
      <c r="AP86" s="691"/>
      <c r="AQ86" s="691"/>
      <c r="AR86" s="691"/>
      <c r="AS86" s="691"/>
      <c r="AT86" s="691"/>
      <c r="AU86" s="691"/>
      <c r="AV86" s="691"/>
      <c r="AW86" s="691"/>
      <c r="AX86" s="691"/>
      <c r="AY86" s="691"/>
      <c r="AZ86" s="691"/>
      <c r="BA86" s="691"/>
    </row>
    <row r="87" spans="1:53" x14ac:dyDescent="0.25">
      <c r="A87" s="282">
        <v>19</v>
      </c>
      <c r="B87" s="116" t="s">
        <v>1302</v>
      </c>
      <c r="C87" s="116" t="s">
        <v>594</v>
      </c>
      <c r="D87" s="285"/>
      <c r="E87" s="285"/>
      <c r="F87" s="285"/>
      <c r="G87" s="285"/>
      <c r="H87" s="285"/>
      <c r="I87" s="688">
        <f>Input!I293</f>
        <v>92.938137764000032</v>
      </c>
      <c r="J87" s="688">
        <f>Input!J293</f>
        <v>228.65939216000001</v>
      </c>
      <c r="K87" s="688">
        <f>Input!K293</f>
        <v>281.23314594300001</v>
      </c>
      <c r="L87" s="688">
        <f>Input!L293</f>
        <v>232.72821926400005</v>
      </c>
      <c r="M87" s="688">
        <f>Input!M293</f>
        <v>182.05601948200001</v>
      </c>
      <c r="N87" s="688">
        <f>Input!N293</f>
        <v>187.37181360399993</v>
      </c>
      <c r="O87" s="688">
        <f>Input!O293</f>
        <v>196.173246562</v>
      </c>
      <c r="P87" s="689">
        <f>Input!P293</f>
        <v>164.81110048300005</v>
      </c>
      <c r="Q87" s="690">
        <f>Input!Q293</f>
        <v>262.58929473997233</v>
      </c>
      <c r="R87" s="690">
        <f>Input!R293</f>
        <v>266.49926872240485</v>
      </c>
      <c r="S87" s="690">
        <f>Input!S293</f>
        <v>320.53521914418815</v>
      </c>
      <c r="T87" s="690">
        <f>Input!T293</f>
        <v>334.39331556503402</v>
      </c>
      <c r="U87" s="690">
        <f>Input!U293</f>
        <v>250.02090223576434</v>
      </c>
      <c r="V87" s="690">
        <f>Input!V293</f>
        <v>262.19353445379022</v>
      </c>
      <c r="W87" s="690">
        <f>Input!W293</f>
        <v>138.6910408034652</v>
      </c>
      <c r="X87" s="690">
        <f>Input!X293</f>
        <v>144.04788275486609</v>
      </c>
      <c r="Y87" s="690">
        <f>Input!Y293</f>
        <v>119.87751691922006</v>
      </c>
      <c r="Z87" s="690">
        <f>Input!Z293</f>
        <v>93.679017989545699</v>
      </c>
      <c r="AA87" s="690"/>
      <c r="AB87" s="691"/>
      <c r="AC87" s="691"/>
      <c r="AD87" s="691"/>
      <c r="AE87" s="691"/>
      <c r="AF87" s="691"/>
      <c r="AG87" s="691"/>
      <c r="AH87" s="691"/>
      <c r="AI87" s="691"/>
      <c r="AJ87" s="691"/>
      <c r="AK87" s="691"/>
      <c r="AL87" s="691"/>
      <c r="AM87" s="691"/>
      <c r="AN87" s="691"/>
      <c r="AO87" s="691"/>
      <c r="AP87" s="691"/>
      <c r="AQ87" s="691"/>
      <c r="AR87" s="691"/>
      <c r="AS87" s="691"/>
      <c r="AT87" s="691"/>
      <c r="AU87" s="691"/>
      <c r="AV87" s="691"/>
      <c r="AW87" s="691"/>
      <c r="AX87" s="691"/>
      <c r="AY87" s="691"/>
      <c r="AZ87" s="691"/>
      <c r="BA87" s="691"/>
    </row>
    <row r="88" spans="1:53" x14ac:dyDescent="0.25">
      <c r="A88" s="115"/>
      <c r="B88" s="133" t="s">
        <v>1303</v>
      </c>
      <c r="C88" s="133" t="s">
        <v>1304</v>
      </c>
      <c r="D88" s="166"/>
      <c r="E88" s="166"/>
      <c r="F88" s="166"/>
      <c r="G88" s="166"/>
      <c r="H88" s="166"/>
      <c r="I88" s="167">
        <f>I82+SUM(I85:I87)</f>
        <v>699.65556326299998</v>
      </c>
      <c r="J88" s="167">
        <f>J82+SUM(J85:J87)</f>
        <v>482.08874687100001</v>
      </c>
      <c r="K88" s="167">
        <f t="shared" ref="K88:Z88" si="47">K82+SUM(K85:K87)</f>
        <v>612.15608453999994</v>
      </c>
      <c r="L88" s="167">
        <f t="shared" si="47"/>
        <v>655.81064181500005</v>
      </c>
      <c r="M88" s="167">
        <f t="shared" si="47"/>
        <v>497.31970547200001</v>
      </c>
      <c r="N88" s="167">
        <f t="shared" si="47"/>
        <v>580.31210996899995</v>
      </c>
      <c r="O88" s="167">
        <f t="shared" si="47"/>
        <v>347.87234367099995</v>
      </c>
      <c r="P88" s="743">
        <f t="shared" si="47"/>
        <v>293.26127431600003</v>
      </c>
      <c r="Q88" s="168">
        <f t="shared" ca="1" si="47"/>
        <v>520.42246747665536</v>
      </c>
      <c r="R88" s="168">
        <f t="shared" ca="1" si="47"/>
        <v>535.76581119854677</v>
      </c>
      <c r="S88" s="168">
        <f t="shared" ca="1" si="47"/>
        <v>659.40790741144122</v>
      </c>
      <c r="T88" s="168">
        <f t="shared" ca="1" si="47"/>
        <v>695.89417613476417</v>
      </c>
      <c r="U88" s="168">
        <f t="shared" ca="1" si="47"/>
        <v>634.02558265711468</v>
      </c>
      <c r="V88" s="168">
        <f t="shared" ca="1" si="47"/>
        <v>665.44797613433468</v>
      </c>
      <c r="W88" s="168">
        <f t="shared" ca="1" si="47"/>
        <v>566.5974696940915</v>
      </c>
      <c r="X88" s="168">
        <f t="shared" ca="1" si="47"/>
        <v>601.95457270273403</v>
      </c>
      <c r="Y88" s="168">
        <f t="shared" ca="1" si="47"/>
        <v>597.91954667420839</v>
      </c>
      <c r="Z88" s="168">
        <f t="shared" ca="1" si="47"/>
        <v>597.87273410881039</v>
      </c>
      <c r="AA88" s="168"/>
      <c r="AB88" s="169"/>
      <c r="AC88" s="169"/>
      <c r="AD88" s="169"/>
      <c r="AE88" s="169"/>
      <c r="AF88" s="169"/>
      <c r="AG88" s="169"/>
      <c r="AH88" s="169"/>
      <c r="AI88" s="169"/>
      <c r="AJ88" s="169"/>
      <c r="AK88" s="169"/>
      <c r="AL88" s="169"/>
      <c r="AM88" s="169"/>
      <c r="AN88" s="169"/>
      <c r="AO88" s="169"/>
      <c r="AP88" s="169"/>
      <c r="AQ88" s="169"/>
      <c r="AR88" s="169"/>
      <c r="AS88" s="169"/>
      <c r="AT88" s="169"/>
      <c r="AU88" s="169"/>
      <c r="AV88" s="169"/>
      <c r="AW88" s="169"/>
      <c r="AX88" s="169"/>
      <c r="AY88" s="169"/>
      <c r="AZ88" s="169"/>
      <c r="BA88" s="169"/>
    </row>
    <row r="89" spans="1:53" s="746" customFormat="1" x14ac:dyDescent="0.25">
      <c r="A89" s="676"/>
      <c r="B89" s="458" t="s">
        <v>1274</v>
      </c>
      <c r="C89" s="458"/>
      <c r="D89" s="542"/>
      <c r="E89" s="542"/>
      <c r="F89" s="542"/>
      <c r="G89" s="542"/>
      <c r="H89" s="542"/>
      <c r="I89" s="543">
        <f>I88-Input!I296</f>
        <v>0</v>
      </c>
      <c r="J89" s="543">
        <f>J88-Input!J296</f>
        <v>0</v>
      </c>
      <c r="K89" s="543">
        <f>K88-Input!K296</f>
        <v>0</v>
      </c>
      <c r="L89" s="543">
        <f>L88-Input!L296</f>
        <v>0</v>
      </c>
      <c r="M89" s="543">
        <f>M88-Input!M296</f>
        <v>0</v>
      </c>
      <c r="N89" s="543">
        <f>N88-Input!N296</f>
        <v>0</v>
      </c>
      <c r="O89" s="543">
        <f>O88-Input!O296</f>
        <v>0</v>
      </c>
      <c r="P89" s="745">
        <f>P88-Input!P296</f>
        <v>0</v>
      </c>
      <c r="Q89" s="1880">
        <f ca="1">Q88-Input!Q296</f>
        <v>0</v>
      </c>
      <c r="R89" s="1880">
        <f ca="1">R88-Input!R296</f>
        <v>0</v>
      </c>
      <c r="S89" s="1880">
        <f ca="1">S88-Input!S296</f>
        <v>0</v>
      </c>
      <c r="T89" s="1880">
        <f ca="1">T88-Input!T296</f>
        <v>0</v>
      </c>
      <c r="U89" s="1880">
        <f ca="1">U88-Input!U296</f>
        <v>0</v>
      </c>
      <c r="V89" s="1880">
        <f ca="1">V88-Input!V296</f>
        <v>0</v>
      </c>
      <c r="W89" s="1880">
        <f ca="1">W88-Input!W296</f>
        <v>0</v>
      </c>
      <c r="X89" s="1880">
        <f ca="1">X88-Input!X296</f>
        <v>0</v>
      </c>
      <c r="Y89" s="1880">
        <f ca="1">Y88-Input!Y296</f>
        <v>0</v>
      </c>
      <c r="Z89" s="1880">
        <f ca="1">Z88-Input!Z296</f>
        <v>0</v>
      </c>
      <c r="AA89" s="1880"/>
      <c r="AB89" s="1896"/>
      <c r="AC89" s="1896"/>
      <c r="AD89" s="1896"/>
      <c r="AE89" s="1896"/>
      <c r="AF89" s="1896"/>
      <c r="AG89" s="1896"/>
      <c r="AH89" s="1896"/>
      <c r="AI89" s="1896"/>
      <c r="AJ89" s="1896"/>
      <c r="AK89" s="1896"/>
      <c r="AL89" s="1896"/>
      <c r="AM89" s="1896"/>
      <c r="AN89" s="1896"/>
      <c r="AO89" s="1896"/>
      <c r="AP89" s="1896"/>
      <c r="AQ89" s="1896"/>
      <c r="AR89" s="1896"/>
      <c r="AS89" s="542"/>
      <c r="AT89" s="542"/>
      <c r="AU89" s="542"/>
      <c r="AV89" s="542"/>
      <c r="AW89" s="542"/>
      <c r="AX89" s="542"/>
      <c r="AY89" s="542"/>
      <c r="AZ89" s="542"/>
      <c r="BA89" s="542"/>
    </row>
    <row r="90" spans="1:53" x14ac:dyDescent="0.25">
      <c r="A90" s="676"/>
      <c r="B90" s="747"/>
      <c r="C90" s="742"/>
      <c r="D90" s="696"/>
      <c r="E90" s="696"/>
      <c r="F90" s="696"/>
      <c r="G90" s="696"/>
      <c r="H90" s="696"/>
      <c r="I90" s="696"/>
      <c r="J90" s="696"/>
      <c r="K90" s="696"/>
      <c r="L90" s="696"/>
      <c r="M90" s="696"/>
      <c r="N90" s="696"/>
      <c r="O90" s="696"/>
      <c r="P90" s="755"/>
      <c r="Q90" s="700"/>
      <c r="R90" s="700"/>
      <c r="S90" s="700"/>
      <c r="T90" s="700"/>
      <c r="U90" s="700"/>
      <c r="V90" s="700"/>
      <c r="W90" s="700"/>
      <c r="X90" s="700"/>
      <c r="Y90" s="700"/>
      <c r="Z90" s="700"/>
      <c r="AA90" s="700"/>
      <c r="AB90" s="700"/>
      <c r="AC90" s="700"/>
      <c r="AD90" s="700"/>
      <c r="AE90" s="700"/>
      <c r="AF90" s="700"/>
      <c r="AG90" s="700"/>
      <c r="AH90" s="700"/>
      <c r="AI90" s="700"/>
      <c r="AJ90" s="700"/>
      <c r="AK90" s="700"/>
      <c r="AL90" s="700"/>
      <c r="AM90" s="700"/>
      <c r="AN90" s="700"/>
      <c r="AO90" s="700"/>
      <c r="AP90" s="700"/>
      <c r="AQ90" s="700"/>
      <c r="AR90" s="700"/>
      <c r="AS90" s="696"/>
      <c r="AT90" s="696"/>
      <c r="AU90" s="696"/>
      <c r="AV90" s="696"/>
      <c r="AW90" s="696"/>
      <c r="AX90" s="696"/>
      <c r="AY90" s="696"/>
      <c r="AZ90" s="696"/>
      <c r="BA90" s="696"/>
    </row>
    <row r="91" spans="1:53" x14ac:dyDescent="0.25">
      <c r="A91" s="115">
        <v>22</v>
      </c>
      <c r="B91" s="116" t="s">
        <v>1305</v>
      </c>
      <c r="C91" s="116" t="s">
        <v>619</v>
      </c>
      <c r="D91" s="118"/>
      <c r="E91" s="118"/>
      <c r="F91" s="118"/>
      <c r="G91" s="118"/>
      <c r="H91" s="118"/>
      <c r="I91" s="119">
        <f>Input!I343</f>
        <v>0</v>
      </c>
      <c r="J91" s="119">
        <f>Input!J343</f>
        <v>0</v>
      </c>
      <c r="K91" s="119">
        <f>Input!K343</f>
        <v>0</v>
      </c>
      <c r="L91" s="119">
        <f>Input!L343</f>
        <v>0</v>
      </c>
      <c r="M91" s="119">
        <f>Input!M343</f>
        <v>0</v>
      </c>
      <c r="N91" s="119">
        <f>Input!N343</f>
        <v>0</v>
      </c>
      <c r="O91" s="119">
        <f>Input!O343</f>
        <v>0</v>
      </c>
      <c r="P91" s="671">
        <f>Input!P343</f>
        <v>0</v>
      </c>
      <c r="Q91" s="172">
        <f>Input!Q343</f>
        <v>0</v>
      </c>
      <c r="R91" s="172">
        <f>Input!R343</f>
        <v>0</v>
      </c>
      <c r="S91" s="172">
        <f>Input!S343</f>
        <v>0</v>
      </c>
      <c r="T91" s="172">
        <f>Input!T343</f>
        <v>0</v>
      </c>
      <c r="U91" s="172">
        <f>Input!U343</f>
        <v>0</v>
      </c>
      <c r="V91" s="172">
        <f>Input!V343</f>
        <v>0</v>
      </c>
      <c r="W91" s="172">
        <f>Input!W343</f>
        <v>0</v>
      </c>
      <c r="X91" s="172">
        <f>Input!X343</f>
        <v>0</v>
      </c>
      <c r="Y91" s="172">
        <f>Input!Y343</f>
        <v>0</v>
      </c>
      <c r="Z91" s="172">
        <f>Input!Z343</f>
        <v>0</v>
      </c>
      <c r="AA91" s="172"/>
      <c r="AB91" s="173"/>
      <c r="AC91" s="173"/>
      <c r="AD91" s="173"/>
      <c r="AE91" s="173"/>
      <c r="AF91" s="173"/>
      <c r="AG91" s="173"/>
      <c r="AH91" s="173"/>
      <c r="AI91" s="173"/>
      <c r="AJ91" s="173"/>
      <c r="AK91" s="173"/>
      <c r="AL91" s="173"/>
      <c r="AM91" s="173"/>
      <c r="AN91" s="173"/>
      <c r="AO91" s="173"/>
      <c r="AP91" s="173"/>
      <c r="AQ91" s="173"/>
      <c r="AR91" s="173"/>
      <c r="AS91" s="173"/>
      <c r="AT91" s="173"/>
      <c r="AU91" s="173"/>
      <c r="AV91" s="173"/>
      <c r="AW91" s="173"/>
      <c r="AX91" s="173"/>
      <c r="AY91" s="173"/>
      <c r="AZ91" s="173"/>
      <c r="BA91" s="173"/>
    </row>
    <row r="92" spans="1:53" x14ac:dyDescent="0.25">
      <c r="A92" s="115">
        <v>20</v>
      </c>
      <c r="B92" s="116" t="s">
        <v>1306</v>
      </c>
      <c r="C92" s="116"/>
      <c r="D92" s="118"/>
      <c r="E92" s="118"/>
      <c r="F92" s="118"/>
      <c r="G92" s="118"/>
      <c r="H92" s="118"/>
      <c r="I92" s="119">
        <f>+Input!I330</f>
        <v>35.595277428999999</v>
      </c>
      <c r="J92" s="119">
        <f>+Input!J330</f>
        <v>0</v>
      </c>
      <c r="K92" s="119">
        <f>+Input!K330</f>
        <v>0</v>
      </c>
      <c r="L92" s="119">
        <f>+Input!L330</f>
        <v>0</v>
      </c>
      <c r="M92" s="119">
        <f>+Input!M330</f>
        <v>0</v>
      </c>
      <c r="N92" s="119">
        <f>+Input!N330</f>
        <v>65.452849999999998</v>
      </c>
      <c r="O92" s="119">
        <f>+Input!O330</f>
        <v>62.725647917000003</v>
      </c>
      <c r="P92" s="671">
        <f>+Input!P330</f>
        <v>76</v>
      </c>
      <c r="Q92" s="172">
        <f>+Input!Q330</f>
        <v>237.32783785126321</v>
      </c>
      <c r="R92" s="172">
        <f>+Input!R330</f>
        <v>327.52710085320365</v>
      </c>
      <c r="S92" s="172">
        <f>+Input!S330</f>
        <v>267.1878255508301</v>
      </c>
      <c r="T92" s="172">
        <f>+Input!T330</f>
        <v>179.41668485297177</v>
      </c>
      <c r="U92" s="172">
        <f>+Input!U330</f>
        <v>120.34191553268084</v>
      </c>
      <c r="V92" s="172">
        <f>+Input!V330</f>
        <v>45.526526141799735</v>
      </c>
      <c r="W92" s="172">
        <f>+Input!W330</f>
        <v>18.436234488137067</v>
      </c>
      <c r="X92" s="172">
        <f>+Input!X330</f>
        <v>9.5654571258558008</v>
      </c>
      <c r="Y92" s="172">
        <f>+Input!Y330</f>
        <v>3.1884857086186003</v>
      </c>
      <c r="Z92" s="172">
        <f>+Input!Z330</f>
        <v>0</v>
      </c>
      <c r="AA92" s="172"/>
      <c r="AB92" s="173"/>
      <c r="AC92" s="173"/>
      <c r="AD92" s="173"/>
      <c r="AE92" s="173"/>
      <c r="AF92" s="173"/>
      <c r="AG92" s="173"/>
      <c r="AH92" s="173"/>
      <c r="AI92" s="173"/>
      <c r="AJ92" s="173"/>
      <c r="AK92" s="173"/>
      <c r="AL92" s="173"/>
      <c r="AM92" s="173"/>
      <c r="AN92" s="173"/>
      <c r="AO92" s="173"/>
      <c r="AP92" s="173"/>
      <c r="AQ92" s="173"/>
      <c r="AR92" s="173"/>
      <c r="AS92" s="173"/>
      <c r="AT92" s="173"/>
      <c r="AU92" s="173"/>
      <c r="AV92" s="173"/>
      <c r="AW92" s="173"/>
      <c r="AX92" s="173"/>
      <c r="AY92" s="173"/>
      <c r="AZ92" s="173"/>
      <c r="BA92" s="173"/>
    </row>
    <row r="93" spans="1:53" x14ac:dyDescent="0.25">
      <c r="A93" s="676"/>
      <c r="B93" s="756"/>
      <c r="C93" s="742" t="s">
        <v>1307</v>
      </c>
      <c r="D93" s="696"/>
      <c r="E93" s="696"/>
      <c r="F93" s="696"/>
      <c r="G93" s="696"/>
      <c r="H93" s="696"/>
      <c r="I93" s="696"/>
      <c r="J93" s="696"/>
      <c r="K93" s="696"/>
      <c r="L93" s="696"/>
      <c r="M93" s="696"/>
      <c r="N93" s="696"/>
      <c r="O93" s="696"/>
      <c r="P93" s="755"/>
      <c r="Q93" s="700"/>
      <c r="R93" s="700"/>
      <c r="S93" s="700"/>
      <c r="T93" s="700"/>
      <c r="U93" s="700"/>
      <c r="V93" s="700"/>
      <c r="W93" s="700"/>
      <c r="X93" s="700"/>
      <c r="Y93" s="700"/>
      <c r="Z93" s="700"/>
      <c r="AA93" s="700"/>
      <c r="AB93" s="700"/>
      <c r="AC93" s="700"/>
      <c r="AD93" s="700"/>
      <c r="AE93" s="700"/>
      <c r="AF93" s="700"/>
      <c r="AG93" s="700"/>
      <c r="AH93" s="700"/>
      <c r="AI93" s="700"/>
      <c r="AJ93" s="700"/>
      <c r="AK93" s="700"/>
      <c r="AL93" s="700"/>
      <c r="AM93" s="700"/>
      <c r="AN93" s="700"/>
      <c r="AO93" s="700"/>
      <c r="AP93" s="700"/>
      <c r="AQ93" s="700"/>
      <c r="AR93" s="700"/>
      <c r="AS93" s="700"/>
      <c r="AT93" s="700"/>
      <c r="AU93" s="700"/>
      <c r="AV93" s="700"/>
      <c r="AW93" s="700"/>
      <c r="AX93" s="700"/>
      <c r="AY93" s="700"/>
      <c r="AZ93" s="700"/>
      <c r="BA93" s="700"/>
    </row>
    <row r="94" spans="1:53" x14ac:dyDescent="0.25">
      <c r="A94" s="676"/>
      <c r="B94" s="756"/>
      <c r="C94" s="742" t="s">
        <v>1308</v>
      </c>
      <c r="D94" s="696"/>
      <c r="E94" s="696"/>
      <c r="F94" s="696"/>
      <c r="G94" s="696"/>
      <c r="H94" s="696"/>
      <c r="I94" s="696"/>
      <c r="J94" s="696"/>
      <c r="K94" s="696"/>
      <c r="L94" s="696"/>
      <c r="M94" s="696"/>
      <c r="N94" s="696"/>
      <c r="O94" s="696"/>
      <c r="P94" s="755"/>
      <c r="Q94" s="700"/>
      <c r="R94" s="700"/>
      <c r="S94" s="700"/>
      <c r="T94" s="700"/>
      <c r="U94" s="700"/>
      <c r="V94" s="700"/>
      <c r="W94" s="700"/>
      <c r="X94" s="700"/>
      <c r="Y94" s="700"/>
      <c r="Z94" s="700"/>
      <c r="AA94" s="700"/>
      <c r="AB94" s="700"/>
      <c r="AC94" s="700"/>
      <c r="AD94" s="700"/>
      <c r="AE94" s="700"/>
      <c r="AF94" s="700"/>
      <c r="AG94" s="700"/>
      <c r="AH94" s="700"/>
      <c r="AI94" s="700"/>
      <c r="AJ94" s="700"/>
      <c r="AK94" s="700"/>
      <c r="AL94" s="700"/>
      <c r="AM94" s="700"/>
      <c r="AN94" s="700"/>
      <c r="AO94" s="700"/>
      <c r="AP94" s="700"/>
      <c r="AQ94" s="700"/>
      <c r="AR94" s="700"/>
      <c r="AS94" s="700"/>
      <c r="AT94" s="700"/>
      <c r="AU94" s="700"/>
      <c r="AV94" s="700"/>
      <c r="AW94" s="700"/>
      <c r="AX94" s="700"/>
      <c r="AY94" s="700"/>
      <c r="AZ94" s="700"/>
      <c r="BA94" s="700"/>
    </row>
    <row r="95" spans="1:53" x14ac:dyDescent="0.25">
      <c r="A95" s="676"/>
      <c r="B95" s="756"/>
      <c r="C95" s="742" t="s">
        <v>1309</v>
      </c>
      <c r="D95" s="696"/>
      <c r="E95" s="696"/>
      <c r="F95" s="696"/>
      <c r="G95" s="696"/>
      <c r="H95" s="696"/>
      <c r="I95" s="696"/>
      <c r="J95" s="696"/>
      <c r="K95" s="696"/>
      <c r="L95" s="696"/>
      <c r="M95" s="696"/>
      <c r="N95" s="696"/>
      <c r="O95" s="696"/>
      <c r="P95" s="755"/>
      <c r="Q95" s="700"/>
      <c r="R95" s="700"/>
      <c r="S95" s="700"/>
      <c r="T95" s="700"/>
      <c r="U95" s="700"/>
      <c r="V95" s="700"/>
      <c r="W95" s="700"/>
      <c r="X95" s="700"/>
      <c r="Y95" s="700"/>
      <c r="Z95" s="700"/>
      <c r="AA95" s="700"/>
      <c r="AB95" s="700"/>
      <c r="AC95" s="700"/>
      <c r="AD95" s="700"/>
      <c r="AE95" s="700"/>
      <c r="AF95" s="700"/>
      <c r="AG95" s="700"/>
      <c r="AH95" s="700"/>
      <c r="AI95" s="700"/>
      <c r="AJ95" s="700"/>
      <c r="AK95" s="700"/>
      <c r="AL95" s="700"/>
      <c r="AM95" s="700"/>
      <c r="AN95" s="700"/>
      <c r="AO95" s="700"/>
      <c r="AP95" s="700"/>
      <c r="AQ95" s="700"/>
      <c r="AR95" s="700"/>
      <c r="AS95" s="700"/>
      <c r="AT95" s="700"/>
      <c r="AU95" s="700"/>
      <c r="AV95" s="700"/>
      <c r="AW95" s="700"/>
      <c r="AX95" s="700"/>
      <c r="AY95" s="700"/>
      <c r="AZ95" s="700"/>
      <c r="BA95" s="700"/>
    </row>
    <row r="96" spans="1:53" x14ac:dyDescent="0.25">
      <c r="A96" s="115">
        <v>21</v>
      </c>
      <c r="B96" s="116" t="s">
        <v>1310</v>
      </c>
      <c r="C96" s="116" t="s">
        <v>614</v>
      </c>
      <c r="D96" s="118"/>
      <c r="E96" s="118"/>
      <c r="F96" s="118"/>
      <c r="G96" s="118"/>
      <c r="H96" s="118"/>
      <c r="I96" s="119">
        <f>Input!I336</f>
        <v>0</v>
      </c>
      <c r="J96" s="119">
        <f>Input!J336</f>
        <v>0</v>
      </c>
      <c r="K96" s="119">
        <f>Input!K336</f>
        <v>0</v>
      </c>
      <c r="L96" s="119">
        <f>Input!L336</f>
        <v>0</v>
      </c>
      <c r="M96" s="119">
        <f>Input!M336</f>
        <v>0</v>
      </c>
      <c r="N96" s="119">
        <f>Input!N336</f>
        <v>0</v>
      </c>
      <c r="O96" s="119">
        <f>Input!O336</f>
        <v>0</v>
      </c>
      <c r="P96" s="671">
        <f>Input!P336</f>
        <v>0</v>
      </c>
      <c r="Q96" s="172">
        <f>Input!Q336</f>
        <v>0</v>
      </c>
      <c r="R96" s="172">
        <f>Input!R336</f>
        <v>0</v>
      </c>
      <c r="S96" s="172">
        <f>Input!S336</f>
        <v>0</v>
      </c>
      <c r="T96" s="172">
        <f>Input!T336</f>
        <v>0</v>
      </c>
      <c r="U96" s="172">
        <f>Input!U336</f>
        <v>0</v>
      </c>
      <c r="V96" s="172">
        <f>Input!V336</f>
        <v>0</v>
      </c>
      <c r="W96" s="172">
        <f>Input!W336</f>
        <v>0</v>
      </c>
      <c r="X96" s="172">
        <f>Input!X336</f>
        <v>0</v>
      </c>
      <c r="Y96" s="172">
        <f>Input!Y336</f>
        <v>0</v>
      </c>
      <c r="Z96" s="172">
        <f>Input!Z336</f>
        <v>0</v>
      </c>
      <c r="AA96" s="172"/>
      <c r="AB96" s="173"/>
      <c r="AC96" s="173"/>
      <c r="AD96" s="173"/>
      <c r="AE96" s="173"/>
      <c r="AF96" s="173"/>
      <c r="AG96" s="173"/>
      <c r="AH96" s="173"/>
      <c r="AI96" s="173"/>
      <c r="AJ96" s="173"/>
      <c r="AK96" s="173"/>
      <c r="AL96" s="173"/>
      <c r="AM96" s="173"/>
      <c r="AN96" s="173"/>
      <c r="AO96" s="173"/>
      <c r="AP96" s="173"/>
      <c r="AQ96" s="173"/>
      <c r="AR96" s="173"/>
      <c r="AS96" s="173"/>
      <c r="AT96" s="173"/>
      <c r="AU96" s="173"/>
      <c r="AV96" s="173"/>
      <c r="AW96" s="173"/>
      <c r="AX96" s="173"/>
      <c r="AY96" s="173"/>
      <c r="AZ96" s="173"/>
      <c r="BA96" s="173"/>
    </row>
    <row r="97" spans="1:53" x14ac:dyDescent="0.25">
      <c r="A97" s="115">
        <v>23</v>
      </c>
      <c r="B97" s="757" t="s">
        <v>1311</v>
      </c>
      <c r="C97" s="757" t="s">
        <v>621</v>
      </c>
      <c r="D97" s="118"/>
      <c r="E97" s="118"/>
      <c r="F97" s="118"/>
      <c r="G97" s="118"/>
      <c r="H97" s="118"/>
      <c r="I97" s="119">
        <f>Input!I347</f>
        <v>1.346204562000004</v>
      </c>
      <c r="J97" s="119">
        <f>Input!J347</f>
        <v>31.699796257999999</v>
      </c>
      <c r="K97" s="119">
        <f>Input!K347</f>
        <v>49.074599169000003</v>
      </c>
      <c r="L97" s="119">
        <f>Input!L347</f>
        <v>55.369126815000001</v>
      </c>
      <c r="M97" s="119">
        <f>Input!M347</f>
        <v>46.366882521999997</v>
      </c>
      <c r="N97" s="119">
        <f>Input!N347</f>
        <v>42.279639824</v>
      </c>
      <c r="O97" s="119">
        <f>Input!O347</f>
        <v>38.18591490499999</v>
      </c>
      <c r="P97" s="671">
        <f>Input!P347</f>
        <v>49.091748203999998</v>
      </c>
      <c r="Q97" s="172">
        <f>Input!Q347</f>
        <v>52.749439056214307</v>
      </c>
      <c r="R97" s="172">
        <f>Input!R347</f>
        <v>55.031219780851288</v>
      </c>
      <c r="S97" s="172">
        <f>Input!S347</f>
        <v>69.477243741891172</v>
      </c>
      <c r="T97" s="172">
        <f>Input!T347</f>
        <v>74.107148892536387</v>
      </c>
      <c r="U97" s="172">
        <f>Input!U347</f>
        <v>78.754758111194064</v>
      </c>
      <c r="V97" s="172">
        <f>Input!V347</f>
        <v>82.589048353868122</v>
      </c>
      <c r="W97" s="172">
        <f>Input!W347</f>
        <v>87.373329773579414</v>
      </c>
      <c r="X97" s="172">
        <f>Input!X347</f>
        <v>90.748061952768609</v>
      </c>
      <c r="Y97" s="172">
        <f>Input!Y347</f>
        <v>94.401355681865752</v>
      </c>
      <c r="Z97" s="172">
        <f>Input!Z347</f>
        <v>98.360688191633486</v>
      </c>
      <c r="AA97" s="172"/>
      <c r="AB97" s="173"/>
      <c r="AC97" s="173"/>
      <c r="AD97" s="173"/>
      <c r="AE97" s="173"/>
      <c r="AF97" s="173"/>
      <c r="AG97" s="173"/>
      <c r="AH97" s="173"/>
      <c r="AI97" s="173"/>
      <c r="AJ97" s="173"/>
      <c r="AK97" s="173"/>
      <c r="AL97" s="173"/>
      <c r="AM97" s="173"/>
      <c r="AN97" s="173"/>
      <c r="AO97" s="173"/>
      <c r="AP97" s="173"/>
      <c r="AQ97" s="173"/>
      <c r="AR97" s="173"/>
      <c r="AS97" s="173"/>
      <c r="AT97" s="173"/>
      <c r="AU97" s="173"/>
      <c r="AV97" s="173"/>
      <c r="AW97" s="173"/>
      <c r="AX97" s="173"/>
      <c r="AY97" s="173"/>
      <c r="AZ97" s="173"/>
      <c r="BA97" s="173"/>
    </row>
    <row r="98" spans="1:53" x14ac:dyDescent="0.25">
      <c r="A98" s="115"/>
      <c r="B98" s="758" t="s">
        <v>1312</v>
      </c>
      <c r="C98" s="758" t="s">
        <v>1313</v>
      </c>
      <c r="D98" s="759"/>
      <c r="E98" s="759"/>
      <c r="F98" s="759"/>
      <c r="G98" s="759"/>
      <c r="H98" s="759"/>
      <c r="I98" s="760">
        <f>I91+I92+I96+I97</f>
        <v>36.941481991000003</v>
      </c>
      <c r="J98" s="760">
        <f>J91+J92+J96+J97</f>
        <v>31.699796257999999</v>
      </c>
      <c r="K98" s="760">
        <f t="shared" ref="K98:Z98" si="48">K91+K92+K96+K97</f>
        <v>49.074599169000003</v>
      </c>
      <c r="L98" s="760">
        <f t="shared" si="48"/>
        <v>55.369126815000001</v>
      </c>
      <c r="M98" s="760">
        <f t="shared" si="48"/>
        <v>46.366882521999997</v>
      </c>
      <c r="N98" s="760">
        <f t="shared" si="48"/>
        <v>107.732489824</v>
      </c>
      <c r="O98" s="760">
        <f t="shared" si="48"/>
        <v>100.91156282199999</v>
      </c>
      <c r="P98" s="761">
        <f t="shared" si="48"/>
        <v>125.091748204</v>
      </c>
      <c r="Q98" s="762">
        <f t="shared" si="48"/>
        <v>290.07727690747754</v>
      </c>
      <c r="R98" s="762">
        <f t="shared" si="48"/>
        <v>382.55832063405495</v>
      </c>
      <c r="S98" s="762">
        <f t="shared" si="48"/>
        <v>336.66506929272128</v>
      </c>
      <c r="T98" s="762">
        <f t="shared" si="48"/>
        <v>253.52383374550817</v>
      </c>
      <c r="U98" s="762">
        <f t="shared" si="48"/>
        <v>199.09667364387491</v>
      </c>
      <c r="V98" s="762">
        <f t="shared" si="48"/>
        <v>128.11557449566786</v>
      </c>
      <c r="W98" s="762">
        <f t="shared" si="48"/>
        <v>105.80956426171647</v>
      </c>
      <c r="X98" s="762">
        <f t="shared" si="48"/>
        <v>100.31351907862441</v>
      </c>
      <c r="Y98" s="762">
        <f t="shared" si="48"/>
        <v>97.589841390484352</v>
      </c>
      <c r="Z98" s="762">
        <f t="shared" si="48"/>
        <v>98.360688191633486</v>
      </c>
      <c r="AA98" s="762"/>
      <c r="AB98" s="763"/>
      <c r="AC98" s="763"/>
      <c r="AD98" s="763"/>
      <c r="AE98" s="763"/>
      <c r="AF98" s="763"/>
      <c r="AG98" s="763"/>
      <c r="AH98" s="763"/>
      <c r="AI98" s="763"/>
      <c r="AJ98" s="763"/>
      <c r="AK98" s="763"/>
      <c r="AL98" s="763"/>
      <c r="AM98" s="763"/>
      <c r="AN98" s="763"/>
      <c r="AO98" s="763"/>
      <c r="AP98" s="763"/>
      <c r="AQ98" s="763"/>
      <c r="AR98" s="763"/>
      <c r="AS98" s="763"/>
      <c r="AT98" s="763"/>
      <c r="AU98" s="763"/>
      <c r="AV98" s="763"/>
      <c r="AW98" s="763"/>
      <c r="AX98" s="763"/>
      <c r="AY98" s="763"/>
      <c r="AZ98" s="763"/>
      <c r="BA98" s="763"/>
    </row>
    <row r="99" spans="1:53" ht="13.8" thickBot="1" x14ac:dyDescent="0.3">
      <c r="A99" s="115"/>
      <c r="B99" s="448" t="s">
        <v>1314</v>
      </c>
      <c r="C99" s="448" t="s">
        <v>1315</v>
      </c>
      <c r="D99" s="450"/>
      <c r="E99" s="450"/>
      <c r="F99" s="450"/>
      <c r="G99" s="450"/>
      <c r="H99" s="450"/>
      <c r="I99" s="451">
        <f>I98+I88</f>
        <v>736.59704525400002</v>
      </c>
      <c r="J99" s="451">
        <f>J98+J88</f>
        <v>513.788543129</v>
      </c>
      <c r="K99" s="451">
        <f t="shared" ref="K99:Z99" si="49">K98+K88</f>
        <v>661.23068370899989</v>
      </c>
      <c r="L99" s="451">
        <f t="shared" si="49"/>
        <v>711.17976863000001</v>
      </c>
      <c r="M99" s="451">
        <f t="shared" si="49"/>
        <v>543.68658799399998</v>
      </c>
      <c r="N99" s="451">
        <f t="shared" si="49"/>
        <v>688.04459979299997</v>
      </c>
      <c r="O99" s="451">
        <f t="shared" si="49"/>
        <v>448.78390649299996</v>
      </c>
      <c r="P99" s="751">
        <f t="shared" si="49"/>
        <v>418.35302252000002</v>
      </c>
      <c r="Q99" s="452">
        <f t="shared" ca="1" si="49"/>
        <v>810.4997443841329</v>
      </c>
      <c r="R99" s="452">
        <f t="shared" ca="1" si="49"/>
        <v>918.32413183260178</v>
      </c>
      <c r="S99" s="452">
        <f t="shared" ca="1" si="49"/>
        <v>996.07297670416256</v>
      </c>
      <c r="T99" s="452">
        <f t="shared" ca="1" si="49"/>
        <v>949.41800988027239</v>
      </c>
      <c r="U99" s="452">
        <f t="shared" ca="1" si="49"/>
        <v>833.12225630098965</v>
      </c>
      <c r="V99" s="452">
        <f t="shared" ca="1" si="49"/>
        <v>793.56355063000251</v>
      </c>
      <c r="W99" s="452">
        <f t="shared" ca="1" si="49"/>
        <v>672.40703395580795</v>
      </c>
      <c r="X99" s="452">
        <f t="shared" ca="1" si="49"/>
        <v>702.26809178135841</v>
      </c>
      <c r="Y99" s="452">
        <f t="shared" ca="1" si="49"/>
        <v>695.50938806469276</v>
      </c>
      <c r="Z99" s="452">
        <f t="shared" ca="1" si="49"/>
        <v>696.23342230044386</v>
      </c>
      <c r="AA99" s="452"/>
      <c r="AB99" s="453"/>
      <c r="AC99" s="453"/>
      <c r="AD99" s="453"/>
      <c r="AE99" s="453"/>
      <c r="AF99" s="453"/>
      <c r="AG99" s="453"/>
      <c r="AH99" s="453"/>
      <c r="AI99" s="453"/>
      <c r="AJ99" s="453"/>
      <c r="AK99" s="453"/>
      <c r="AL99" s="453"/>
      <c r="AM99" s="453"/>
      <c r="AN99" s="453"/>
      <c r="AO99" s="453"/>
      <c r="AP99" s="453"/>
      <c r="AQ99" s="453"/>
      <c r="AR99" s="453"/>
      <c r="AS99" s="453"/>
      <c r="AT99" s="453"/>
      <c r="AU99" s="453"/>
      <c r="AV99" s="453"/>
      <c r="AW99" s="453"/>
      <c r="AX99" s="453"/>
      <c r="AY99" s="453"/>
      <c r="AZ99" s="453"/>
      <c r="BA99" s="453"/>
    </row>
    <row r="100" spans="1:53" s="746" customFormat="1" ht="13.8" thickTop="1" x14ac:dyDescent="0.25">
      <c r="A100" s="676"/>
      <c r="B100" s="458" t="s">
        <v>1274</v>
      </c>
      <c r="C100" s="458"/>
      <c r="D100" s="542"/>
      <c r="E100" s="542"/>
      <c r="F100" s="542"/>
      <c r="G100" s="542"/>
      <c r="H100" s="542"/>
      <c r="I100" s="543">
        <f>I99-Input!I353</f>
        <v>0</v>
      </c>
      <c r="J100" s="543">
        <f>J99-Input!J353</f>
        <v>0</v>
      </c>
      <c r="K100" s="543">
        <f>K99-Input!K353</f>
        <v>0</v>
      </c>
      <c r="L100" s="543">
        <f>L99-Input!L353</f>
        <v>0</v>
      </c>
      <c r="M100" s="543">
        <f>M99-Input!M353</f>
        <v>0</v>
      </c>
      <c r="N100" s="543">
        <f>N99-Input!N353</f>
        <v>0</v>
      </c>
      <c r="O100" s="543">
        <f>O99-Input!O353</f>
        <v>0</v>
      </c>
      <c r="P100" s="543">
        <f>P99-Input!P353</f>
        <v>0</v>
      </c>
      <c r="Q100" s="2327">
        <f ca="1">Q99-Input!Q353</f>
        <v>0</v>
      </c>
      <c r="R100" s="2327">
        <f ca="1">R99-Input!R353</f>
        <v>0</v>
      </c>
      <c r="S100" s="2327">
        <f ca="1">S99-Input!S353</f>
        <v>0</v>
      </c>
      <c r="T100" s="2327">
        <f ca="1">T99-Input!T353</f>
        <v>0</v>
      </c>
      <c r="U100" s="2327">
        <f ca="1">U99-Input!U353</f>
        <v>0</v>
      </c>
      <c r="V100" s="2327">
        <f ca="1">V99-Input!V353</f>
        <v>0</v>
      </c>
      <c r="W100" s="2327">
        <f ca="1">W99-Input!W353</f>
        <v>0</v>
      </c>
      <c r="X100" s="2327">
        <f ca="1">X99-Input!X353</f>
        <v>0</v>
      </c>
      <c r="Y100" s="2327">
        <f ca="1">Y99-Input!Y353</f>
        <v>0</v>
      </c>
      <c r="Z100" s="2327">
        <f ca="1">Z99-Input!Z353</f>
        <v>0</v>
      </c>
      <c r="AA100" s="1880"/>
      <c r="AB100" s="1896"/>
      <c r="AC100" s="1896"/>
      <c r="AD100" s="1896"/>
      <c r="AE100" s="1896"/>
      <c r="AF100" s="1896"/>
      <c r="AG100" s="1896"/>
      <c r="AH100" s="1896"/>
      <c r="AI100" s="1896"/>
      <c r="AJ100" s="1896"/>
      <c r="AK100" s="1896"/>
      <c r="AL100" s="1896"/>
      <c r="AM100" s="1896"/>
      <c r="AN100" s="1896"/>
      <c r="AO100" s="1896"/>
      <c r="AP100" s="1896"/>
      <c r="AQ100" s="1896"/>
      <c r="AR100" s="1896"/>
      <c r="AS100" s="542"/>
      <c r="AT100" s="542"/>
      <c r="AU100" s="542"/>
      <c r="AV100" s="542"/>
      <c r="AW100" s="542"/>
      <c r="AX100" s="542"/>
      <c r="AY100" s="542"/>
      <c r="AZ100" s="542"/>
      <c r="BA100" s="542"/>
    </row>
    <row r="101" spans="1:53" x14ac:dyDescent="0.25">
      <c r="A101" s="658"/>
      <c r="B101" s="764"/>
      <c r="C101" s="764"/>
      <c r="D101" s="765"/>
      <c r="E101" s="765"/>
      <c r="F101" s="765"/>
      <c r="G101" s="765"/>
      <c r="H101" s="765"/>
      <c r="I101" s="765"/>
      <c r="J101" s="765"/>
      <c r="K101" s="765"/>
      <c r="L101" s="765"/>
      <c r="M101" s="765"/>
      <c r="N101" s="765"/>
      <c r="O101" s="765"/>
      <c r="P101" s="766"/>
      <c r="Q101" s="1891"/>
      <c r="R101" s="1891"/>
      <c r="S101" s="1891"/>
      <c r="T101" s="1891"/>
      <c r="U101" s="1891"/>
      <c r="V101" s="1891"/>
      <c r="W101" s="1891"/>
      <c r="X101" s="1891"/>
      <c r="Y101" s="1891"/>
      <c r="Z101" s="1891"/>
      <c r="AA101" s="1891"/>
      <c r="AB101" s="1891"/>
      <c r="AC101" s="1891"/>
      <c r="AD101" s="1891"/>
      <c r="AE101" s="1891"/>
      <c r="AF101" s="1891"/>
      <c r="AG101" s="1891"/>
      <c r="AH101" s="1891"/>
      <c r="AI101" s="1891"/>
      <c r="AJ101" s="1891"/>
      <c r="AK101" s="1891"/>
      <c r="AL101" s="1891"/>
      <c r="AM101" s="1891"/>
      <c r="AN101" s="1891"/>
      <c r="AO101" s="1891"/>
      <c r="AP101" s="1891"/>
      <c r="AQ101" s="1891"/>
      <c r="AR101" s="1891"/>
      <c r="AS101" s="765"/>
      <c r="AT101" s="765"/>
      <c r="AU101" s="765"/>
      <c r="AV101" s="765"/>
      <c r="AW101" s="765"/>
      <c r="AX101" s="765"/>
      <c r="AY101" s="765"/>
      <c r="AZ101" s="765"/>
      <c r="BA101" s="765"/>
    </row>
    <row r="102" spans="1:53" x14ac:dyDescent="0.25">
      <c r="A102" s="115"/>
      <c r="B102" s="151" t="s">
        <v>1316</v>
      </c>
      <c r="C102" s="151" t="s">
        <v>625</v>
      </c>
      <c r="D102" s="118"/>
      <c r="E102" s="118"/>
      <c r="F102" s="118"/>
      <c r="G102" s="118"/>
      <c r="H102" s="118"/>
      <c r="I102" s="118"/>
      <c r="J102" s="118"/>
      <c r="K102" s="118"/>
      <c r="L102" s="118"/>
      <c r="M102" s="118"/>
      <c r="N102" s="118"/>
      <c r="O102" s="118"/>
      <c r="P102" s="218"/>
      <c r="Q102" s="173"/>
      <c r="R102" s="173"/>
      <c r="S102" s="173"/>
      <c r="T102" s="173"/>
      <c r="U102" s="173"/>
      <c r="V102" s="173"/>
      <c r="W102" s="173"/>
      <c r="X102" s="173"/>
      <c r="Y102" s="173"/>
      <c r="Z102" s="173"/>
      <c r="AA102" s="173"/>
      <c r="AB102" s="173"/>
      <c r="AC102" s="173"/>
      <c r="AD102" s="173"/>
      <c r="AE102" s="173"/>
      <c r="AF102" s="173"/>
      <c r="AG102" s="173"/>
      <c r="AH102" s="173"/>
      <c r="AI102" s="173"/>
      <c r="AJ102" s="173"/>
      <c r="AK102" s="173"/>
      <c r="AL102" s="173"/>
      <c r="AM102" s="173"/>
      <c r="AN102" s="173"/>
      <c r="AO102" s="173"/>
      <c r="AP102" s="173"/>
      <c r="AQ102" s="173"/>
      <c r="AR102" s="173"/>
      <c r="AS102" s="118"/>
      <c r="AT102" s="118"/>
      <c r="AU102" s="118"/>
      <c r="AV102" s="118"/>
      <c r="AW102" s="118"/>
      <c r="AX102" s="118"/>
      <c r="AY102" s="118"/>
      <c r="AZ102" s="118"/>
      <c r="BA102" s="118"/>
    </row>
    <row r="103" spans="1:53" x14ac:dyDescent="0.25">
      <c r="A103" s="115">
        <v>24</v>
      </c>
      <c r="B103" s="116" t="s">
        <v>1265</v>
      </c>
      <c r="C103" s="116" t="s">
        <v>628</v>
      </c>
      <c r="D103" s="118"/>
      <c r="E103" s="118"/>
      <c r="F103" s="118"/>
      <c r="G103" s="118"/>
      <c r="H103" s="118"/>
      <c r="I103" s="119">
        <f>Input!I359</f>
        <v>13.365182869</v>
      </c>
      <c r="J103" s="119">
        <f>Input!J359</f>
        <v>0</v>
      </c>
      <c r="K103" s="119">
        <f>Input!K359</f>
        <v>0</v>
      </c>
      <c r="L103" s="119">
        <f>Input!L359</f>
        <v>0</v>
      </c>
      <c r="M103" s="119">
        <f>Input!M359</f>
        <v>0</v>
      </c>
      <c r="N103" s="119">
        <f>Input!N359</f>
        <v>0</v>
      </c>
      <c r="O103" s="119">
        <f>Input!O359</f>
        <v>0</v>
      </c>
      <c r="P103" s="671">
        <f>Input!P359</f>
        <v>0</v>
      </c>
      <c r="Q103" s="172">
        <f ca="1">Input!Q359</f>
        <v>0</v>
      </c>
      <c r="R103" s="172">
        <f ca="1">Input!R359</f>
        <v>0</v>
      </c>
      <c r="S103" s="172">
        <f ca="1">Input!S359</f>
        <v>0</v>
      </c>
      <c r="T103" s="172">
        <f ca="1">Input!T359</f>
        <v>0</v>
      </c>
      <c r="U103" s="172">
        <f ca="1">Input!U359</f>
        <v>0</v>
      </c>
      <c r="V103" s="172">
        <f ca="1">Input!V359</f>
        <v>0</v>
      </c>
      <c r="W103" s="172">
        <f ca="1">Input!W359</f>
        <v>0</v>
      </c>
      <c r="X103" s="172">
        <f ca="1">Input!X359</f>
        <v>0</v>
      </c>
      <c r="Y103" s="172">
        <f ca="1">Input!Y359</f>
        <v>0</v>
      </c>
      <c r="Z103" s="172">
        <f ca="1">Input!Z359</f>
        <v>0</v>
      </c>
      <c r="AA103" s="172"/>
      <c r="AB103" s="173"/>
      <c r="AC103" s="173"/>
      <c r="AD103" s="173"/>
      <c r="AE103" s="173"/>
      <c r="AF103" s="173"/>
      <c r="AG103" s="173"/>
      <c r="AH103" s="173"/>
      <c r="AI103" s="173"/>
      <c r="AJ103" s="173"/>
      <c r="AK103" s="173"/>
      <c r="AL103" s="173"/>
      <c r="AM103" s="173"/>
      <c r="AN103" s="173"/>
      <c r="AO103" s="173"/>
      <c r="AP103" s="173"/>
      <c r="AQ103" s="173"/>
      <c r="AR103" s="173"/>
      <c r="AS103" s="173"/>
      <c r="AT103" s="173"/>
      <c r="AU103" s="173"/>
      <c r="AV103" s="173"/>
      <c r="AW103" s="173"/>
      <c r="AX103" s="173"/>
      <c r="AY103" s="173"/>
      <c r="AZ103" s="173"/>
      <c r="BA103" s="173"/>
    </row>
    <row r="104" spans="1:53" x14ac:dyDescent="0.25">
      <c r="A104" s="115"/>
      <c r="B104" s="116"/>
      <c r="C104" s="116"/>
      <c r="D104" s="118"/>
      <c r="E104" s="118"/>
      <c r="F104" s="118"/>
      <c r="G104" s="118"/>
      <c r="H104" s="118"/>
      <c r="I104" s="118"/>
      <c r="J104" s="118"/>
      <c r="K104" s="118"/>
      <c r="L104" s="118"/>
      <c r="M104" s="118"/>
      <c r="N104" s="118"/>
      <c r="O104" s="118"/>
      <c r="P104" s="218"/>
      <c r="Q104" s="173"/>
      <c r="R104" s="173"/>
      <c r="S104" s="173"/>
      <c r="T104" s="173"/>
      <c r="U104" s="173"/>
      <c r="V104" s="173"/>
      <c r="W104" s="173"/>
      <c r="X104" s="173"/>
      <c r="Y104" s="173"/>
      <c r="Z104" s="173"/>
      <c r="AA104" s="173"/>
      <c r="AB104" s="173"/>
      <c r="AC104" s="173"/>
      <c r="AD104" s="173"/>
      <c r="AE104" s="173"/>
      <c r="AF104" s="173"/>
      <c r="AG104" s="173"/>
      <c r="AH104" s="173"/>
      <c r="AI104" s="173"/>
      <c r="AJ104" s="173"/>
      <c r="AK104" s="173"/>
      <c r="AL104" s="173"/>
      <c r="AM104" s="173"/>
      <c r="AN104" s="173"/>
      <c r="AO104" s="173"/>
      <c r="AP104" s="173"/>
      <c r="AQ104" s="173"/>
      <c r="AR104" s="173"/>
      <c r="AS104" s="118"/>
      <c r="AT104" s="118"/>
      <c r="AU104" s="118"/>
      <c r="AV104" s="118"/>
      <c r="AW104" s="118"/>
      <c r="AX104" s="118"/>
      <c r="AY104" s="118"/>
      <c r="AZ104" s="118"/>
      <c r="BA104" s="118"/>
    </row>
    <row r="105" spans="1:53" x14ac:dyDescent="0.25">
      <c r="A105" s="115"/>
      <c r="B105" s="151" t="s">
        <v>166</v>
      </c>
      <c r="C105" s="151" t="s">
        <v>629</v>
      </c>
      <c r="D105" s="118"/>
      <c r="E105" s="118"/>
      <c r="F105" s="118"/>
      <c r="G105" s="118"/>
      <c r="H105" s="118"/>
      <c r="I105" s="118"/>
      <c r="J105" s="118"/>
      <c r="K105" s="118"/>
      <c r="L105" s="118"/>
      <c r="M105" s="118"/>
      <c r="N105" s="118"/>
      <c r="O105" s="118"/>
      <c r="P105" s="218"/>
      <c r="Q105" s="173"/>
      <c r="R105" s="173"/>
      <c r="S105" s="173"/>
      <c r="T105" s="173"/>
      <c r="U105" s="173"/>
      <c r="V105" s="173"/>
      <c r="W105" s="173"/>
      <c r="X105" s="173"/>
      <c r="Y105" s="173"/>
      <c r="Z105" s="173"/>
      <c r="AA105" s="173"/>
      <c r="AB105" s="173"/>
      <c r="AC105" s="173"/>
      <c r="AD105" s="173"/>
      <c r="AE105" s="173"/>
      <c r="AF105" s="173"/>
      <c r="AG105" s="173"/>
      <c r="AH105" s="173"/>
      <c r="AI105" s="173"/>
      <c r="AJ105" s="173"/>
      <c r="AK105" s="173"/>
      <c r="AL105" s="173"/>
      <c r="AM105" s="173"/>
      <c r="AN105" s="173"/>
      <c r="AO105" s="173"/>
      <c r="AP105" s="173"/>
      <c r="AQ105" s="173"/>
      <c r="AR105" s="173"/>
      <c r="AS105" s="118"/>
      <c r="AT105" s="118"/>
      <c r="AU105" s="118"/>
      <c r="AV105" s="118"/>
      <c r="AW105" s="118"/>
      <c r="AX105" s="118"/>
      <c r="AY105" s="118"/>
      <c r="AZ105" s="118"/>
      <c r="BA105" s="118"/>
    </row>
    <row r="106" spans="1:53" x14ac:dyDescent="0.25">
      <c r="A106" s="115">
        <v>25</v>
      </c>
      <c r="B106" s="116" t="s">
        <v>1317</v>
      </c>
      <c r="C106" s="116" t="s">
        <v>633</v>
      </c>
      <c r="D106" s="118"/>
      <c r="E106" s="118"/>
      <c r="F106" s="118"/>
      <c r="G106" s="118"/>
      <c r="H106" s="118"/>
      <c r="I106" s="119">
        <f>Input!I366</f>
        <v>0</v>
      </c>
      <c r="J106" s="119">
        <f>Input!J366</f>
        <v>0</v>
      </c>
      <c r="K106" s="119">
        <f>Input!K366</f>
        <v>0</v>
      </c>
      <c r="L106" s="119">
        <f>Input!L366</f>
        <v>0</v>
      </c>
      <c r="M106" s="119">
        <f>Input!M366</f>
        <v>0</v>
      </c>
      <c r="N106" s="119">
        <f>Input!N366</f>
        <v>0</v>
      </c>
      <c r="O106" s="119">
        <f>Input!O366</f>
        <v>0</v>
      </c>
      <c r="P106" s="671">
        <f>Input!P366</f>
        <v>0</v>
      </c>
      <c r="Q106" s="172">
        <f>Input!Q366</f>
        <v>0</v>
      </c>
      <c r="R106" s="172">
        <f>Input!R366</f>
        <v>0</v>
      </c>
      <c r="S106" s="172">
        <f>Input!S366</f>
        <v>0</v>
      </c>
      <c r="T106" s="172">
        <f>Input!T366</f>
        <v>0</v>
      </c>
      <c r="U106" s="172">
        <f>Input!U366</f>
        <v>0</v>
      </c>
      <c r="V106" s="172">
        <f>Input!V366</f>
        <v>0</v>
      </c>
      <c r="W106" s="172">
        <f>Input!W366</f>
        <v>0</v>
      </c>
      <c r="X106" s="172">
        <f>Input!X366</f>
        <v>0</v>
      </c>
      <c r="Y106" s="172">
        <f>Input!Y366</f>
        <v>0</v>
      </c>
      <c r="Z106" s="172">
        <f>Input!Z366</f>
        <v>0</v>
      </c>
      <c r="AA106" s="172"/>
      <c r="AB106" s="173"/>
      <c r="AC106" s="173"/>
      <c r="AD106" s="173"/>
      <c r="AE106" s="173"/>
      <c r="AF106" s="173"/>
      <c r="AG106" s="173"/>
      <c r="AH106" s="173"/>
      <c r="AI106" s="173"/>
      <c r="AJ106" s="173"/>
      <c r="AK106" s="173"/>
      <c r="AL106" s="173"/>
      <c r="AM106" s="173"/>
      <c r="AN106" s="173"/>
      <c r="AO106" s="173"/>
      <c r="AP106" s="173"/>
      <c r="AQ106" s="173"/>
      <c r="AR106" s="173"/>
      <c r="AS106" s="173"/>
      <c r="AT106" s="173"/>
      <c r="AU106" s="173"/>
      <c r="AV106" s="173"/>
      <c r="AW106" s="173"/>
      <c r="AX106" s="173"/>
      <c r="AY106" s="173"/>
      <c r="AZ106" s="173"/>
      <c r="BA106" s="173"/>
    </row>
    <row r="107" spans="1:53" x14ac:dyDescent="0.25">
      <c r="A107" s="115">
        <v>26</v>
      </c>
      <c r="B107" s="116" t="s">
        <v>1318</v>
      </c>
      <c r="C107" s="116" t="s">
        <v>636</v>
      </c>
      <c r="D107" s="118"/>
      <c r="E107" s="118"/>
      <c r="F107" s="118"/>
      <c r="G107" s="118"/>
      <c r="H107" s="118"/>
      <c r="I107" s="119">
        <f>+Input!I370</f>
        <v>120.00646</v>
      </c>
      <c r="J107" s="119">
        <f>+Input!J370</f>
        <v>419.18279000000001</v>
      </c>
      <c r="K107" s="119">
        <f>+Input!K370</f>
        <v>523.79</v>
      </c>
      <c r="L107" s="119">
        <f>+Input!L370</f>
        <v>523.79</v>
      </c>
      <c r="M107" s="119">
        <f>+Input!M370</f>
        <v>523.79</v>
      </c>
      <c r="N107" s="119">
        <f>+Input!N370</f>
        <v>523.79</v>
      </c>
      <c r="O107" s="119">
        <f>+Input!O370</f>
        <v>523.79</v>
      </c>
      <c r="P107" s="671">
        <f>+Input!P370</f>
        <v>576.12444000000005</v>
      </c>
      <c r="Q107" s="172">
        <f>+Input!Q370</f>
        <v>576.12444000000005</v>
      </c>
      <c r="R107" s="172">
        <f>+Input!R370</f>
        <v>576.12444000000005</v>
      </c>
      <c r="S107" s="172">
        <f>+Input!S370</f>
        <v>576.12444000000005</v>
      </c>
      <c r="T107" s="172">
        <f>+Input!T370</f>
        <v>576.12444000000005</v>
      </c>
      <c r="U107" s="172">
        <f>+Input!U370</f>
        <v>576.12444000000005</v>
      </c>
      <c r="V107" s="172">
        <f>+Input!V370</f>
        <v>576.12444000000005</v>
      </c>
      <c r="W107" s="172">
        <f>+Input!W370</f>
        <v>576.12444000000005</v>
      </c>
      <c r="X107" s="172">
        <f>+Input!X370</f>
        <v>576.12444000000005</v>
      </c>
      <c r="Y107" s="172">
        <f>+Input!Y370</f>
        <v>576.12444000000005</v>
      </c>
      <c r="Z107" s="172">
        <f>+Input!Z370</f>
        <v>576.12444000000005</v>
      </c>
      <c r="AA107" s="172"/>
      <c r="AB107" s="173"/>
      <c r="AC107" s="173"/>
      <c r="AD107" s="173"/>
      <c r="AE107" s="173"/>
      <c r="AF107" s="173"/>
      <c r="AG107" s="173"/>
      <c r="AH107" s="173"/>
      <c r="AI107" s="173"/>
      <c r="AJ107" s="173"/>
      <c r="AK107" s="173"/>
      <c r="AL107" s="173"/>
      <c r="AM107" s="173"/>
      <c r="AN107" s="173"/>
      <c r="AO107" s="173"/>
      <c r="AP107" s="173"/>
      <c r="AQ107" s="173"/>
      <c r="AR107" s="173"/>
      <c r="AS107" s="173"/>
      <c r="AT107" s="173"/>
      <c r="AU107" s="173"/>
      <c r="AV107" s="173"/>
      <c r="AW107" s="173"/>
      <c r="AX107" s="173"/>
      <c r="AY107" s="173"/>
      <c r="AZ107" s="173"/>
      <c r="BA107" s="173"/>
    </row>
    <row r="108" spans="1:53" x14ac:dyDescent="0.25">
      <c r="A108" s="115">
        <v>27</v>
      </c>
      <c r="B108" s="116" t="s">
        <v>1319</v>
      </c>
      <c r="C108" s="116"/>
      <c r="D108" s="118"/>
      <c r="E108" s="118"/>
      <c r="F108" s="118"/>
      <c r="G108" s="118"/>
      <c r="H108" s="118"/>
      <c r="I108" s="119">
        <f>+Input!I374</f>
        <v>-9.4124148000000005E-2</v>
      </c>
      <c r="J108" s="119">
        <f>+Input!J374</f>
        <v>0</v>
      </c>
      <c r="K108" s="119">
        <f>+Input!K374</f>
        <v>20.921441999999999</v>
      </c>
      <c r="L108" s="119">
        <f>+Input!L374</f>
        <v>20.921441999999999</v>
      </c>
      <c r="M108" s="119">
        <f>+Input!M374</f>
        <v>20.921441999999999</v>
      </c>
      <c r="N108" s="119">
        <f>+Input!N374</f>
        <v>20.921441999999999</v>
      </c>
      <c r="O108" s="119">
        <f>+Input!O374</f>
        <v>20.921441999999999</v>
      </c>
      <c r="P108" s="671">
        <f>+Input!P374</f>
        <v>20.921441999999999</v>
      </c>
      <c r="Q108" s="172">
        <f>+Input!Q374</f>
        <v>20.921441999999999</v>
      </c>
      <c r="R108" s="172">
        <f>+Input!R374</f>
        <v>20.921441999999999</v>
      </c>
      <c r="S108" s="172">
        <f>+Input!S374</f>
        <v>20.921441999999999</v>
      </c>
      <c r="T108" s="172">
        <f>+Input!T374</f>
        <v>20.921441999999999</v>
      </c>
      <c r="U108" s="172">
        <f>+Input!U374</f>
        <v>20.921441999999999</v>
      </c>
      <c r="V108" s="172">
        <f>+Input!V374</f>
        <v>20.921441999999999</v>
      </c>
      <c r="W108" s="172">
        <f>+Input!W374</f>
        <v>20.921441999999999</v>
      </c>
      <c r="X108" s="172">
        <f>+Input!X374</f>
        <v>20.921441999999999</v>
      </c>
      <c r="Y108" s="172">
        <f>+Input!Y374</f>
        <v>20.921441999999999</v>
      </c>
      <c r="Z108" s="172">
        <f>+Input!Z374</f>
        <v>20.921441999999999</v>
      </c>
      <c r="AA108" s="172"/>
      <c r="AB108" s="173"/>
      <c r="AC108" s="173"/>
      <c r="AD108" s="173"/>
      <c r="AE108" s="173"/>
      <c r="AF108" s="173"/>
      <c r="AG108" s="173"/>
      <c r="AH108" s="173"/>
      <c r="AI108" s="173"/>
      <c r="AJ108" s="173"/>
      <c r="AK108" s="173"/>
      <c r="AL108" s="173"/>
      <c r="AM108" s="173"/>
      <c r="AN108" s="173"/>
      <c r="AO108" s="173"/>
      <c r="AP108" s="173"/>
      <c r="AQ108" s="173"/>
      <c r="AR108" s="173"/>
      <c r="AS108" s="173"/>
      <c r="AT108" s="173"/>
      <c r="AU108" s="173"/>
      <c r="AV108" s="173"/>
      <c r="AW108" s="173"/>
      <c r="AX108" s="173"/>
      <c r="AY108" s="173"/>
      <c r="AZ108" s="173"/>
      <c r="BA108" s="173"/>
    </row>
    <row r="109" spans="1:53" x14ac:dyDescent="0.25">
      <c r="A109" s="115">
        <v>28</v>
      </c>
      <c r="B109" s="116" t="s">
        <v>1273</v>
      </c>
      <c r="C109" s="116" t="s">
        <v>641</v>
      </c>
      <c r="D109" s="118"/>
      <c r="E109" s="118"/>
      <c r="F109" s="118"/>
      <c r="G109" s="118"/>
      <c r="H109" s="118"/>
      <c r="I109" s="119">
        <f>Input!I378</f>
        <v>108.123490082</v>
      </c>
      <c r="J109" s="119">
        <f>Input!J378</f>
        <v>106.71932934599999</v>
      </c>
      <c r="K109" s="119">
        <f>Input!K378</f>
        <v>156.027758506</v>
      </c>
      <c r="L109" s="119">
        <f>Input!L378</f>
        <v>204.07064098199999</v>
      </c>
      <c r="M109" s="119">
        <f>Input!M378</f>
        <v>249.385783562</v>
      </c>
      <c r="N109" s="119">
        <f>Input!N378</f>
        <v>281.75466900800001</v>
      </c>
      <c r="O109" s="119">
        <f>Input!O378</f>
        <v>326.31662956399998</v>
      </c>
      <c r="P109" s="671">
        <f>Input!P378</f>
        <v>412.215586229</v>
      </c>
      <c r="Q109" s="172">
        <f ca="1">Input!Q378</f>
        <v>582.57640640476131</v>
      </c>
      <c r="R109" s="172">
        <f ca="1">Input!R378</f>
        <v>750.7244000728333</v>
      </c>
      <c r="S109" s="172">
        <f ca="1">Input!S378</f>
        <v>979.42612123416916</v>
      </c>
      <c r="T109" s="172">
        <f ca="1">Input!T378</f>
        <v>1194.6265350385545</v>
      </c>
      <c r="U109" s="172">
        <f ca="1">Input!U378</f>
        <v>1461.2273227803066</v>
      </c>
      <c r="V109" s="172">
        <f ca="1">Input!V378</f>
        <v>1736.2809312932022</v>
      </c>
      <c r="W109" s="172">
        <f ca="1">Input!W378</f>
        <v>1998.2608704695876</v>
      </c>
      <c r="X109" s="172">
        <f ca="1">Input!X378</f>
        <v>2284.4976813002995</v>
      </c>
      <c r="Y109" s="172">
        <f ca="1">Input!Y378</f>
        <v>2511.4196719026427</v>
      </c>
      <c r="Z109" s="172">
        <f ca="1">Input!Z378</f>
        <v>2738.4131239630465</v>
      </c>
      <c r="AA109" s="172"/>
      <c r="AB109" s="173"/>
      <c r="AC109" s="173"/>
      <c r="AD109" s="173"/>
      <c r="AE109" s="173"/>
      <c r="AF109" s="173"/>
      <c r="AG109" s="173"/>
      <c r="AH109" s="173"/>
      <c r="AI109" s="173"/>
      <c r="AJ109" s="173"/>
      <c r="AK109" s="173"/>
      <c r="AL109" s="173"/>
      <c r="AM109" s="173"/>
      <c r="AN109" s="173"/>
      <c r="AO109" s="173"/>
      <c r="AP109" s="173"/>
      <c r="AQ109" s="173"/>
      <c r="AR109" s="173"/>
      <c r="AS109" s="173"/>
      <c r="AT109" s="173"/>
      <c r="AU109" s="173"/>
      <c r="AV109" s="173"/>
      <c r="AW109" s="173"/>
      <c r="AX109" s="173"/>
      <c r="AY109" s="173"/>
      <c r="AZ109" s="173"/>
      <c r="BA109" s="173"/>
    </row>
    <row r="110" spans="1:53" x14ac:dyDescent="0.25">
      <c r="A110" s="115">
        <v>29</v>
      </c>
      <c r="B110" s="116" t="s">
        <v>1320</v>
      </c>
      <c r="C110" s="116" t="s">
        <v>644</v>
      </c>
      <c r="D110" s="118"/>
      <c r="E110" s="118"/>
      <c r="F110" s="118"/>
      <c r="G110" s="118"/>
      <c r="H110" s="118"/>
      <c r="I110" s="119">
        <f>+Input!I382</f>
        <v>112.94786416699999</v>
      </c>
      <c r="J110" s="119">
        <f>+Input!J382</f>
        <v>28.242535173000022</v>
      </c>
      <c r="K110" s="119">
        <f>+Input!K382</f>
        <v>72.290069868000046</v>
      </c>
      <c r="L110" s="119">
        <f>+Input!L382</f>
        <v>84.228168681999989</v>
      </c>
      <c r="M110" s="119">
        <f>+Input!M382</f>
        <v>96.557063628999998</v>
      </c>
      <c r="N110" s="119">
        <f>+Input!N382</f>
        <v>106.04220985500001</v>
      </c>
      <c r="O110" s="119">
        <f>+Input!O382</f>
        <v>117.59745866600002</v>
      </c>
      <c r="P110" s="671">
        <f>+Input!P382</f>
        <v>125.87992741500011</v>
      </c>
      <c r="Q110" s="172">
        <f ca="1">+Input!Q382</f>
        <v>128.59261932854704</v>
      </c>
      <c r="R110" s="172">
        <f ca="1">+Input!R382</f>
        <v>127.0170880637982</v>
      </c>
      <c r="S110" s="172">
        <f ca="1">+Input!S382</f>
        <v>184.53819706604139</v>
      </c>
      <c r="T110" s="172">
        <f ca="1">+Input!T382</f>
        <v>212.8473116261344</v>
      </c>
      <c r="U110" s="172">
        <f ca="1">+Input!U382</f>
        <v>245.59387122084505</v>
      </c>
      <c r="V110" s="172">
        <f ca="1">+Input!V382</f>
        <v>269.97128433992066</v>
      </c>
      <c r="W110" s="172">
        <f ca="1">+Input!W382</f>
        <v>299.17650499324554</v>
      </c>
      <c r="X110" s="172">
        <f ca="1">+Input!X382</f>
        <v>314.43969469230643</v>
      </c>
      <c r="Y110" s="172">
        <f ca="1">+Input!Y382</f>
        <v>331.79881651353213</v>
      </c>
      <c r="Z110" s="172">
        <f ca="1">+Input!Z382</f>
        <v>350.36518739356859</v>
      </c>
      <c r="AA110" s="172"/>
      <c r="AB110" s="173"/>
      <c r="AC110" s="173"/>
      <c r="AD110" s="173"/>
      <c r="AE110" s="173"/>
      <c r="AF110" s="173"/>
      <c r="AG110" s="173"/>
      <c r="AH110" s="173"/>
      <c r="AI110" s="173"/>
      <c r="AJ110" s="173"/>
      <c r="AK110" s="173"/>
      <c r="AL110" s="173"/>
      <c r="AM110" s="173"/>
      <c r="AN110" s="173"/>
      <c r="AO110" s="173"/>
      <c r="AP110" s="173"/>
      <c r="AQ110" s="173"/>
      <c r="AR110" s="173"/>
      <c r="AS110" s="173"/>
      <c r="AT110" s="173"/>
      <c r="AU110" s="173"/>
      <c r="AV110" s="173"/>
      <c r="AW110" s="173"/>
      <c r="AX110" s="173"/>
      <c r="AY110" s="173"/>
      <c r="AZ110" s="173"/>
      <c r="BA110" s="173"/>
    </row>
    <row r="111" spans="1:53" x14ac:dyDescent="0.25">
      <c r="A111" s="115"/>
      <c r="B111" s="151" t="s">
        <v>321</v>
      </c>
      <c r="C111" s="151" t="s">
        <v>646</v>
      </c>
      <c r="D111" s="152"/>
      <c r="E111" s="152"/>
      <c r="F111" s="152"/>
      <c r="G111" s="152"/>
      <c r="H111" s="152"/>
      <c r="I111" s="374">
        <f>SUM(I106:I110)</f>
        <v>340.98369010099998</v>
      </c>
      <c r="J111" s="374">
        <f>SUM(J106:J110)</f>
        <v>554.14465451900014</v>
      </c>
      <c r="K111" s="374">
        <f t="shared" ref="K111:Z111" si="50">SUM(K106:K110)</f>
        <v>773.02927037399991</v>
      </c>
      <c r="L111" s="374">
        <f t="shared" si="50"/>
        <v>833.01025166399995</v>
      </c>
      <c r="M111" s="374">
        <f t="shared" si="50"/>
        <v>890.65428919099998</v>
      </c>
      <c r="N111" s="374">
        <f t="shared" si="50"/>
        <v>932.50832086299988</v>
      </c>
      <c r="O111" s="374">
        <f t="shared" si="50"/>
        <v>988.62553022999987</v>
      </c>
      <c r="P111" s="767">
        <f t="shared" si="50"/>
        <v>1135.1413956440001</v>
      </c>
      <c r="Q111" s="375">
        <f t="shared" ca="1" si="50"/>
        <v>1308.2149077333083</v>
      </c>
      <c r="R111" s="375">
        <f t="shared" ca="1" si="50"/>
        <v>1474.7873701366314</v>
      </c>
      <c r="S111" s="375">
        <f t="shared" ca="1" si="50"/>
        <v>1761.0102003002107</v>
      </c>
      <c r="T111" s="375">
        <f t="shared" ca="1" si="50"/>
        <v>2004.519728664689</v>
      </c>
      <c r="U111" s="375">
        <f t="shared" ca="1" si="50"/>
        <v>2303.8670760011514</v>
      </c>
      <c r="V111" s="375">
        <f t="shared" ca="1" si="50"/>
        <v>2603.2980976331228</v>
      </c>
      <c r="W111" s="375">
        <f t="shared" ca="1" si="50"/>
        <v>2894.4832574628331</v>
      </c>
      <c r="X111" s="375">
        <f t="shared" ca="1" si="50"/>
        <v>3195.983257992606</v>
      </c>
      <c r="Y111" s="375">
        <f t="shared" ca="1" si="50"/>
        <v>3440.2643704161746</v>
      </c>
      <c r="Z111" s="375">
        <f t="shared" ca="1" si="50"/>
        <v>3685.8241933566151</v>
      </c>
      <c r="AA111" s="375"/>
      <c r="AB111" s="376"/>
      <c r="AC111" s="376"/>
      <c r="AD111" s="376"/>
      <c r="AE111" s="376"/>
      <c r="AF111" s="376"/>
      <c r="AG111" s="376"/>
      <c r="AH111" s="376"/>
      <c r="AI111" s="376"/>
      <c r="AJ111" s="376"/>
      <c r="AK111" s="376"/>
      <c r="AL111" s="376"/>
      <c r="AM111" s="376"/>
      <c r="AN111" s="376"/>
      <c r="AO111" s="376"/>
      <c r="AP111" s="376"/>
      <c r="AQ111" s="376"/>
      <c r="AR111" s="376"/>
      <c r="AS111" s="376"/>
      <c r="AT111" s="376"/>
      <c r="AU111" s="376"/>
      <c r="AV111" s="376"/>
      <c r="AW111" s="376"/>
      <c r="AX111" s="376"/>
      <c r="AY111" s="376"/>
      <c r="AZ111" s="376"/>
      <c r="BA111" s="376"/>
    </row>
    <row r="112" spans="1:53" ht="13.8" thickBot="1" x14ac:dyDescent="0.3">
      <c r="A112" s="115"/>
      <c r="B112" s="448" t="s">
        <v>1321</v>
      </c>
      <c r="C112" s="448" t="s">
        <v>1322</v>
      </c>
      <c r="D112" s="450"/>
      <c r="E112" s="450"/>
      <c r="F112" s="450"/>
      <c r="G112" s="450"/>
      <c r="H112" s="450"/>
      <c r="I112" s="451">
        <f>+I99+I103+I111</f>
        <v>1090.945918224</v>
      </c>
      <c r="J112" s="451">
        <f>+J99+J103+J111</f>
        <v>1067.9331976480003</v>
      </c>
      <c r="K112" s="451">
        <f t="shared" ref="K112:Z112" si="51">+K99+K103+K111</f>
        <v>1434.2599540829997</v>
      </c>
      <c r="L112" s="451">
        <f t="shared" si="51"/>
        <v>1544.1900202940001</v>
      </c>
      <c r="M112" s="451">
        <f t="shared" si="51"/>
        <v>1434.340877185</v>
      </c>
      <c r="N112" s="451">
        <f t="shared" si="51"/>
        <v>1620.552920656</v>
      </c>
      <c r="O112" s="451">
        <f t="shared" si="51"/>
        <v>1437.4094367229998</v>
      </c>
      <c r="P112" s="751">
        <f t="shared" si="51"/>
        <v>1553.4944181640001</v>
      </c>
      <c r="Q112" s="452">
        <f t="shared" ca="1" si="51"/>
        <v>2118.7146521174413</v>
      </c>
      <c r="R112" s="452">
        <f t="shared" ca="1" si="51"/>
        <v>2393.1115019692334</v>
      </c>
      <c r="S112" s="452">
        <f t="shared" ca="1" si="51"/>
        <v>2757.0831770043733</v>
      </c>
      <c r="T112" s="452">
        <f t="shared" ca="1" si="51"/>
        <v>2953.9377385449616</v>
      </c>
      <c r="U112" s="452">
        <f t="shared" ca="1" si="51"/>
        <v>3136.9893323021411</v>
      </c>
      <c r="V112" s="452">
        <f t="shared" ca="1" si="51"/>
        <v>3396.8616482631251</v>
      </c>
      <c r="W112" s="452">
        <f t="shared" ca="1" si="51"/>
        <v>3566.890291418641</v>
      </c>
      <c r="X112" s="452">
        <f t="shared" ca="1" si="51"/>
        <v>3898.2513497739646</v>
      </c>
      <c r="Y112" s="452">
        <f t="shared" ca="1" si="51"/>
        <v>4135.7737584808674</v>
      </c>
      <c r="Z112" s="452">
        <f t="shared" ca="1" si="51"/>
        <v>4382.0576156570587</v>
      </c>
      <c r="AA112" s="452"/>
      <c r="AB112" s="453"/>
      <c r="AC112" s="453"/>
      <c r="AD112" s="453"/>
      <c r="AE112" s="453"/>
      <c r="AF112" s="453"/>
      <c r="AG112" s="453"/>
      <c r="AH112" s="453"/>
      <c r="AI112" s="453"/>
      <c r="AJ112" s="453"/>
      <c r="AK112" s="453"/>
      <c r="AL112" s="453"/>
      <c r="AM112" s="453"/>
      <c r="AN112" s="453"/>
      <c r="AO112" s="453"/>
      <c r="AP112" s="453"/>
      <c r="AQ112" s="453"/>
      <c r="AR112" s="453"/>
      <c r="AS112" s="453"/>
      <c r="AT112" s="453"/>
      <c r="AU112" s="453"/>
      <c r="AV112" s="453"/>
      <c r="AW112" s="453"/>
      <c r="AX112" s="453"/>
      <c r="AY112" s="453"/>
      <c r="AZ112" s="453"/>
      <c r="BA112" s="453"/>
    </row>
    <row r="113" spans="1:53" s="746" customFormat="1" ht="13.8" thickTop="1" x14ac:dyDescent="0.25">
      <c r="A113" s="676"/>
      <c r="B113" s="458" t="s">
        <v>1274</v>
      </c>
      <c r="C113" s="458"/>
      <c r="D113" s="542"/>
      <c r="E113" s="542"/>
      <c r="F113" s="542"/>
      <c r="G113" s="542"/>
      <c r="H113" s="542"/>
      <c r="I113" s="543">
        <f>I112-Input!I388</f>
        <v>0</v>
      </c>
      <c r="J113" s="543">
        <f>J112-Input!J388</f>
        <v>0</v>
      </c>
      <c r="K113" s="543">
        <f>K112-Input!K388</f>
        <v>0</v>
      </c>
      <c r="L113" s="543">
        <f>L112-Input!L388</f>
        <v>0</v>
      </c>
      <c r="M113" s="543">
        <f>M112-Input!M388</f>
        <v>0</v>
      </c>
      <c r="N113" s="543">
        <f>N112-Input!N388</f>
        <v>0</v>
      </c>
      <c r="O113" s="543">
        <f>O112-Input!O388</f>
        <v>0</v>
      </c>
      <c r="P113" s="745">
        <f>P112-Input!P388</f>
        <v>0</v>
      </c>
      <c r="Q113" s="1880">
        <f ca="1">Q112-Input!Q388</f>
        <v>0</v>
      </c>
      <c r="R113" s="1880">
        <f ca="1">R112-Input!R388</f>
        <v>0</v>
      </c>
      <c r="S113" s="1880">
        <f ca="1">S112-Input!S388</f>
        <v>0</v>
      </c>
      <c r="T113" s="1880">
        <f ca="1">T112-Input!T388</f>
        <v>0</v>
      </c>
      <c r="U113" s="1880">
        <f ca="1">U112-Input!U388</f>
        <v>0</v>
      </c>
      <c r="V113" s="1880">
        <f ca="1">V112-Input!V388</f>
        <v>0</v>
      </c>
      <c r="W113" s="1880">
        <f ca="1">W112-Input!W388</f>
        <v>0</v>
      </c>
      <c r="X113" s="1880">
        <f ca="1">X112-Input!X388</f>
        <v>0</v>
      </c>
      <c r="Y113" s="1880">
        <f ca="1">Y112-Input!Y388</f>
        <v>0</v>
      </c>
      <c r="Z113" s="1880">
        <f ca="1">Z112-Input!Z388</f>
        <v>0</v>
      </c>
      <c r="AA113" s="543"/>
      <c r="AB113" s="542"/>
      <c r="AC113" s="542"/>
      <c r="AD113" s="542"/>
      <c r="AE113" s="542"/>
      <c r="AF113" s="542"/>
      <c r="AG113" s="542"/>
      <c r="AH113" s="542"/>
      <c r="AI113" s="542"/>
      <c r="AJ113" s="542"/>
      <c r="AK113" s="542"/>
      <c r="AL113" s="542"/>
      <c r="AM113" s="542"/>
      <c r="AN113" s="542"/>
      <c r="AO113" s="542"/>
      <c r="AP113" s="542"/>
      <c r="AQ113" s="542"/>
      <c r="AR113" s="542"/>
      <c r="AS113" s="542"/>
      <c r="AT113" s="542"/>
      <c r="AU113" s="542"/>
      <c r="AV113" s="542"/>
      <c r="AW113" s="542"/>
      <c r="AX113" s="542"/>
      <c r="AY113" s="542"/>
      <c r="AZ113" s="542"/>
      <c r="BA113" s="542"/>
    </row>
    <row r="114" spans="1:53" x14ac:dyDescent="0.25">
      <c r="A114" s="658"/>
      <c r="B114" s="730"/>
      <c r="C114" s="730"/>
      <c r="D114" s="731"/>
      <c r="E114" s="731"/>
      <c r="F114" s="731"/>
      <c r="G114" s="731"/>
      <c r="H114" s="731"/>
      <c r="I114" s="731"/>
      <c r="J114" s="731"/>
      <c r="K114" s="731"/>
      <c r="L114" s="731"/>
      <c r="M114" s="731"/>
      <c r="N114" s="731"/>
      <c r="O114" s="731"/>
      <c r="P114" s="732"/>
      <c r="Q114" s="731"/>
      <c r="R114" s="731"/>
      <c r="S114" s="731"/>
      <c r="T114" s="731"/>
      <c r="U114" s="731"/>
      <c r="V114" s="731"/>
      <c r="W114" s="731"/>
      <c r="X114" s="731"/>
      <c r="Y114" s="731"/>
      <c r="Z114" s="731"/>
      <c r="AA114" s="731"/>
      <c r="AB114" s="731"/>
      <c r="AC114" s="731"/>
      <c r="AD114" s="731"/>
      <c r="AE114" s="731"/>
      <c r="AF114" s="731"/>
      <c r="AG114" s="731"/>
      <c r="AH114" s="731"/>
      <c r="AI114" s="731"/>
      <c r="AJ114" s="731"/>
      <c r="AK114" s="731"/>
      <c r="AL114" s="731"/>
      <c r="AM114" s="731"/>
      <c r="AN114" s="731"/>
      <c r="AO114" s="731"/>
      <c r="AP114" s="731"/>
      <c r="AQ114" s="731"/>
      <c r="AR114" s="731"/>
      <c r="AS114" s="731"/>
      <c r="AT114" s="731"/>
      <c r="AU114" s="731"/>
      <c r="AV114" s="731"/>
      <c r="AW114" s="731"/>
      <c r="AX114" s="731"/>
      <c r="AY114" s="731"/>
      <c r="AZ114" s="731"/>
      <c r="BA114" s="731"/>
    </row>
    <row r="115" spans="1:53" x14ac:dyDescent="0.25">
      <c r="A115" s="658"/>
      <c r="B115" s="730"/>
      <c r="C115" s="730"/>
      <c r="D115" s="731"/>
      <c r="E115" s="731"/>
      <c r="F115" s="731"/>
      <c r="G115" s="731"/>
      <c r="H115" s="731"/>
      <c r="I115" s="731"/>
      <c r="J115" s="731"/>
      <c r="K115" s="731"/>
      <c r="L115" s="731"/>
      <c r="M115" s="731"/>
      <c r="N115" s="731"/>
      <c r="O115" s="731"/>
      <c r="P115" s="732"/>
      <c r="Q115" s="733"/>
      <c r="R115" s="731"/>
      <c r="S115" s="731"/>
      <c r="T115" s="731"/>
      <c r="U115" s="731"/>
      <c r="V115" s="731"/>
      <c r="W115" s="731"/>
      <c r="X115" s="731"/>
      <c r="Y115" s="731"/>
      <c r="Z115" s="731"/>
      <c r="AA115" s="731"/>
      <c r="AB115" s="731"/>
      <c r="AC115" s="731"/>
      <c r="AD115" s="731"/>
      <c r="AE115" s="731"/>
      <c r="AF115" s="731"/>
      <c r="AG115" s="731"/>
      <c r="AH115" s="731"/>
      <c r="AI115" s="731"/>
      <c r="AJ115" s="731"/>
      <c r="AK115" s="731"/>
      <c r="AL115" s="731"/>
      <c r="AM115" s="731"/>
      <c r="AN115" s="731"/>
      <c r="AO115" s="731"/>
      <c r="AP115" s="731"/>
      <c r="AQ115" s="731"/>
      <c r="AR115" s="731"/>
      <c r="AS115" s="731"/>
      <c r="AT115" s="731"/>
      <c r="AU115" s="731"/>
      <c r="AV115" s="731"/>
      <c r="AW115" s="731"/>
      <c r="AX115" s="731"/>
      <c r="AY115" s="731"/>
      <c r="AZ115" s="731"/>
      <c r="BA115" s="731"/>
    </row>
    <row r="116" spans="1:53" x14ac:dyDescent="0.25">
      <c r="A116" s="658"/>
      <c r="B116" s="730"/>
      <c r="C116" s="730"/>
      <c r="D116" s="731"/>
      <c r="E116" s="731"/>
      <c r="F116" s="731"/>
      <c r="G116" s="731"/>
      <c r="H116" s="731"/>
      <c r="I116" s="731"/>
      <c r="J116" s="731"/>
      <c r="K116" s="731"/>
      <c r="L116" s="731"/>
      <c r="M116" s="731"/>
      <c r="N116" s="731"/>
      <c r="O116" s="731"/>
      <c r="P116" s="732"/>
      <c r="Q116" s="731"/>
      <c r="R116" s="731"/>
      <c r="S116" s="731"/>
      <c r="T116" s="731"/>
      <c r="U116" s="731"/>
      <c r="V116" s="731"/>
      <c r="W116" s="731"/>
      <c r="X116" s="731"/>
      <c r="Y116" s="731"/>
      <c r="Z116" s="731"/>
      <c r="AA116" s="731"/>
      <c r="AB116" s="731"/>
      <c r="AC116" s="731"/>
      <c r="AD116" s="731"/>
      <c r="AE116" s="731"/>
      <c r="AF116" s="731"/>
      <c r="AG116" s="731"/>
      <c r="AH116" s="731"/>
      <c r="AI116" s="731"/>
      <c r="AJ116" s="731"/>
      <c r="AK116" s="731"/>
      <c r="AL116" s="731"/>
      <c r="AM116" s="731"/>
      <c r="AN116" s="731"/>
      <c r="AO116" s="731"/>
      <c r="AP116" s="731"/>
      <c r="AQ116" s="731"/>
      <c r="AR116" s="731"/>
      <c r="AS116" s="731"/>
      <c r="AT116" s="731"/>
      <c r="AU116" s="731"/>
      <c r="AV116" s="731"/>
      <c r="AW116" s="731"/>
      <c r="AX116" s="731"/>
      <c r="AY116" s="731"/>
      <c r="AZ116" s="731"/>
      <c r="BA116" s="731"/>
    </row>
    <row r="117" spans="1:53" x14ac:dyDescent="0.25">
      <c r="A117" s="658"/>
      <c r="B117" s="730"/>
      <c r="C117" s="730"/>
      <c r="D117" s="731"/>
      <c r="E117" s="731"/>
      <c r="F117" s="731"/>
      <c r="G117" s="731"/>
      <c r="H117" s="731"/>
      <c r="I117" s="731"/>
      <c r="J117" s="731"/>
      <c r="K117" s="731"/>
      <c r="L117" s="731"/>
      <c r="M117" s="731"/>
      <c r="N117" s="731"/>
      <c r="O117" s="731"/>
      <c r="P117" s="732"/>
      <c r="Q117" s="731"/>
      <c r="R117" s="731"/>
      <c r="S117" s="731"/>
      <c r="T117" s="731"/>
      <c r="U117" s="731"/>
      <c r="V117" s="731"/>
      <c r="W117" s="731"/>
      <c r="X117" s="731"/>
      <c r="Y117" s="731"/>
      <c r="Z117" s="731"/>
      <c r="AA117" s="731"/>
      <c r="AB117" s="731"/>
      <c r="AC117" s="731"/>
      <c r="AD117" s="731"/>
      <c r="AE117" s="731"/>
      <c r="AF117" s="731"/>
      <c r="AG117" s="731"/>
      <c r="AH117" s="731"/>
      <c r="AI117" s="731"/>
      <c r="AJ117" s="731"/>
      <c r="AK117" s="731"/>
      <c r="AL117" s="731"/>
      <c r="AM117" s="731"/>
      <c r="AN117" s="731"/>
      <c r="AO117" s="731"/>
      <c r="AP117" s="731"/>
      <c r="AQ117" s="731"/>
      <c r="AR117" s="731"/>
      <c r="AS117" s="731"/>
      <c r="AT117" s="731"/>
      <c r="AU117" s="731"/>
      <c r="AV117" s="731"/>
      <c r="AW117" s="731"/>
      <c r="AX117" s="731"/>
      <c r="AY117" s="731"/>
      <c r="AZ117" s="731"/>
      <c r="BA117" s="731"/>
    </row>
    <row r="118" spans="1:53" x14ac:dyDescent="0.25">
      <c r="A118" s="658"/>
      <c r="B118" s="730"/>
      <c r="C118" s="730"/>
      <c r="D118" s="731"/>
      <c r="E118" s="731"/>
      <c r="F118" s="731"/>
      <c r="G118" s="731"/>
      <c r="H118" s="731"/>
      <c r="I118" s="731"/>
      <c r="J118" s="731"/>
      <c r="K118" s="731"/>
      <c r="L118" s="731"/>
      <c r="M118" s="731"/>
      <c r="N118" s="731"/>
      <c r="O118" s="731"/>
      <c r="P118" s="732"/>
      <c r="Q118" s="731"/>
      <c r="R118" s="731"/>
      <c r="S118" s="731"/>
      <c r="T118" s="731"/>
      <c r="U118" s="731"/>
      <c r="V118" s="731"/>
      <c r="W118" s="731"/>
      <c r="X118" s="731"/>
      <c r="Y118" s="731"/>
      <c r="Z118" s="731"/>
      <c r="AA118" s="731"/>
      <c r="AB118" s="731"/>
      <c r="AC118" s="731"/>
      <c r="AD118" s="731"/>
      <c r="AE118" s="731"/>
      <c r="AF118" s="731"/>
      <c r="AG118" s="731"/>
      <c r="AH118" s="731"/>
      <c r="AI118" s="731"/>
      <c r="AJ118" s="731"/>
      <c r="AK118" s="731"/>
      <c r="AL118" s="731"/>
      <c r="AM118" s="731"/>
      <c r="AN118" s="731"/>
      <c r="AO118" s="731"/>
      <c r="AP118" s="731"/>
      <c r="AQ118" s="731"/>
      <c r="AR118" s="731"/>
      <c r="AS118" s="731"/>
      <c r="AT118" s="731"/>
      <c r="AU118" s="731"/>
      <c r="AV118" s="731"/>
      <c r="AW118" s="731"/>
      <c r="AX118" s="731"/>
      <c r="AY118" s="731"/>
      <c r="AZ118" s="731"/>
      <c r="BA118" s="731"/>
    </row>
    <row r="119" spans="1:53" x14ac:dyDescent="0.25">
      <c r="A119" s="658"/>
      <c r="B119" s="730"/>
      <c r="C119" s="730"/>
      <c r="D119" s="731"/>
      <c r="E119" s="731"/>
      <c r="F119" s="731"/>
      <c r="G119" s="731"/>
      <c r="H119" s="731"/>
      <c r="I119" s="731"/>
      <c r="J119" s="731"/>
      <c r="K119" s="731"/>
      <c r="L119" s="731"/>
      <c r="M119" s="731"/>
      <c r="N119" s="731"/>
      <c r="O119" s="731"/>
      <c r="P119" s="732"/>
      <c r="Q119" s="733"/>
      <c r="R119" s="731"/>
      <c r="S119" s="731"/>
      <c r="T119" s="731"/>
      <c r="U119" s="731"/>
      <c r="V119" s="731"/>
      <c r="W119" s="731"/>
      <c r="X119" s="731"/>
      <c r="Y119" s="731"/>
      <c r="Z119" s="731"/>
      <c r="AA119" s="731"/>
      <c r="AB119" s="731"/>
      <c r="AC119" s="731"/>
      <c r="AD119" s="731"/>
      <c r="AE119" s="731"/>
      <c r="AF119" s="731"/>
      <c r="AG119" s="731"/>
      <c r="AH119" s="731"/>
      <c r="AI119" s="731"/>
      <c r="AJ119" s="731"/>
      <c r="AK119" s="731"/>
      <c r="AL119" s="731"/>
      <c r="AM119" s="731"/>
      <c r="AN119" s="731"/>
      <c r="AO119" s="731"/>
      <c r="AP119" s="731"/>
      <c r="AQ119" s="731"/>
      <c r="AR119" s="731"/>
      <c r="AS119" s="731"/>
      <c r="AT119" s="731"/>
      <c r="AU119" s="731"/>
      <c r="AV119" s="731"/>
      <c r="AW119" s="731"/>
      <c r="AX119" s="731"/>
      <c r="AY119" s="731"/>
      <c r="AZ119" s="731"/>
      <c r="BA119" s="731"/>
    </row>
    <row r="120" spans="1:53" x14ac:dyDescent="0.25">
      <c r="A120" s="658"/>
      <c r="B120" s="730"/>
      <c r="C120" s="730"/>
      <c r="D120" s="731"/>
      <c r="E120" s="731"/>
      <c r="F120" s="731"/>
      <c r="G120" s="731"/>
      <c r="H120" s="731"/>
      <c r="I120" s="731"/>
      <c r="J120" s="731"/>
      <c r="K120" s="731"/>
      <c r="L120" s="731"/>
      <c r="M120" s="731"/>
      <c r="N120" s="731"/>
      <c r="O120" s="731"/>
      <c r="P120" s="732"/>
      <c r="Q120" s="731"/>
      <c r="R120" s="731"/>
      <c r="S120" s="731"/>
      <c r="T120" s="731"/>
      <c r="U120" s="731"/>
      <c r="V120" s="731"/>
      <c r="W120" s="731"/>
      <c r="X120" s="731"/>
      <c r="Y120" s="731"/>
      <c r="Z120" s="731"/>
      <c r="AA120" s="731"/>
      <c r="AB120" s="731"/>
      <c r="AC120" s="731"/>
      <c r="AD120" s="731"/>
      <c r="AE120" s="731"/>
      <c r="AF120" s="731"/>
      <c r="AG120" s="731"/>
      <c r="AH120" s="731"/>
      <c r="AI120" s="731"/>
      <c r="AJ120" s="731"/>
      <c r="AK120" s="731"/>
      <c r="AL120" s="731"/>
      <c r="AM120" s="731"/>
      <c r="AN120" s="731"/>
      <c r="AO120" s="731"/>
      <c r="AP120" s="731"/>
      <c r="AQ120" s="731"/>
      <c r="AR120" s="731"/>
      <c r="AS120" s="731"/>
      <c r="AT120" s="731"/>
      <c r="AU120" s="731"/>
      <c r="AV120" s="731"/>
      <c r="AW120" s="731"/>
      <c r="AX120" s="731"/>
      <c r="AY120" s="731"/>
      <c r="AZ120" s="731"/>
      <c r="BA120" s="731"/>
    </row>
    <row r="121" spans="1:53" x14ac:dyDescent="0.25">
      <c r="M121" s="642"/>
      <c r="P121" s="737"/>
    </row>
    <row r="122" spans="1:53" x14ac:dyDescent="0.25">
      <c r="M122" s="642"/>
      <c r="P122" s="737"/>
    </row>
    <row r="123" spans="1:53" x14ac:dyDescent="0.25">
      <c r="M123" s="642"/>
      <c r="P123" s="737"/>
    </row>
    <row r="124" spans="1:53" x14ac:dyDescent="0.25">
      <c r="A124" s="768">
        <v>1</v>
      </c>
      <c r="D124" s="29"/>
      <c r="E124" s="29"/>
      <c r="F124" s="103"/>
      <c r="G124" s="103"/>
      <c r="H124" s="103"/>
      <c r="I124" s="103"/>
      <c r="J124" s="103"/>
      <c r="K124" s="103"/>
      <c r="L124" s="103"/>
      <c r="M124" s="103"/>
      <c r="N124" s="639"/>
      <c r="O124" s="639"/>
      <c r="P124" s="640"/>
      <c r="Q124" s="641"/>
      <c r="R124" s="641"/>
      <c r="S124" s="641"/>
      <c r="T124" s="641"/>
      <c r="U124" s="641"/>
      <c r="V124" s="641"/>
      <c r="W124" s="641"/>
      <c r="X124" s="641"/>
      <c r="Y124" s="641"/>
      <c r="Z124" s="641"/>
      <c r="AA124" s="641"/>
      <c r="AB124" s="641"/>
      <c r="AC124" s="641"/>
      <c r="AD124" s="641"/>
      <c r="AE124" s="641"/>
      <c r="AF124" s="641"/>
      <c r="AG124" s="641"/>
      <c r="AH124" s="641"/>
      <c r="AI124" s="641"/>
      <c r="AJ124" s="641"/>
      <c r="AK124" s="641"/>
      <c r="AL124" s="641"/>
      <c r="AM124" s="641"/>
      <c r="AN124" s="641"/>
      <c r="AO124" s="641"/>
      <c r="AP124" s="641"/>
      <c r="AQ124" s="641"/>
      <c r="AR124" s="641"/>
      <c r="AS124" s="641"/>
      <c r="AT124" s="641"/>
      <c r="AU124" s="641"/>
      <c r="AV124" s="641"/>
      <c r="AW124" s="641"/>
      <c r="AX124" s="641"/>
      <c r="AY124" s="641"/>
      <c r="AZ124" s="641"/>
      <c r="BA124" s="641"/>
    </row>
    <row r="125" spans="1:53" x14ac:dyDescent="0.25">
      <c r="A125" s="642"/>
      <c r="B125" s="2376" t="s">
        <v>1323</v>
      </c>
      <c r="C125" s="2378" t="s">
        <v>1324</v>
      </c>
      <c r="D125" s="42"/>
      <c r="E125" s="42"/>
      <c r="F125" s="643"/>
      <c r="G125" s="643"/>
      <c r="H125" s="643"/>
      <c r="I125" s="643"/>
      <c r="J125" s="643"/>
      <c r="K125" s="643"/>
      <c r="L125" s="643"/>
      <c r="M125" s="643"/>
      <c r="N125" s="643"/>
      <c r="O125" s="643"/>
      <c r="P125" s="644"/>
      <c r="Q125" s="645"/>
      <c r="R125" s="645"/>
      <c r="S125" s="645"/>
      <c r="T125" s="645"/>
      <c r="U125" s="645"/>
      <c r="V125" s="645"/>
      <c r="W125" s="645"/>
      <c r="X125" s="645"/>
      <c r="Y125" s="645"/>
      <c r="Z125" s="645"/>
      <c r="AA125" s="645"/>
      <c r="AB125" s="645"/>
      <c r="AC125" s="645"/>
      <c r="AD125" s="645"/>
      <c r="AE125" s="645"/>
      <c r="AF125" s="645"/>
      <c r="AG125" s="645"/>
      <c r="AH125" s="645"/>
      <c r="AI125" s="645"/>
      <c r="AJ125" s="645"/>
      <c r="AK125" s="645"/>
      <c r="AL125" s="645"/>
      <c r="AM125" s="645"/>
      <c r="AN125" s="645"/>
      <c r="AO125" s="645"/>
      <c r="AP125" s="645"/>
      <c r="AQ125" s="645"/>
      <c r="AR125" s="645"/>
      <c r="AS125" s="645"/>
      <c r="AT125" s="645"/>
      <c r="AU125" s="645"/>
      <c r="AV125" s="645"/>
      <c r="AW125" s="645"/>
      <c r="AX125" s="645"/>
      <c r="AY125" s="645"/>
      <c r="AZ125" s="645"/>
      <c r="BA125" s="645"/>
    </row>
    <row r="126" spans="1:53" ht="13.8" thickBot="1" x14ac:dyDescent="0.3">
      <c r="A126" s="642"/>
      <c r="B126" s="2377"/>
      <c r="C126" s="2380"/>
      <c r="D126" s="739"/>
      <c r="E126" s="648"/>
      <c r="F126" s="648"/>
      <c r="G126" s="648"/>
      <c r="H126" s="648"/>
      <c r="I126" s="648"/>
      <c r="J126" s="648"/>
      <c r="K126" s="648"/>
      <c r="L126" s="648"/>
      <c r="M126" s="648"/>
      <c r="N126" s="648"/>
      <c r="O126" s="648"/>
      <c r="P126" s="649"/>
      <c r="Q126" s="650"/>
      <c r="R126" s="650"/>
      <c r="S126" s="650"/>
      <c r="T126" s="650"/>
      <c r="U126" s="650"/>
      <c r="V126" s="650"/>
      <c r="W126" s="650"/>
      <c r="X126" s="650"/>
      <c r="Y126" s="650"/>
      <c r="Z126" s="650"/>
      <c r="AA126" s="650"/>
      <c r="AB126" s="650"/>
      <c r="AC126" s="650"/>
      <c r="AD126" s="650"/>
      <c r="AE126" s="650"/>
      <c r="AF126" s="650"/>
      <c r="AG126" s="650"/>
      <c r="AH126" s="650"/>
      <c r="AI126" s="650"/>
      <c r="AJ126" s="650"/>
      <c r="AK126" s="650"/>
      <c r="AL126" s="650"/>
      <c r="AM126" s="650"/>
      <c r="AN126" s="650"/>
      <c r="AO126" s="650"/>
      <c r="AP126" s="650"/>
      <c r="AQ126" s="650"/>
      <c r="AR126" s="650"/>
      <c r="AS126" s="650"/>
      <c r="AT126" s="650"/>
      <c r="AU126" s="650"/>
      <c r="AV126" s="650"/>
      <c r="AW126" s="650"/>
      <c r="AX126" s="650"/>
      <c r="AY126" s="650"/>
      <c r="AZ126" s="650"/>
      <c r="BA126" s="650"/>
    </row>
    <row r="127" spans="1:53" ht="13.8" thickTop="1" x14ac:dyDescent="0.25">
      <c r="A127" s="642"/>
      <c r="B127" s="29"/>
      <c r="C127" s="29"/>
      <c r="D127" s="769"/>
      <c r="E127" s="66"/>
      <c r="F127" s="66"/>
      <c r="G127" s="66"/>
      <c r="H127" s="66"/>
      <c r="I127" s="66"/>
      <c r="J127" s="66"/>
      <c r="K127" s="66"/>
      <c r="L127" s="66"/>
      <c r="M127" s="769"/>
      <c r="N127" s="66"/>
      <c r="O127" s="66"/>
      <c r="P127" s="1892"/>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c r="BA127" s="66"/>
    </row>
    <row r="128" spans="1:53" x14ac:dyDescent="0.25">
      <c r="A128" s="642"/>
      <c r="B128" s="2331" t="s">
        <v>1325</v>
      </c>
      <c r="C128" s="29" t="s">
        <v>466</v>
      </c>
      <c r="D128" s="66"/>
      <c r="E128" s="118"/>
      <c r="F128" s="118"/>
      <c r="G128" s="118"/>
      <c r="H128" s="118"/>
      <c r="I128" s="119">
        <f>'Output-FR (show)'!I28</f>
        <v>150.14317103799968</v>
      </c>
      <c r="J128" s="119">
        <f>'Output-FR (show)'!J28</f>
        <v>273.85551143199996</v>
      </c>
      <c r="K128" s="119">
        <f>'Output-FR (show)'!K28</f>
        <v>175.88104429099994</v>
      </c>
      <c r="L128" s="119">
        <f>'Output-FR (show)'!L28</f>
        <v>203.59644863799997</v>
      </c>
      <c r="M128" s="119">
        <f>'Output-FR (show)'!M28</f>
        <v>201.02634409800007</v>
      </c>
      <c r="N128" s="119">
        <f>'Output-FR (show)'!N28</f>
        <v>174.01328670199999</v>
      </c>
      <c r="O128" s="119">
        <f>'Output-FR (show)'!O28</f>
        <v>193.19131539699998</v>
      </c>
      <c r="P128" s="671">
        <f>'Output-FR (show)'!P28</f>
        <v>233.06110302600004</v>
      </c>
      <c r="Q128" s="172">
        <f ca="1">'Output-FR (show)'!Q28</f>
        <v>290.2039048745666</v>
      </c>
      <c r="R128" s="172">
        <f ca="1">'Output-FR (show)'!R28</f>
        <v>286.64829392527963</v>
      </c>
      <c r="S128" s="172">
        <f ca="1">'Output-FR (show)'!S28</f>
        <v>416.46017995986801</v>
      </c>
      <c r="T128" s="172">
        <f ca="1">'Output-FR (show)'!T28</f>
        <v>480.34732707435768</v>
      </c>
      <c r="U128" s="172">
        <f ca="1">'Output-FR (show)'!U28</f>
        <v>554.2487649268104</v>
      </c>
      <c r="V128" s="172">
        <f ca="1">'Output-FR (show)'!V28</f>
        <v>609.26296803454466</v>
      </c>
      <c r="W128" s="172">
        <f ca="1">'Output-FR (show)'!W28</f>
        <v>675.17242007443087</v>
      </c>
      <c r="X128" s="172">
        <f ca="1">'Output-FR (show)'!X28</f>
        <v>709.61792149307576</v>
      </c>
      <c r="Y128" s="172">
        <f ca="1">'Output-FR (show)'!Y28</f>
        <v>748.79345865856419</v>
      </c>
      <c r="Z128" s="172">
        <f ca="1">'Output-FR (show)'!Z28</f>
        <v>790.69347871313585</v>
      </c>
      <c r="AA128" s="172"/>
      <c r="AB128" s="173"/>
      <c r="AC128" s="173"/>
      <c r="AD128" s="173"/>
      <c r="AE128" s="173"/>
      <c r="AF128" s="173"/>
      <c r="AG128" s="173"/>
      <c r="AH128" s="173"/>
      <c r="AI128" s="173"/>
      <c r="AJ128" s="173"/>
      <c r="AK128" s="173"/>
      <c r="AL128" s="173"/>
      <c r="AM128" s="173"/>
      <c r="AN128" s="173"/>
      <c r="AO128" s="173"/>
      <c r="AP128" s="173"/>
      <c r="AQ128" s="173"/>
      <c r="AR128" s="173"/>
      <c r="AS128" s="173"/>
      <c r="AT128" s="173"/>
      <c r="AU128" s="173"/>
      <c r="AV128" s="173"/>
      <c r="AW128" s="173"/>
      <c r="AX128" s="173"/>
      <c r="AY128" s="173"/>
      <c r="AZ128" s="173"/>
      <c r="BA128" s="173"/>
    </row>
    <row r="129" spans="1:55" x14ac:dyDescent="0.25">
      <c r="A129" s="642"/>
      <c r="B129" s="29"/>
      <c r="C129" s="29"/>
      <c r="D129" s="66"/>
      <c r="E129" s="118"/>
      <c r="F129" s="118"/>
      <c r="G129" s="118"/>
      <c r="H129" s="118"/>
      <c r="I129" s="118"/>
      <c r="J129" s="119"/>
      <c r="K129" s="119"/>
      <c r="L129" s="119"/>
      <c r="M129" s="119"/>
      <c r="N129" s="119"/>
      <c r="O129" s="119"/>
      <c r="P129" s="671"/>
      <c r="Q129" s="172"/>
      <c r="R129" s="172"/>
      <c r="S129" s="172"/>
      <c r="T129" s="172"/>
      <c r="U129" s="172"/>
      <c r="V129" s="172"/>
      <c r="W129" s="172"/>
      <c r="X129" s="172"/>
      <c r="Y129" s="172"/>
      <c r="Z129" s="172"/>
      <c r="AA129" s="172"/>
      <c r="AB129" s="173"/>
      <c r="AC129" s="173"/>
      <c r="AD129" s="173"/>
      <c r="AE129" s="173"/>
      <c r="AF129" s="173"/>
      <c r="AG129" s="173"/>
      <c r="AH129" s="173"/>
      <c r="AI129" s="173"/>
      <c r="AJ129" s="173"/>
      <c r="AK129" s="173"/>
      <c r="AL129" s="173"/>
      <c r="AM129" s="173"/>
      <c r="AN129" s="173"/>
      <c r="AO129" s="173"/>
      <c r="AP129" s="173"/>
      <c r="AQ129" s="173"/>
      <c r="AR129" s="173"/>
      <c r="AS129" s="173"/>
      <c r="AT129" s="173"/>
      <c r="AU129" s="173"/>
      <c r="AV129" s="173"/>
      <c r="AW129" s="173"/>
      <c r="AX129" s="173"/>
      <c r="AY129" s="173"/>
      <c r="AZ129" s="173"/>
      <c r="BA129" s="173"/>
    </row>
    <row r="130" spans="1:55" x14ac:dyDescent="0.25">
      <c r="A130" s="642"/>
      <c r="B130" s="1882" t="s">
        <v>1326</v>
      </c>
      <c r="C130" s="770"/>
      <c r="D130" s="66"/>
      <c r="E130" s="66"/>
      <c r="F130" s="66"/>
      <c r="G130" s="66"/>
      <c r="H130" s="66"/>
      <c r="I130" s="66"/>
      <c r="J130" s="66"/>
      <c r="K130" s="66"/>
      <c r="L130" s="66"/>
      <c r="M130" s="66"/>
      <c r="N130" s="66"/>
      <c r="O130" s="66"/>
      <c r="P130" s="303"/>
      <c r="Q130" s="207"/>
      <c r="R130" s="207"/>
      <c r="S130" s="207"/>
      <c r="T130" s="207"/>
      <c r="U130" s="207"/>
      <c r="V130" s="207"/>
      <c r="W130" s="207"/>
      <c r="X130" s="207"/>
      <c r="Y130" s="207"/>
      <c r="Z130" s="207"/>
      <c r="AA130" s="207"/>
      <c r="AB130" s="208"/>
      <c r="AC130" s="208"/>
      <c r="AD130" s="208"/>
      <c r="AE130" s="208"/>
      <c r="AF130" s="208"/>
      <c r="AG130" s="208"/>
      <c r="AH130" s="208"/>
      <c r="AI130" s="208"/>
      <c r="AJ130" s="208"/>
      <c r="AK130" s="208"/>
      <c r="AL130" s="208"/>
      <c r="AM130" s="208"/>
      <c r="AN130" s="208"/>
      <c r="AO130" s="208"/>
      <c r="AP130" s="208"/>
      <c r="AQ130" s="208"/>
      <c r="AR130" s="208"/>
      <c r="AS130" s="66"/>
      <c r="AT130" s="66"/>
      <c r="AU130" s="66"/>
      <c r="AV130" s="66"/>
      <c r="AW130" s="66"/>
      <c r="AX130" s="66"/>
      <c r="AY130" s="66"/>
      <c r="AZ130" s="66"/>
      <c r="BA130" s="66"/>
    </row>
    <row r="131" spans="1:55" x14ac:dyDescent="0.25">
      <c r="A131" s="642"/>
      <c r="B131" s="771" t="s">
        <v>1327</v>
      </c>
      <c r="C131" s="771" t="s">
        <v>1328</v>
      </c>
      <c r="D131" s="66"/>
      <c r="E131" s="66"/>
      <c r="F131" s="66"/>
      <c r="G131" s="66"/>
      <c r="H131" s="66"/>
      <c r="I131" s="66"/>
      <c r="J131" s="66"/>
      <c r="K131" s="66"/>
      <c r="L131" s="66"/>
      <c r="M131" s="66"/>
      <c r="N131" s="66"/>
      <c r="O131" s="66"/>
      <c r="P131" s="303"/>
      <c r="Q131" s="208"/>
      <c r="R131" s="208"/>
      <c r="S131" s="208"/>
      <c r="T131" s="208"/>
      <c r="U131" s="208"/>
      <c r="V131" s="208"/>
      <c r="W131" s="208"/>
      <c r="X131" s="208"/>
      <c r="Y131" s="208"/>
      <c r="Z131" s="208"/>
      <c r="AA131" s="208"/>
      <c r="AB131" s="208"/>
      <c r="AC131" s="208"/>
      <c r="AD131" s="208"/>
      <c r="AE131" s="208"/>
      <c r="AF131" s="208"/>
      <c r="AG131" s="208"/>
      <c r="AH131" s="208"/>
      <c r="AI131" s="208"/>
      <c r="AJ131" s="208"/>
      <c r="AK131" s="208"/>
      <c r="AL131" s="208"/>
      <c r="AM131" s="208"/>
      <c r="AN131" s="208"/>
      <c r="AO131" s="208"/>
      <c r="AP131" s="208"/>
      <c r="AQ131" s="208"/>
      <c r="AR131" s="208"/>
      <c r="AS131" s="66"/>
      <c r="AT131" s="66"/>
      <c r="AU131" s="66"/>
      <c r="AV131" s="66"/>
      <c r="AW131" s="66"/>
      <c r="AX131" s="66"/>
      <c r="AY131" s="66"/>
      <c r="AZ131" s="66"/>
      <c r="BA131" s="66"/>
    </row>
    <row r="132" spans="1:55" x14ac:dyDescent="0.25">
      <c r="A132" s="642"/>
      <c r="B132" s="2332" t="s">
        <v>1255</v>
      </c>
      <c r="C132" s="770" t="s">
        <v>1329</v>
      </c>
      <c r="D132" s="66"/>
      <c r="E132" s="118"/>
      <c r="F132" s="118"/>
      <c r="G132" s="118"/>
      <c r="H132" s="118"/>
      <c r="I132" s="119">
        <f>IF(ISTEXT('CF Raw'!I$11),('CF Raw'!I16+'CF Raw'!I17)/'Output-FR (show)'!$A$124,0)</f>
        <v>68.371455463000004</v>
      </c>
      <c r="J132" s="119">
        <f>IF(ISTEXT('CF Raw'!J$11),('CF Raw'!J16+'CF Raw'!J17)/'Output-FR (show)'!$A$124,0)</f>
        <v>39.216981767999997</v>
      </c>
      <c r="K132" s="119">
        <f>IF(ISTEXT('CF Raw'!K$11),('CF Raw'!K16+'CF Raw'!K17)/'Output-FR (show)'!$A$124,'Output-FR (show)'!K15)</f>
        <v>33.793831392000001</v>
      </c>
      <c r="L132" s="119">
        <f>IF(ISTEXT('CF Raw'!L$11),('CF Raw'!L16+'CF Raw'!L17)/'Output-FR (show)'!$A$124,'Output-FR (show)'!L15)</f>
        <v>36.81384233</v>
      </c>
      <c r="M132" s="119">
        <f>IF(ISTEXT('CF Raw'!M$11),('CF Raw'!M16+'CF Raw'!M17)/'Output-FR (show)'!$A$124,'Output-FR (show)'!M15)</f>
        <v>36.516915462</v>
      </c>
      <c r="N132" s="119">
        <f>IF(ISTEXT('CF Raw'!N$11),('CF Raw'!N16+'CF Raw'!N17)/'Output-FR (show)'!$A$124,'Output-FR (show)'!N15)</f>
        <v>27.945021708999999</v>
      </c>
      <c r="O132" s="119">
        <f>IF(ISTEXT('CF Raw'!O$11),('CF Raw'!O16+'CF Raw'!O17)/'Output-FR (show)'!$A$124,'Output-FR (show)'!O15)</f>
        <v>31.808990529999999</v>
      </c>
      <c r="P132" s="671">
        <f>IF(ISTEXT('CF Raw'!P$11),('CF Raw'!P16+'CF Raw'!P17)/'Output-FR (show)'!$A$124,'Output-FR (show)'!P15)</f>
        <v>40.674128404000001</v>
      </c>
      <c r="Q132" s="172">
        <f>IF(ISTEXT('CF Raw'!Q$11),('CF Raw'!Q16+'CF Raw'!Q17)/'Output-FR (show)'!$A$124,'Output-FR (show)'!Q15)</f>
        <v>101.71289197524426</v>
      </c>
      <c r="R132" s="172">
        <f>IF(ISTEXT('CF Raw'!R$11),('CF Raw'!R16+'CF Raw'!R17)/'Output-FR (show)'!$A$124,'Output-FR (show)'!R15)</f>
        <v>133.59326505145162</v>
      </c>
      <c r="S132" s="172">
        <f>IF(ISTEXT('CF Raw'!S$11),('CF Raw'!S16+'CF Raw'!S17)/'Output-FR (show)'!$A$124,'Output-FR (show)'!S15)</f>
        <v>140.73852797752977</v>
      </c>
      <c r="T132" s="172">
        <f>IF(ISTEXT('CF Raw'!T$11),('CF Raw'!T16+'CF Raw'!T17)/'Output-FR (show)'!$A$124,'Output-FR (show)'!T15)</f>
        <v>99.91127477701157</v>
      </c>
      <c r="U132" s="172">
        <f>IF(ISTEXT('CF Raw'!U$11),('CF Raw'!U16+'CF Raw'!U17)/'Output-FR (show)'!$A$124,'Output-FR (show)'!U15)</f>
        <v>98.416263781680655</v>
      </c>
      <c r="V132" s="172">
        <f>IF(ISTEXT('CF Raw'!V$11),('CF Raw'!V16+'CF Raw'!V17)/'Output-FR (show)'!$A$124,'Output-FR (show)'!V15)</f>
        <v>107.27935621901526</v>
      </c>
      <c r="W132" s="172">
        <f>IF(ISTEXT('CF Raw'!W$11),('CF Raw'!W16+'CF Raw'!W17)/'Output-FR (show)'!$A$124,'Output-FR (show)'!W15)</f>
        <v>116.95323100091025</v>
      </c>
      <c r="X132" s="172">
        <f>IF(ISTEXT('CF Raw'!X$11),('CF Raw'!X16+'CF Raw'!X17)/'Output-FR (show)'!$A$124,'Output-FR (show)'!X15)</f>
        <v>125.34044754634992</v>
      </c>
      <c r="Y132" s="172">
        <f>IF(ISTEXT('CF Raw'!Y$11),('CF Raw'!Y16+'CF Raw'!Y17)/'Output-FR (show)'!$A$124,'Output-FR (show)'!Y15)</f>
        <v>134.08280931157887</v>
      </c>
      <c r="Z132" s="172">
        <f>IF(ISTEXT('CF Raw'!Z$11),('CF Raw'!Z16+'CF Raw'!Z17)/'Output-FR (show)'!$A$124,'Output-FR (show)'!Z15)</f>
        <v>143.21281857534004</v>
      </c>
      <c r="AA132" s="172"/>
      <c r="AB132" s="173"/>
      <c r="AC132" s="173"/>
      <c r="AD132" s="173"/>
      <c r="AE132" s="173"/>
      <c r="AF132" s="173"/>
      <c r="AG132" s="173"/>
      <c r="AH132" s="173"/>
      <c r="AI132" s="173"/>
      <c r="AJ132" s="173"/>
      <c r="AK132" s="173"/>
      <c r="AL132" s="173"/>
      <c r="AM132" s="173"/>
      <c r="AN132" s="173"/>
      <c r="AO132" s="173"/>
      <c r="AP132" s="173"/>
      <c r="AQ132" s="173"/>
      <c r="AR132" s="173"/>
      <c r="AS132" s="173"/>
      <c r="AT132" s="173"/>
      <c r="AU132" s="173"/>
      <c r="AV132" s="173"/>
      <c r="AW132" s="173"/>
      <c r="AX132" s="173"/>
      <c r="AY132" s="173"/>
      <c r="AZ132" s="173"/>
      <c r="BA132" s="173"/>
      <c r="BC132" s="750"/>
    </row>
    <row r="133" spans="1:55" x14ac:dyDescent="0.25">
      <c r="A133" s="642"/>
      <c r="B133" s="2332" t="s">
        <v>1326</v>
      </c>
      <c r="C133" s="770"/>
      <c r="D133" s="66"/>
      <c r="E133" s="118"/>
      <c r="F133" s="118"/>
      <c r="G133" s="118"/>
      <c r="H133" s="118"/>
      <c r="I133" s="119">
        <f>IF(ISTEXT('CF Raw'!I$11),'CF Raw'!I18/'Output-FR (show)'!$A$124,0)</f>
        <v>-3.1254635159999999</v>
      </c>
      <c r="J133" s="119">
        <f>IF(ISTEXT('CF Raw'!J$11),'CF Raw'!J18/'Output-FR (show)'!$A$124,0)</f>
        <v>25.788018605000001</v>
      </c>
      <c r="K133" s="119">
        <f>IF(ISTEXT('CF Raw'!K$11),'CF Raw'!K18/'Output-FR (show)'!$A$124,0)</f>
        <v>-5.1495657809999997</v>
      </c>
      <c r="L133" s="119">
        <f>IF(ISTEXT('CF Raw'!L$11),'CF Raw'!L18/'Output-FR (show)'!$A$124,0)</f>
        <v>-2.6443794220000001</v>
      </c>
      <c r="M133" s="119">
        <f>IF(ISTEXT('CF Raw'!M$11),'CF Raw'!M18/'Output-FR (show)'!$A$124,0)</f>
        <v>1.120705235</v>
      </c>
      <c r="N133" s="119">
        <f>IF(ISTEXT('CF Raw'!N$11),'CF Raw'!N18/'Output-FR (show)'!$A$124,0)</f>
        <v>14.547849369</v>
      </c>
      <c r="O133" s="119">
        <f>IF(ISTEXT('CF Raw'!O$11),'CF Raw'!O18/'Output-FR (show)'!$A$124,0)</f>
        <v>14.288446894</v>
      </c>
      <c r="P133" s="671">
        <f>IF(ISTEXT('CF Raw'!P$11),'CF Raw'!P18/'Output-FR (show)'!$A$124,0)</f>
        <v>14.288446894</v>
      </c>
      <c r="Q133" s="172">
        <f>IF(ISTEXT('CF Raw'!Q$11),'CF Raw'!Q18/'Output-FR (show)'!$A$124,0)</f>
        <v>0</v>
      </c>
      <c r="R133" s="172">
        <f>IF(ISTEXT('CF Raw'!R$11),'CF Raw'!R18/'Output-FR (show)'!$A$124,0)</f>
        <v>0</v>
      </c>
      <c r="S133" s="172">
        <f>IF(ISTEXT('CF Raw'!S$11),'CF Raw'!S18/'Output-FR (show)'!$A$124,0)</f>
        <v>0</v>
      </c>
      <c r="T133" s="172">
        <f>IF(ISTEXT('CF Raw'!T$11),'CF Raw'!T18/'Output-FR (show)'!$A$124,0)</f>
        <v>0</v>
      </c>
      <c r="U133" s="172">
        <f>IF(ISTEXT('CF Raw'!U$11),'CF Raw'!U18/'Output-FR (show)'!$A$124,0)</f>
        <v>0</v>
      </c>
      <c r="V133" s="172">
        <f>IF(ISTEXT('CF Raw'!V$11),'CF Raw'!V18/'Output-FR (show)'!$A$124,0)</f>
        <v>0</v>
      </c>
      <c r="W133" s="172">
        <f>IF(ISTEXT('CF Raw'!W$11),'CF Raw'!W18/'Output-FR (show)'!$A$124,0)</f>
        <v>0</v>
      </c>
      <c r="X133" s="172">
        <f>IF(ISTEXT('CF Raw'!X$11),'CF Raw'!X18/'Output-FR (show)'!$A$124,0)</f>
        <v>0</v>
      </c>
      <c r="Y133" s="172">
        <f>IF(ISTEXT('CF Raw'!Y$11),'CF Raw'!Y18/'Output-FR (show)'!$A$124,0)</f>
        <v>0</v>
      </c>
      <c r="Z133" s="172">
        <f>IF(ISTEXT('CF Raw'!Z$11),'CF Raw'!Z18/'Output-FR (show)'!$A$124,0)</f>
        <v>0</v>
      </c>
      <c r="AA133" s="172"/>
      <c r="AB133" s="173"/>
      <c r="AC133" s="173"/>
      <c r="AD133" s="173"/>
      <c r="AE133" s="173"/>
      <c r="AF133" s="173"/>
      <c r="AG133" s="173"/>
      <c r="AH133" s="173"/>
      <c r="AI133" s="173"/>
      <c r="AJ133" s="173"/>
      <c r="AK133" s="173"/>
      <c r="AL133" s="173"/>
      <c r="AM133" s="173"/>
      <c r="AN133" s="173"/>
      <c r="AO133" s="173"/>
      <c r="AP133" s="173"/>
      <c r="AQ133" s="173"/>
      <c r="AR133" s="173"/>
      <c r="AS133" s="173"/>
      <c r="AT133" s="173"/>
      <c r="AU133" s="173"/>
      <c r="AV133" s="173"/>
      <c r="AW133" s="173"/>
      <c r="AX133" s="173"/>
      <c r="AY133" s="173"/>
      <c r="AZ133" s="173"/>
      <c r="BA133" s="173"/>
    </row>
    <row r="134" spans="1:55" x14ac:dyDescent="0.25">
      <c r="A134" s="642"/>
      <c r="B134" s="2332" t="s">
        <v>1330</v>
      </c>
      <c r="C134" s="770"/>
      <c r="D134" s="66"/>
      <c r="E134" s="118"/>
      <c r="F134" s="118"/>
      <c r="G134" s="118"/>
      <c r="H134" s="118"/>
      <c r="I134" s="119">
        <f>IF(ISTEXT('CF Raw'!I$11),'CF Raw'!I19/$A$124,0)</f>
        <v>-0.59503310700000001</v>
      </c>
      <c r="J134" s="119">
        <f>IF(ISTEXT('CF Raw'!J$11),'CF Raw'!J19/$A$124,0)</f>
        <v>-0.42643000599999997</v>
      </c>
      <c r="K134" s="119">
        <f>IF(ISTEXT('CF Raw'!K$11),'CF Raw'!K19/$A$124,0)</f>
        <v>0.30575327499999999</v>
      </c>
      <c r="L134" s="119">
        <f>IF(ISTEXT('CF Raw'!L$11),'CF Raw'!L19/$A$124,0)</f>
        <v>-3.7498219999999999E-3</v>
      </c>
      <c r="M134" s="119">
        <f>IF(ISTEXT('CF Raw'!M$11),'CF Raw'!M19/$A$124,0)</f>
        <v>-8.9566700999999999E-2</v>
      </c>
      <c r="N134" s="119">
        <f>IF(ISTEXT('CF Raw'!N$11),'CF Raw'!N19/$A$124,0)</f>
        <v>6.9131554999999997E-2</v>
      </c>
      <c r="O134" s="119">
        <f>IF(ISTEXT('CF Raw'!O$11),'CF Raw'!O19/$A$124,0)</f>
        <v>0.69521357399999995</v>
      </c>
      <c r="P134" s="671">
        <f>IF(ISTEXT('CF Raw'!P$11),'CF Raw'!P19/$A$124,0)</f>
        <v>0</v>
      </c>
      <c r="Q134" s="172">
        <f>IF(ISTEXT('CF Raw'!Q$11),'CF Raw'!Q19/$A$124,0)</f>
        <v>0</v>
      </c>
      <c r="R134" s="172">
        <f>IF(ISTEXT('CF Raw'!R$11),'CF Raw'!R19/$A$124,0)</f>
        <v>0</v>
      </c>
      <c r="S134" s="172">
        <f>IF(ISTEXT('CF Raw'!S$11),'CF Raw'!S19/$A$124,0)</f>
        <v>0</v>
      </c>
      <c r="T134" s="172">
        <f>IF(ISTEXT('CF Raw'!T$11),'CF Raw'!T19/$A$124,0)</f>
        <v>0</v>
      </c>
      <c r="U134" s="172">
        <f>IF(ISTEXT('CF Raw'!U$11),'CF Raw'!U19/$A$124,0)</f>
        <v>0</v>
      </c>
      <c r="V134" s="172">
        <f>IF(ISTEXT('CF Raw'!V$11),'CF Raw'!V19/$A$124,0)</f>
        <v>0</v>
      </c>
      <c r="W134" s="172">
        <f>IF(ISTEXT('CF Raw'!W$11),'CF Raw'!W19/$A$124,0)</f>
        <v>0</v>
      </c>
      <c r="X134" s="172">
        <f>IF(ISTEXT('CF Raw'!X$11),'CF Raw'!X19/$A$124,0)</f>
        <v>0</v>
      </c>
      <c r="Y134" s="172">
        <f>IF(ISTEXT('CF Raw'!Y$11),'CF Raw'!Y19/$A$124,0)</f>
        <v>0</v>
      </c>
      <c r="Z134" s="172">
        <f>IF(ISTEXT('CF Raw'!Z$11),'CF Raw'!Z19/$A$124,0)</f>
        <v>0</v>
      </c>
      <c r="AA134" s="172"/>
      <c r="AB134" s="173"/>
      <c r="AC134" s="173"/>
      <c r="AD134" s="173"/>
      <c r="AE134" s="173"/>
      <c r="AF134" s="173"/>
      <c r="AG134" s="173"/>
      <c r="AH134" s="173"/>
      <c r="AI134" s="173"/>
      <c r="AJ134" s="173"/>
      <c r="AK134" s="173"/>
      <c r="AL134" s="173"/>
      <c r="AM134" s="173"/>
      <c r="AN134" s="173"/>
      <c r="AO134" s="173"/>
      <c r="AP134" s="173"/>
      <c r="AQ134" s="173"/>
      <c r="AR134" s="173"/>
      <c r="AS134" s="173"/>
      <c r="AT134" s="173"/>
      <c r="AU134" s="173"/>
      <c r="AV134" s="173"/>
      <c r="AW134" s="173"/>
      <c r="AX134" s="173"/>
      <c r="AY134" s="173"/>
      <c r="AZ134" s="173"/>
      <c r="BA134" s="173"/>
    </row>
    <row r="135" spans="1:55" x14ac:dyDescent="0.25">
      <c r="A135" s="642"/>
      <c r="B135" s="2333" t="s">
        <v>1331</v>
      </c>
      <c r="C135" s="770"/>
      <c r="D135" s="66"/>
      <c r="E135" s="118"/>
      <c r="F135" s="118"/>
      <c r="G135" s="118"/>
      <c r="H135" s="118"/>
      <c r="I135" s="119">
        <f>+I136+I137</f>
        <v>-4.5389949180000002</v>
      </c>
      <c r="J135" s="119">
        <f>+J136+J137</f>
        <v>-47.816327004000001</v>
      </c>
      <c r="K135" s="119">
        <f t="shared" ref="K135:Z135" si="52">+K136+K137</f>
        <v>-25.707873975999998</v>
      </c>
      <c r="L135" s="119">
        <f t="shared" si="52"/>
        <v>-25.735579961999999</v>
      </c>
      <c r="M135" s="119">
        <f t="shared" si="52"/>
        <v>-26.3237326</v>
      </c>
      <c r="N135" s="119">
        <f t="shared" si="52"/>
        <v>-27.37118619</v>
      </c>
      <c r="O135" s="119">
        <f t="shared" si="52"/>
        <v>-24.246804957999998</v>
      </c>
      <c r="P135" s="671">
        <f t="shared" si="52"/>
        <v>-24.246804957999998</v>
      </c>
      <c r="Q135" s="172">
        <f t="shared" ca="1" si="52"/>
        <v>-18.057929602327484</v>
      </c>
      <c r="R135" s="172">
        <f t="shared" ca="1" si="52"/>
        <v>-23.585305080167423</v>
      </c>
      <c r="S135" s="172">
        <f t="shared" ca="1" si="52"/>
        <v>-26.856027265091523</v>
      </c>
      <c r="T135" s="172">
        <f t="shared" ca="1" si="52"/>
        <v>-33.462578071645879</v>
      </c>
      <c r="U135" s="172">
        <f t="shared" ca="1" si="52"/>
        <v>-42.069778787645333</v>
      </c>
      <c r="V135" s="172">
        <f t="shared" ca="1" si="52"/>
        <v>-53.704776623860006</v>
      </c>
      <c r="W135" s="172">
        <f t="shared" ca="1" si="52"/>
        <v>-65.196513421632503</v>
      </c>
      <c r="X135" s="172">
        <f t="shared" ca="1" si="52"/>
        <v>-74.179195045914341</v>
      </c>
      <c r="Y135" s="172">
        <f t="shared" ca="1" si="52"/>
        <v>-86.34523726727069</v>
      </c>
      <c r="Z135" s="172">
        <f t="shared" ca="1" si="52"/>
        <v>-98.889092995823063</v>
      </c>
      <c r="AA135" s="172"/>
      <c r="AB135" s="173"/>
      <c r="AC135" s="173"/>
      <c r="AD135" s="173"/>
      <c r="AE135" s="173"/>
      <c r="AF135" s="173"/>
      <c r="AG135" s="173"/>
      <c r="AH135" s="173"/>
      <c r="AI135" s="173"/>
      <c r="AJ135" s="173"/>
      <c r="AK135" s="173"/>
      <c r="AL135" s="173"/>
      <c r="AM135" s="173"/>
      <c r="AN135" s="173"/>
      <c r="AO135" s="173"/>
      <c r="AP135" s="173"/>
      <c r="AQ135" s="173"/>
      <c r="AR135" s="173"/>
      <c r="AS135" s="173"/>
      <c r="AT135" s="173"/>
      <c r="AU135" s="173"/>
      <c r="AV135" s="173"/>
      <c r="AW135" s="173"/>
      <c r="AX135" s="173"/>
      <c r="AY135" s="173"/>
      <c r="AZ135" s="173"/>
      <c r="BA135" s="173"/>
    </row>
    <row r="136" spans="1:55" x14ac:dyDescent="0.25">
      <c r="A136" s="677"/>
      <c r="B136" s="2334" t="s">
        <v>1746</v>
      </c>
      <c r="C136" s="772" t="s">
        <v>1332</v>
      </c>
      <c r="D136" s="679"/>
      <c r="E136" s="696"/>
      <c r="F136" s="696"/>
      <c r="G136" s="696"/>
      <c r="H136" s="696"/>
      <c r="I136" s="119">
        <f>IF(ISTEXT('CF Raw'!I$11),'CF Raw'!I20/'Output-FR (show)'!$A$124,-'Output-FR (show)'!I25)</f>
        <v>0</v>
      </c>
      <c r="J136" s="119">
        <f>IF(ISTEXT('CF Raw'!J$11),'CF Raw'!J20/'Output-FR (show)'!$A$124,-'Output-FR (show)'!J25)</f>
        <v>0</v>
      </c>
      <c r="K136" s="119">
        <f>IF(ISTEXT('CF Raw'!K$11),'CF Raw'!K20/'Output-FR (show)'!$A$124,-'Output-FR (show)'!K25)</f>
        <v>0</v>
      </c>
      <c r="L136" s="119">
        <f>IF(ISTEXT('CF Raw'!L$11),'CF Raw'!L20/'Output-FR (show)'!$A$124,-'Output-FR (show)'!L25)</f>
        <v>0</v>
      </c>
      <c r="M136" s="119">
        <f>IF(ISTEXT('CF Raw'!M$11),'CF Raw'!M20/'Output-FR (show)'!$A$124,-'Output-FR (show)'!M25)</f>
        <v>0</v>
      </c>
      <c r="N136" s="119">
        <f>IF(ISTEXT('CF Raw'!N$11),'CF Raw'!N20/'Output-FR (show)'!$A$124,-'Output-FR (show)'!N25)</f>
        <v>0</v>
      </c>
      <c r="O136" s="119">
        <f>IF(ISTEXT('CF Raw'!O$11),'CF Raw'!O20/'Output-FR (show)'!$A$124,-'Output-FR (show)'!O25)</f>
        <v>0</v>
      </c>
      <c r="P136" s="671">
        <f>IF(ISTEXT('CF Raw'!P$11),'CF Raw'!P20/'Output-FR (show)'!$A$124,-'Output-FR (show)'!P25)</f>
        <v>0</v>
      </c>
      <c r="Q136" s="172">
        <f>IF(ISTEXT('CF Raw'!Q$11),'CF Raw'!Q20/'Output-FR (show)'!$A$124,-'Output-FR (show)'!Q25)</f>
        <v>-0.91089126966666678</v>
      </c>
      <c r="R136" s="172">
        <f>IF(ISTEXT('CF Raw'!R$11),'CF Raw'!R20/'Output-FR (show)'!$A$124,-'Output-FR (show)'!R25)</f>
        <v>-1.0467947702777778</v>
      </c>
      <c r="S136" s="172">
        <f>IF(ISTEXT('CF Raw'!S$11),'CF Raw'!S20/'Output-FR (show)'!$A$124,-'Output-FR (show)'!S25)</f>
        <v>-1.127796755324074</v>
      </c>
      <c r="T136" s="172">
        <f>IF(ISTEXT('CF Raw'!T$11),'CF Raw'!T20/'Output-FR (show)'!$A$124,-'Output-FR (show)'!T25)</f>
        <v>-1.2985224325447531</v>
      </c>
      <c r="U136" s="172">
        <f>IF(ISTEXT('CF Raw'!U$11),'CF Raw'!U20/'Output-FR (show)'!$A$124,-'Output-FR (show)'!U25)</f>
        <v>-1.4785289249688784</v>
      </c>
      <c r="V136" s="172">
        <f>IF(ISTEXT('CF Raw'!V$11),'CF Raw'!V20/'Output-FR (show)'!$A$124,-'Output-FR (show)'!V25)</f>
        <v>-1.2673752972970249</v>
      </c>
      <c r="W136" s="172">
        <f>IF(ISTEXT('CF Raw'!W$11),'CF Raw'!W20/'Output-FR (show)'!$A$124,-'Output-FR (show)'!W25)</f>
        <v>-1.1883182416798623</v>
      </c>
      <c r="X136" s="172">
        <f>IF(ISTEXT('CF Raw'!X$11),'CF Raw'!X20/'Output-FR (show)'!$A$124,-'Output-FR (show)'!X25)</f>
        <v>-1.2345560703487284</v>
      </c>
      <c r="Y136" s="172">
        <f>IF(ISTEXT('CF Raw'!Y$11),'CF Raw'!Y20/'Output-FR (show)'!$A$124,-'Output-FR (show)'!Y25)</f>
        <v>-1.2658496203605536</v>
      </c>
      <c r="Z136" s="172">
        <f>IF(ISTEXT('CF Raw'!Z$11),'CF Raw'!Z20/'Output-FR (show)'!$A$124,-'Output-FR (show)'!Z25)</f>
        <v>-1.2888584311999667</v>
      </c>
      <c r="AA136" s="699"/>
      <c r="AB136" s="700"/>
      <c r="AC136" s="700"/>
      <c r="AD136" s="700"/>
      <c r="AE136" s="700"/>
      <c r="AF136" s="700"/>
      <c r="AG136" s="700"/>
      <c r="AH136" s="700"/>
      <c r="AI136" s="700"/>
      <c r="AJ136" s="700"/>
      <c r="AK136" s="700"/>
      <c r="AL136" s="700"/>
      <c r="AM136" s="700"/>
      <c r="AN136" s="700"/>
      <c r="AO136" s="700"/>
      <c r="AP136" s="700"/>
      <c r="AQ136" s="700"/>
      <c r="AR136" s="700"/>
      <c r="AS136" s="700"/>
      <c r="AT136" s="700"/>
      <c r="AU136" s="700"/>
      <c r="AV136" s="700"/>
      <c r="AW136" s="700"/>
      <c r="AX136" s="700"/>
      <c r="AY136" s="700"/>
      <c r="AZ136" s="700"/>
      <c r="BA136" s="700"/>
    </row>
    <row r="137" spans="1:55" x14ac:dyDescent="0.25">
      <c r="A137" s="677"/>
      <c r="B137" s="2334" t="s">
        <v>1747</v>
      </c>
      <c r="C137" s="772"/>
      <c r="D137" s="679"/>
      <c r="E137" s="696"/>
      <c r="F137" s="696"/>
      <c r="G137" s="696"/>
      <c r="H137" s="696"/>
      <c r="I137" s="119">
        <f>IF(ISTEXT('CF Raw'!I$11),'CF Raw'!I21/'Output-FR (show)'!$A$124,-'Output-FR (show)'!I21)</f>
        <v>-4.5389949180000002</v>
      </c>
      <c r="J137" s="119">
        <f>IF(ISTEXT('CF Raw'!J$11),'CF Raw'!J21/'Output-FR (show)'!$A$124,-'Output-FR (show)'!J21)</f>
        <v>-47.816327004000001</v>
      </c>
      <c r="K137" s="119">
        <f>IF(ISTEXT('CF Raw'!K$11),'CF Raw'!K21/'Output-FR (show)'!$A$124,-'Output-FR (show)'!K21)</f>
        <v>-25.707873975999998</v>
      </c>
      <c r="L137" s="119">
        <f>IF(ISTEXT('CF Raw'!L$11),'CF Raw'!L21/'Output-FR (show)'!$A$124,-'Output-FR (show)'!L21)</f>
        <v>-25.735579961999999</v>
      </c>
      <c r="M137" s="119">
        <f>IF(ISTEXT('CF Raw'!M$11),'CF Raw'!M21/'Output-FR (show)'!$A$124,-'Output-FR (show)'!M21)</f>
        <v>-26.3237326</v>
      </c>
      <c r="N137" s="119">
        <f>IF(ISTEXT('CF Raw'!N$11),'CF Raw'!N21/'Output-FR (show)'!$A$124,-'Output-FR (show)'!N21)</f>
        <v>-27.37118619</v>
      </c>
      <c r="O137" s="119">
        <f>IF(ISTEXT('CF Raw'!O$11),'CF Raw'!O21/'Output-FR (show)'!$A$124,-'Output-FR (show)'!O21)</f>
        <v>-24.246804957999998</v>
      </c>
      <c r="P137" s="671">
        <f>IF(ISTEXT('CF Raw'!P$11),'CF Raw'!P21/'Output-FR (show)'!$A$124,-'Output-FR (show)'!P21)</f>
        <v>-24.246804957999998</v>
      </c>
      <c r="Q137" s="172">
        <f ca="1">IF(ISTEXT('CF Raw'!Q$11),'CF Raw'!Q21/'Output-FR (show)'!$A$124,-'Output-FR (show)'!Q21)</f>
        <v>-17.147038332660816</v>
      </c>
      <c r="R137" s="172">
        <f ca="1">IF(ISTEXT('CF Raw'!R$11),'CF Raw'!R21/'Output-FR (show)'!$A$124,-'Output-FR (show)'!R21)</f>
        <v>-22.538510309889645</v>
      </c>
      <c r="S137" s="172">
        <f ca="1">IF(ISTEXT('CF Raw'!S$11),'CF Raw'!S21/'Output-FR (show)'!$A$124,-'Output-FR (show)'!S21)</f>
        <v>-25.72823050976745</v>
      </c>
      <c r="T137" s="172">
        <f ca="1">IF(ISTEXT('CF Raw'!T$11),'CF Raw'!T21/'Output-FR (show)'!$A$124,-'Output-FR (show)'!T21)</f>
        <v>-32.164055639101129</v>
      </c>
      <c r="U137" s="172">
        <f ca="1">IF(ISTEXT('CF Raw'!U$11),'CF Raw'!U21/'Output-FR (show)'!$A$124,-'Output-FR (show)'!U21)</f>
        <v>-40.591249862676456</v>
      </c>
      <c r="V137" s="172">
        <f ca="1">IF(ISTEXT('CF Raw'!V$11),'CF Raw'!V21/'Output-FR (show)'!$A$124,-'Output-FR (show)'!V21)</f>
        <v>-52.437401326562984</v>
      </c>
      <c r="W137" s="172">
        <f ca="1">IF(ISTEXT('CF Raw'!W$11),'CF Raw'!W21/'Output-FR (show)'!$A$124,-'Output-FR (show)'!W21)</f>
        <v>-64.008195179952637</v>
      </c>
      <c r="X137" s="172">
        <f ca="1">IF(ISTEXT('CF Raw'!X$11),'CF Raw'!X21/'Output-FR (show)'!$A$124,-'Output-FR (show)'!X21)</f>
        <v>-72.94463897556561</v>
      </c>
      <c r="Y137" s="172">
        <f ca="1">IF(ISTEXT('CF Raw'!Y$11),'CF Raw'!Y21/'Output-FR (show)'!$A$124,-'Output-FR (show)'!Y21)</f>
        <v>-85.079387646910135</v>
      </c>
      <c r="Z137" s="172">
        <f ca="1">IF(ISTEXT('CF Raw'!Z$11),'CF Raw'!Z21/'Output-FR (show)'!$A$124,-'Output-FR (show)'!Z21)</f>
        <v>-97.600234564623094</v>
      </c>
      <c r="AA137" s="699"/>
      <c r="AB137" s="700"/>
      <c r="AC137" s="700"/>
      <c r="AD137" s="700"/>
      <c r="AE137" s="700"/>
      <c r="AF137" s="700"/>
      <c r="AG137" s="700"/>
      <c r="AH137" s="700"/>
      <c r="AI137" s="700"/>
      <c r="AJ137" s="700"/>
      <c r="AK137" s="700"/>
      <c r="AL137" s="700"/>
      <c r="AM137" s="700"/>
      <c r="AN137" s="700"/>
      <c r="AO137" s="700"/>
      <c r="AP137" s="700"/>
      <c r="AQ137" s="700"/>
      <c r="AR137" s="700"/>
      <c r="AS137" s="700"/>
      <c r="AT137" s="700"/>
      <c r="AU137" s="700"/>
      <c r="AV137" s="700"/>
      <c r="AW137" s="700"/>
      <c r="AX137" s="700"/>
      <c r="AY137" s="700"/>
      <c r="AZ137" s="700"/>
      <c r="BA137" s="700"/>
    </row>
    <row r="138" spans="1:55" s="779" customFormat="1" x14ac:dyDescent="0.25">
      <c r="A138" s="773"/>
      <c r="B138" s="2335" t="s">
        <v>1748</v>
      </c>
      <c r="C138" s="774"/>
      <c r="D138" s="775"/>
      <c r="E138" s="776"/>
      <c r="F138" s="776"/>
      <c r="G138" s="776"/>
      <c r="H138" s="776"/>
      <c r="I138" s="776">
        <f>-Input!I60</f>
        <v>0</v>
      </c>
      <c r="J138" s="776">
        <f>-Input!J60</f>
        <v>0</v>
      </c>
      <c r="K138" s="776">
        <f>-Input!K60</f>
        <v>0</v>
      </c>
      <c r="L138" s="776">
        <f>-Input!L60</f>
        <v>0</v>
      </c>
      <c r="M138" s="776">
        <f>-Input!M60</f>
        <v>0</v>
      </c>
      <c r="N138" s="776">
        <f>-Input!N60</f>
        <v>0</v>
      </c>
      <c r="O138" s="776">
        <f>-Input!O60</f>
        <v>0</v>
      </c>
      <c r="P138" s="776">
        <f>-Input!P60</f>
        <v>0</v>
      </c>
      <c r="Q138" s="777">
        <f ca="1">-Input!Q60</f>
        <v>-0.49001040887241598</v>
      </c>
      <c r="R138" s="777">
        <f ca="1">-Input!R60</f>
        <v>-0.68284456770133584</v>
      </c>
      <c r="S138" s="777">
        <f ca="1">-Input!S60</f>
        <v>-0.24740198902860497</v>
      </c>
      <c r="T138" s="777">
        <f ca="1">-Input!T60</f>
        <v>-0.17648897314760989</v>
      </c>
      <c r="U138" s="777">
        <f ca="1">-Input!U60</f>
        <v>-0.22905285447382595</v>
      </c>
      <c r="V138" s="777">
        <f ca="1">-Input!V60</f>
        <v>-0.11276057762400907</v>
      </c>
      <c r="W138" s="777">
        <f ca="1">-Input!W60</f>
        <v>-0.14724957193282245</v>
      </c>
      <c r="X138" s="777">
        <f ca="1">-Input!X60</f>
        <v>-0.36627085280907962</v>
      </c>
      <c r="Y138" s="777">
        <f ca="1">-Input!Y60</f>
        <v>-0.37929094513214262</v>
      </c>
      <c r="Z138" s="777">
        <f ca="1">-Input!Z60</f>
        <v>-0.39059683601589607</v>
      </c>
      <c r="AA138" s="777"/>
      <c r="AB138" s="778"/>
      <c r="AC138" s="778"/>
      <c r="AD138" s="778"/>
      <c r="AE138" s="778"/>
      <c r="AF138" s="778"/>
      <c r="AG138" s="778"/>
      <c r="AH138" s="778"/>
      <c r="AI138" s="778"/>
      <c r="AJ138" s="778"/>
      <c r="AK138" s="778"/>
      <c r="AL138" s="778"/>
      <c r="AM138" s="778"/>
      <c r="AN138" s="778"/>
      <c r="AO138" s="778"/>
      <c r="AP138" s="778"/>
      <c r="AQ138" s="778"/>
      <c r="AR138" s="778"/>
      <c r="AS138" s="778"/>
      <c r="AT138" s="778"/>
      <c r="AU138" s="778"/>
      <c r="AV138" s="778"/>
      <c r="AW138" s="778"/>
      <c r="AX138" s="778"/>
      <c r="AY138" s="778"/>
      <c r="AZ138" s="778"/>
      <c r="BA138" s="778"/>
    </row>
    <row r="139" spans="1:55" x14ac:dyDescent="0.25">
      <c r="A139" s="642"/>
      <c r="B139" s="2333" t="s">
        <v>1333</v>
      </c>
      <c r="C139" s="770"/>
      <c r="D139" s="66"/>
      <c r="E139" s="118"/>
      <c r="F139" s="118"/>
      <c r="G139" s="118"/>
      <c r="H139" s="118"/>
      <c r="I139" s="119">
        <f>IF(ISTEXT('CF Raw'!I$11),'CF Raw'!I22/'Output-FR (show)'!$A$124,'Output-FR (show)'!I23)</f>
        <v>25.505476234</v>
      </c>
      <c r="J139" s="119">
        <f>IF(ISTEXT('CF Raw'!J$11),'CF Raw'!J22/'Output-FR (show)'!$A$124,'Output-FR (show)'!J23)</f>
        <v>5.4477752500000003</v>
      </c>
      <c r="K139" s="119">
        <f>IF(ISTEXT('CF Raw'!K$11),'CF Raw'!K22/'Output-FR (show)'!$A$124,'Output-FR (show)'!K23)</f>
        <v>4.4980130369999998</v>
      </c>
      <c r="L139" s="119">
        <f>IF(ISTEXT('CF Raw'!L$11),'CF Raw'!L22/'Output-FR (show)'!$A$124,'Output-FR (show)'!L23)</f>
        <v>6.8281941420000001</v>
      </c>
      <c r="M139" s="119">
        <f>IF(ISTEXT('CF Raw'!M$11),'CF Raw'!M22/'Output-FR (show)'!$A$124,'Output-FR (show)'!M23)</f>
        <v>8.3658396649999993</v>
      </c>
      <c r="N139" s="119">
        <f>IF(ISTEXT('CF Raw'!N$11),'CF Raw'!N22/'Output-FR (show)'!$A$124,'Output-FR (show)'!N23)</f>
        <v>10.314154786</v>
      </c>
      <c r="O139" s="119">
        <f>IF(ISTEXT('CF Raw'!O$11),'CF Raw'!O22/'Output-FR (show)'!$A$124,'Output-FR (show)'!O23)</f>
        <v>6.5888547370000001</v>
      </c>
      <c r="P139" s="671">
        <f>IF(ISTEXT('CF Raw'!P$11),'CF Raw'!P22/'Output-FR (show)'!$A$124,'Output-FR (show)'!P23)</f>
        <v>1.3245273529999999</v>
      </c>
      <c r="Q139" s="172">
        <f ca="1">IF(ISTEXT('CF Raw'!Q$11),'CF Raw'!Q22/'Output-FR (show)'!$A$124,'Output-FR (show)'!Q23)</f>
        <v>12.916923249096442</v>
      </c>
      <c r="R139" s="172">
        <f ca="1">IF(ISTEXT('CF Raw'!R$11),'CF Raw'!R22/'Output-FR (show)'!$A$124,'Output-FR (show)'!R23)</f>
        <v>22.838884529150331</v>
      </c>
      <c r="S139" s="172">
        <f ca="1">IF(ISTEXT('CF Raw'!S$11),'CF Raw'!S22/'Output-FR (show)'!$A$124,'Output-FR (show)'!S23)</f>
        <v>24.366173368748793</v>
      </c>
      <c r="T139" s="172">
        <f ca="1">IF(ISTEXT('CF Raw'!T$11),'CF Raw'!T22/'Output-FR (show)'!$A$124,'Output-FR (show)'!T23)</f>
        <v>19.843671313066856</v>
      </c>
      <c r="U139" s="172">
        <f ca="1">IF(ISTEXT('CF Raw'!U$11),'CF Raw'!U22/'Output-FR (show)'!$A$124,'Output-FR (show)'!U23)</f>
        <v>15.160595635021753</v>
      </c>
      <c r="V139" s="172">
        <f ca="1">IF(ISTEXT('CF Raw'!V$11),'CF Raw'!V22/'Output-FR (show)'!$A$124,'Output-FR (show)'!V23)</f>
        <v>11.043318682656746</v>
      </c>
      <c r="W139" s="172">
        <f ca="1">IF(ISTEXT('CF Raw'!W$11),'CF Raw'!W22/'Output-FR (show)'!$A$124,'Output-FR (show)'!W23)</f>
        <v>8.2279871133458933</v>
      </c>
      <c r="X139" s="172">
        <f ca="1">IF(ISTEXT('CF Raw'!X$11),'CF Raw'!X22/'Output-FR (show)'!$A$124,'Output-FR (show)'!X23)</f>
        <v>7.8933156905878956</v>
      </c>
      <c r="Y139" s="172">
        <f ca="1">IF(ISTEXT('CF Raw'!Y$11),'CF Raw'!Y22/'Output-FR (show)'!$A$124,'Output-FR (show)'!Y23)</f>
        <v>8.1675499886462966</v>
      </c>
      <c r="Z139" s="172">
        <f ca="1">IF(ISTEXT('CF Raw'!Z$11),'CF Raw'!Z22/'Output-FR (show)'!$A$124,'Output-FR (show)'!Z23)</f>
        <v>8.4450135190520097</v>
      </c>
      <c r="AA139" s="172"/>
      <c r="AB139" s="173"/>
      <c r="AC139" s="173"/>
      <c r="AD139" s="173"/>
      <c r="AE139" s="173"/>
      <c r="AF139" s="173"/>
      <c r="AG139" s="173"/>
      <c r="AH139" s="173"/>
      <c r="AI139" s="173"/>
      <c r="AJ139" s="173"/>
      <c r="AK139" s="173"/>
      <c r="AL139" s="173"/>
      <c r="AM139" s="173"/>
      <c r="AN139" s="173"/>
      <c r="AO139" s="173"/>
      <c r="AP139" s="173"/>
      <c r="AQ139" s="173"/>
      <c r="AR139" s="173"/>
      <c r="AS139" s="173"/>
      <c r="AT139" s="173"/>
      <c r="AU139" s="173"/>
      <c r="AV139" s="173"/>
      <c r="AW139" s="173"/>
      <c r="AX139" s="173"/>
      <c r="AY139" s="173"/>
      <c r="AZ139" s="173"/>
      <c r="BA139" s="173"/>
    </row>
    <row r="140" spans="1:55" x14ac:dyDescent="0.25">
      <c r="A140" s="642"/>
      <c r="B140" s="2333" t="s">
        <v>1334</v>
      </c>
      <c r="C140" s="770"/>
      <c r="D140" s="66"/>
      <c r="E140" s="118"/>
      <c r="F140" s="118"/>
      <c r="G140" s="118"/>
      <c r="H140" s="118"/>
      <c r="I140" s="119">
        <f>IF(ISTEXT('CF Raw'!I$11),'CF Raw'!I24/'Output-FR (show)'!$A$124,0)</f>
        <v>0</v>
      </c>
      <c r="J140" s="119">
        <f>IF(ISTEXT('CF Raw'!J$11),'CF Raw'!J24/'Output-FR (show)'!$A$124,0)</f>
        <v>12</v>
      </c>
      <c r="K140" s="119">
        <f>IF(ISTEXT('CF Raw'!K$11),'CF Raw'!K24/'Output-FR (show)'!$A$124,0)</f>
        <v>17</v>
      </c>
      <c r="L140" s="119">
        <f>IF(ISTEXT('CF Raw'!L$11),'CF Raw'!L24/'Output-FR (show)'!$A$124,0)</f>
        <v>15</v>
      </c>
      <c r="M140" s="119">
        <f>IF(ISTEXT('CF Raw'!M$11),'CF Raw'!M24/'Output-FR (show)'!$A$124,0)</f>
        <v>0</v>
      </c>
      <c r="N140" s="119">
        <f>IF(ISTEXT('CF Raw'!N$11),'CF Raw'!N24/'Output-FR (show)'!$A$124,0)</f>
        <v>-1.5017455</v>
      </c>
      <c r="O140" s="119">
        <f>IF(ISTEXT('CF Raw'!O$11),'CF Raw'!O24/'Output-FR (show)'!$A$124,0)</f>
        <v>1.4646581000000001E-2</v>
      </c>
      <c r="P140" s="671">
        <f>IF(ISTEXT('CF Raw'!P$11),'CF Raw'!P24/'Output-FR (show)'!$A$124,0)</f>
        <v>0</v>
      </c>
      <c r="Q140" s="172">
        <f>IF(ISTEXT('CF Raw'!Q$11),'CF Raw'!Q24/'Output-FR (show)'!$A$124,0)</f>
        <v>0</v>
      </c>
      <c r="R140" s="172">
        <f>IF(ISTEXT('CF Raw'!R$11),'CF Raw'!R24/'Output-FR (show)'!$A$124,0)</f>
        <v>0</v>
      </c>
      <c r="S140" s="172">
        <f>IF(ISTEXT('CF Raw'!S$11),'CF Raw'!S24/'Output-FR (show)'!$A$124,0)</f>
        <v>0</v>
      </c>
      <c r="T140" s="172">
        <f>IF(ISTEXT('CF Raw'!T$11),'CF Raw'!T24/'Output-FR (show)'!$A$124,0)</f>
        <v>0</v>
      </c>
      <c r="U140" s="172">
        <f>IF(ISTEXT('CF Raw'!U$11),'CF Raw'!U24/'Output-FR (show)'!$A$124,0)</f>
        <v>0</v>
      </c>
      <c r="V140" s="172">
        <f>IF(ISTEXT('CF Raw'!V$11),'CF Raw'!V24/'Output-FR (show)'!$A$124,0)</f>
        <v>0</v>
      </c>
      <c r="W140" s="172">
        <f>IF(ISTEXT('CF Raw'!W$11),'CF Raw'!W24/'Output-FR (show)'!$A$124,0)</f>
        <v>0</v>
      </c>
      <c r="X140" s="172">
        <f>IF(ISTEXT('CF Raw'!X$11),'CF Raw'!X24/'Output-FR (show)'!$A$124,0)</f>
        <v>0</v>
      </c>
      <c r="Y140" s="172">
        <f>IF(ISTEXT('CF Raw'!Y$11),'CF Raw'!Y24/'Output-FR (show)'!$A$124,0)</f>
        <v>0</v>
      </c>
      <c r="Z140" s="172">
        <f>IF(ISTEXT('CF Raw'!Z$11),'CF Raw'!Z24/'Output-FR (show)'!$A$124,0)</f>
        <v>0</v>
      </c>
      <c r="AA140" s="172"/>
      <c r="AB140" s="173"/>
      <c r="AC140" s="173"/>
      <c r="AD140" s="173"/>
      <c r="AE140" s="173"/>
      <c r="AF140" s="173"/>
      <c r="AG140" s="173"/>
      <c r="AH140" s="173"/>
      <c r="AI140" s="173"/>
      <c r="AJ140" s="173"/>
      <c r="AK140" s="173"/>
      <c r="AL140" s="173"/>
      <c r="AM140" s="173"/>
      <c r="AN140" s="173"/>
      <c r="AO140" s="173"/>
      <c r="AP140" s="173"/>
      <c r="AQ140" s="173"/>
      <c r="AR140" s="173"/>
      <c r="AS140" s="173"/>
      <c r="AT140" s="173"/>
      <c r="AU140" s="173"/>
      <c r="AV140" s="173"/>
      <c r="AW140" s="173"/>
      <c r="AX140" s="173"/>
      <c r="AY140" s="173"/>
      <c r="AZ140" s="173"/>
      <c r="BA140" s="173"/>
    </row>
    <row r="141" spans="1:55" x14ac:dyDescent="0.25">
      <c r="A141" s="780"/>
      <c r="B141" s="2336" t="s">
        <v>1335</v>
      </c>
      <c r="C141" s="771" t="s">
        <v>1336</v>
      </c>
      <c r="D141" s="44"/>
      <c r="E141" s="152"/>
      <c r="F141" s="152"/>
      <c r="G141" s="152"/>
      <c r="H141" s="152"/>
      <c r="I141" s="374">
        <f>+I128+I132+I133+I134+I135+I139+I140</f>
        <v>235.76061119399969</v>
      </c>
      <c r="J141" s="374">
        <f>+J128+J132+J133+J134+J135+J139+J140</f>
        <v>308.06553004499995</v>
      </c>
      <c r="K141" s="374">
        <f t="shared" ref="K141:Z141" si="53">+K128+K132+K133+K134+K135+K139+K140</f>
        <v>200.62120223799991</v>
      </c>
      <c r="L141" s="374">
        <f t="shared" si="53"/>
        <v>233.85477590399998</v>
      </c>
      <c r="M141" s="374">
        <f t="shared" si="53"/>
        <v>220.6165051590001</v>
      </c>
      <c r="N141" s="374">
        <f t="shared" si="53"/>
        <v>198.016512431</v>
      </c>
      <c r="O141" s="374">
        <f t="shared" si="53"/>
        <v>222.34066275499998</v>
      </c>
      <c r="P141" s="767">
        <f t="shared" si="53"/>
        <v>265.10140071900008</v>
      </c>
      <c r="Q141" s="375">
        <f t="shared" ca="1" si="53"/>
        <v>386.77579049657982</v>
      </c>
      <c r="R141" s="375">
        <f t="shared" ca="1" si="53"/>
        <v>419.49513842571417</v>
      </c>
      <c r="S141" s="375">
        <f t="shared" ca="1" si="53"/>
        <v>554.70885404105513</v>
      </c>
      <c r="T141" s="375">
        <f t="shared" ca="1" si="53"/>
        <v>566.63969509279013</v>
      </c>
      <c r="U141" s="375">
        <f t="shared" ca="1" si="53"/>
        <v>625.7558455558675</v>
      </c>
      <c r="V141" s="375">
        <f t="shared" ca="1" si="53"/>
        <v>673.8808663123566</v>
      </c>
      <c r="W141" s="375">
        <f t="shared" ca="1" si="53"/>
        <v>735.15712476705448</v>
      </c>
      <c r="X141" s="375">
        <f t="shared" ca="1" si="53"/>
        <v>768.67248968409922</v>
      </c>
      <c r="Y141" s="375">
        <f t="shared" ca="1" si="53"/>
        <v>804.69858069151871</v>
      </c>
      <c r="Z141" s="375">
        <f t="shared" ca="1" si="53"/>
        <v>843.46221781170493</v>
      </c>
      <c r="AA141" s="375"/>
      <c r="AB141" s="376"/>
      <c r="AC141" s="376"/>
      <c r="AD141" s="376"/>
      <c r="AE141" s="376"/>
      <c r="AF141" s="376"/>
      <c r="AG141" s="376"/>
      <c r="AH141" s="376"/>
      <c r="AI141" s="376"/>
      <c r="AJ141" s="376"/>
      <c r="AK141" s="376"/>
      <c r="AL141" s="376"/>
      <c r="AM141" s="376"/>
      <c r="AN141" s="376"/>
      <c r="AO141" s="376"/>
      <c r="AP141" s="376"/>
      <c r="AQ141" s="376"/>
      <c r="AR141" s="376"/>
      <c r="AS141" s="376"/>
      <c r="AT141" s="376"/>
      <c r="AU141" s="376"/>
      <c r="AV141" s="376"/>
      <c r="AW141" s="376"/>
      <c r="AX141" s="376"/>
      <c r="AY141" s="376"/>
      <c r="AZ141" s="376"/>
      <c r="BA141" s="376"/>
    </row>
    <row r="142" spans="1:55" x14ac:dyDescent="0.25">
      <c r="A142" s="642"/>
      <c r="B142" s="1889"/>
      <c r="C142" s="1889"/>
      <c r="D142" s="526"/>
      <c r="E142" s="765"/>
      <c r="F142" s="765"/>
      <c r="G142" s="765"/>
      <c r="H142" s="765"/>
      <c r="I142" s="765"/>
      <c r="J142" s="765"/>
      <c r="K142" s="765"/>
      <c r="L142" s="765"/>
      <c r="M142" s="765"/>
      <c r="N142" s="765"/>
      <c r="O142" s="1890"/>
      <c r="P142" s="766"/>
      <c r="Q142" s="1891"/>
      <c r="R142" s="1891"/>
      <c r="S142" s="1891"/>
      <c r="T142" s="1891"/>
      <c r="U142" s="1891"/>
      <c r="V142" s="1891"/>
      <c r="W142" s="1891"/>
      <c r="X142" s="1891"/>
      <c r="Y142" s="1891"/>
      <c r="Z142" s="1891"/>
      <c r="AA142" s="173"/>
      <c r="AB142" s="173"/>
      <c r="AC142" s="173"/>
      <c r="AD142" s="173"/>
      <c r="AE142" s="173"/>
      <c r="AF142" s="173"/>
      <c r="AG142" s="173"/>
      <c r="AH142" s="173"/>
      <c r="AI142" s="173"/>
      <c r="AJ142" s="173"/>
      <c r="AK142" s="173"/>
      <c r="AL142" s="173"/>
      <c r="AM142" s="173"/>
      <c r="AN142" s="173"/>
      <c r="AO142" s="173"/>
      <c r="AP142" s="173"/>
      <c r="AQ142" s="173"/>
      <c r="AR142" s="173"/>
      <c r="AS142" s="118"/>
      <c r="AT142" s="118"/>
      <c r="AU142" s="118"/>
      <c r="AV142" s="118"/>
      <c r="AW142" s="118"/>
      <c r="AX142" s="118"/>
      <c r="AY142" s="118"/>
      <c r="AZ142" s="118"/>
      <c r="BA142" s="118"/>
    </row>
    <row r="143" spans="1:55" x14ac:dyDescent="0.25">
      <c r="A143" s="642"/>
      <c r="B143" s="2333" t="s">
        <v>1337</v>
      </c>
      <c r="C143" s="770" t="s">
        <v>1338</v>
      </c>
      <c r="D143" s="66"/>
      <c r="E143" s="118"/>
      <c r="F143" s="118"/>
      <c r="G143" s="118"/>
      <c r="H143" s="118"/>
      <c r="I143" s="119">
        <f>IF(ISTEXT('CF Raw'!I$11),'CF Raw'!I26/'Output-FR (show)'!$A$124,('Output-FR (show)'!H63-'Output-FR (show)'!I63)+('Output-FR (show)'!H69-'Output-FR (show)'!I69)+('Output-FR (show)'!H65-'Output-FR (show)'!I65)+('Output-FR (show)'!H76-'Output-FR (show)'!I76))</f>
        <v>-78.427582697999995</v>
      </c>
      <c r="J143" s="119">
        <f>IF(ISTEXT('CF Raw'!J$11),'CF Raw'!J26/'Output-FR (show)'!$A$124,('Output-FR (show)'!I63-'Output-FR (show)'!J63)+('Output-FR (show)'!I69-'Output-FR (show)'!J69)+('Output-FR (show)'!I65-'Output-FR (show)'!J65)+('Output-FR (show)'!I76-'Output-FR (show)'!J76))</f>
        <v>131.732486094</v>
      </c>
      <c r="K143" s="119">
        <f>IF(ISTEXT('CF Raw'!K$11),'CF Raw'!K26/'Output-FR (show)'!$A$124,('Output-FR (show)'!J63-'Output-FR (show)'!K63)+('Output-FR (show)'!J69-'Output-FR (show)'!K69)+('Output-FR (show)'!J65-'Output-FR (show)'!K65)+('Output-FR (show)'!J76-'Output-FR (show)'!K76))</f>
        <v>-94.864570333000003</v>
      </c>
      <c r="L143" s="119">
        <f>IF(ISTEXT('CF Raw'!L$11),'CF Raw'!L26/'Output-FR (show)'!$A$124,('Output-FR (show)'!K63-'Output-FR (show)'!L63)+('Output-FR (show)'!K69-'Output-FR (show)'!L69)+('Output-FR (show)'!K65-'Output-FR (show)'!L65)+('Output-FR (show)'!K76-'Output-FR (show)'!L76))</f>
        <v>-27.298477963</v>
      </c>
      <c r="M143" s="119">
        <f>IF(ISTEXT('CF Raw'!M$11),'CF Raw'!M26/'Output-FR (show)'!$A$124,('Output-FR (show)'!L63-'Output-FR (show)'!M63)+('Output-FR (show)'!L69-'Output-FR (show)'!M69)+('Output-FR (show)'!L65-'Output-FR (show)'!M65)+('Output-FR (show)'!L76-'Output-FR (show)'!M76))</f>
        <v>-9.071726473</v>
      </c>
      <c r="N143" s="119">
        <f>IF(ISTEXT('CF Raw'!N$11),'CF Raw'!N26/'Output-FR (show)'!$A$124,('Output-FR (show)'!M63-'Output-FR (show)'!N63)+('Output-FR (show)'!M69-'Output-FR (show)'!N69)+('Output-FR (show)'!M65-'Output-FR (show)'!N65)+('Output-FR (show)'!M76-'Output-FR (show)'!N76))</f>
        <v>-58.929509742</v>
      </c>
      <c r="O143" s="119">
        <f>IF(ISTEXT('CF Raw'!O$11),'CF Raw'!O26/'Output-FR (show)'!$A$124,('Output-FR (show)'!N63-'Output-FR (show)'!O63)+('Output-FR (show)'!N69-'Output-FR (show)'!O69)+('Output-FR (show)'!N65-'Output-FR (show)'!O65)+('Output-FR (show)'!N76-'Output-FR (show)'!O76))</f>
        <v>29.325193930000001</v>
      </c>
      <c r="P143" s="671">
        <f>IF(ISTEXT('CF Raw'!P$11),'CF Raw'!P26/'Output-FR (show)'!$A$124,('Output-FR (show)'!O63-'Output-FR (show)'!P63)+('Output-FR (show)'!O69-'Output-FR (show)'!P69)+('Output-FR (show)'!O65-'Output-FR (show)'!P65)+('Output-FR (show)'!O76-'Output-FR (show)'!P76))</f>
        <v>-84.79</v>
      </c>
      <c r="Q143" s="172">
        <f>IF(ISTEXT('CF Raw'!Q$11),'CF Raw'!Q26/'Output-FR (show)'!$A$124,('Output-FR (show)'!P63-'Output-FR (show)'!Q63)+('Output-FR (show)'!P69-'Output-FR (show)'!Q69)+('Output-FR (show)'!P65-'Output-FR (show)'!Q65)+('Output-FR (show)'!P76-'Output-FR (show)'!Q76))</f>
        <v>-68.233062260602765</v>
      </c>
      <c r="R143" s="172">
        <f>IF(ISTEXT('CF Raw'!R$11),'CF Raw'!R26/'Output-FR (show)'!$A$124,('Output-FR (show)'!Q63-'Output-FR (show)'!R63)+('Output-FR (show)'!Q69-'Output-FR (show)'!R69)+('Output-FR (show)'!Q65-'Output-FR (show)'!R65)+('Output-FR (show)'!Q76-'Output-FR (show)'!R76))</f>
        <v>-31.275972395575909</v>
      </c>
      <c r="S143" s="172">
        <f>IF(ISTEXT('CF Raw'!S$11),'CF Raw'!S26/'Output-FR (show)'!$A$124,('Output-FR (show)'!R63-'Output-FR (show)'!S63)+('Output-FR (show)'!R69-'Output-FR (show)'!S69)+('Output-FR (show)'!R65-'Output-FR (show)'!S65)+('Output-FR (show)'!R76-'Output-FR (show)'!S76))</f>
        <v>-170.59197108072041</v>
      </c>
      <c r="T143" s="172">
        <f>IF(ISTEXT('CF Raw'!T$11),'CF Raw'!T26/'Output-FR (show)'!$A$124,('Output-FR (show)'!S63-'Output-FR (show)'!T63)+('Output-FR (show)'!S69-'Output-FR (show)'!T69)+('Output-FR (show)'!S65-'Output-FR (show)'!T65)+('Output-FR (show)'!S76-'Output-FR (show)'!T76))</f>
        <v>-57.956493983277312</v>
      </c>
      <c r="U143" s="172">
        <f>IF(ISTEXT('CF Raw'!U$11),'CF Raw'!U26/'Output-FR (show)'!$A$124,('Output-FR (show)'!T63-'Output-FR (show)'!U63)+('Output-FR (show)'!T69-'Output-FR (show)'!U69)+('Output-FR (show)'!T65-'Output-FR (show)'!U65)+('Output-FR (show)'!T76-'Output-FR (show)'!U76))</f>
        <v>-50.440823175636311</v>
      </c>
      <c r="V143" s="172">
        <f>IF(ISTEXT('CF Raw'!V$11),'CF Raw'!V26/'Output-FR (show)'!$A$124,('Output-FR (show)'!U63-'Output-FR (show)'!V63)+('Output-FR (show)'!U69-'Output-FR (show)'!V69)+('Output-FR (show)'!U65-'Output-FR (show)'!V65)+('Output-FR (show)'!U76-'Output-FR (show)'!V76))</f>
        <v>-39.853055022358589</v>
      </c>
      <c r="W143" s="172">
        <f>IF(ISTEXT('CF Raw'!W$11),'CF Raw'!W26/'Output-FR (show)'!$A$124,('Output-FR (show)'!V63-'Output-FR (show)'!W63)+('Output-FR (show)'!V69-'Output-FR (show)'!W69)+('Output-FR (show)'!V65-'Output-FR (show)'!W65)+('Output-FR (show)'!V76-'Output-FR (show)'!W76))</f>
        <v>-53.87074895353075</v>
      </c>
      <c r="X143" s="172">
        <f>IF(ISTEXT('CF Raw'!X$11),'CF Raw'!X26/'Output-FR (show)'!$A$124,('Output-FR (show)'!W63-'Output-FR (show)'!X63)+('Output-FR (show)'!W69-'Output-FR (show)'!X69)+('Output-FR (show)'!W65-'Output-FR (show)'!X65)+('Output-FR (show)'!W76-'Output-FR (show)'!X76))</f>
        <v>-122.16525454231368</v>
      </c>
      <c r="Y143" s="172">
        <f>IF(ISTEXT('CF Raw'!Y$11),'CF Raw'!Y26/'Output-FR (show)'!$A$124,('Output-FR (show)'!X63-'Output-FR (show)'!Y63)+('Output-FR (show)'!X69-'Output-FR (show)'!Y69)+('Output-FR (show)'!X65-'Output-FR (show)'!Y65)+('Output-FR (show)'!X76-'Output-FR (show)'!Y76))</f>
        <v>-42.614735649763247</v>
      </c>
      <c r="Z143" s="172">
        <f>IF(ISTEXT('CF Raw'!Z$11),'CF Raw'!Z26/'Output-FR (show)'!$A$124,('Output-FR (show)'!Y63-'Output-FR (show)'!Z63)+('Output-FR (show)'!Y69-'Output-FR (show)'!Z69)+('Output-FR (show)'!Y65-'Output-FR (show)'!Z65)+('Output-FR (show)'!Y76-'Output-FR (show)'!Z76))</f>
        <v>-81.104811812599408</v>
      </c>
      <c r="AA143" s="172"/>
      <c r="AB143" s="173"/>
      <c r="AC143" s="173"/>
      <c r="AD143" s="173"/>
      <c r="AE143" s="173"/>
      <c r="AF143" s="173"/>
      <c r="AG143" s="173"/>
      <c r="AH143" s="173"/>
      <c r="AI143" s="173"/>
      <c r="AJ143" s="173"/>
      <c r="AK143" s="173"/>
      <c r="AL143" s="173"/>
      <c r="AM143" s="173"/>
      <c r="AN143" s="173"/>
      <c r="AO143" s="173"/>
      <c r="AP143" s="173"/>
      <c r="AQ143" s="173"/>
      <c r="AR143" s="173"/>
      <c r="AS143" s="173"/>
      <c r="AT143" s="173"/>
      <c r="AU143" s="173"/>
      <c r="AV143" s="173"/>
      <c r="AW143" s="173"/>
      <c r="AX143" s="173"/>
      <c r="AY143" s="173"/>
      <c r="AZ143" s="173"/>
      <c r="BA143" s="173"/>
    </row>
    <row r="144" spans="1:55" x14ac:dyDescent="0.25">
      <c r="A144" s="642"/>
      <c r="B144" s="2333" t="s">
        <v>1339</v>
      </c>
      <c r="C144" s="770" t="s">
        <v>1340</v>
      </c>
      <c r="D144" s="66"/>
      <c r="E144" s="118"/>
      <c r="F144" s="118"/>
      <c r="G144" s="118"/>
      <c r="H144" s="118"/>
      <c r="I144" s="119">
        <f>IF(ISTEXT('CF Raw'!I$11),'CF Raw'!I27/'Output-FR (show)'!$A$124,'Output-FR (show)'!H64-'Output-FR (show)'!I64)</f>
        <v>-8.3718215820000008</v>
      </c>
      <c r="J144" s="119">
        <f>IF(ISTEXT('CF Raw'!J$11),'CF Raw'!J27/'Output-FR (show)'!$A$124,'Output-FR (show)'!I64-'Output-FR (show)'!J64)</f>
        <v>31.206107569</v>
      </c>
      <c r="K144" s="119">
        <f>IF(ISTEXT('CF Raw'!K$11),'CF Raw'!K27/'Output-FR (show)'!$A$124,'Output-FR (show)'!J64-'Output-FR (show)'!K64)</f>
        <v>-56.924962448000002</v>
      </c>
      <c r="L144" s="119">
        <f>IF(ISTEXT('CF Raw'!L$11),'CF Raw'!L27/'Output-FR (show)'!$A$124,'Output-FR (show)'!K64-'Output-FR (show)'!L64)</f>
        <v>-58.777699458000001</v>
      </c>
      <c r="M144" s="119">
        <f>IF(ISTEXT('CF Raw'!M$11),'CF Raw'!M27/'Output-FR (show)'!$A$124,'Output-FR (show)'!L64-'Output-FR (show)'!M64)</f>
        <v>20.167714642</v>
      </c>
      <c r="N144" s="119">
        <f>IF(ISTEXT('CF Raw'!N$11),'CF Raw'!N27/'Output-FR (show)'!$A$124,'Output-FR (show)'!M64-'Output-FR (show)'!N64)</f>
        <v>-43.238317809999998</v>
      </c>
      <c r="O144" s="119">
        <f>IF(ISTEXT('CF Raw'!O$11),'CF Raw'!O27/'Output-FR (show)'!$A$124,'Output-FR (show)'!N64-'Output-FR (show)'!O64)</f>
        <v>98.059353512000001</v>
      </c>
      <c r="P144" s="671">
        <f>IF(ISTEXT('CF Raw'!P$11),'CF Raw'!P27/'Output-FR (show)'!$A$124,'Output-FR (show)'!O64-'Output-FR (show)'!P64)</f>
        <v>-39.14</v>
      </c>
      <c r="Q144" s="172">
        <f>IF(ISTEXT('CF Raw'!Q$11),'CF Raw'!Q27/'Output-FR (show)'!$A$124,'Output-FR (show)'!P64-'Output-FR (show)'!Q64)</f>
        <v>-25.452387291812016</v>
      </c>
      <c r="R144" s="172">
        <f>IF(ISTEXT('CF Raw'!R$11),'CF Raw'!R27/'Output-FR (show)'!$A$124,'Output-FR (show)'!Q64-'Output-FR (show)'!R64)</f>
        <v>-15.509657393277394</v>
      </c>
      <c r="S144" s="172">
        <f>IF(ISTEXT('CF Raw'!S$11),'CF Raw'!S27/'Output-FR (show)'!$A$124,'Output-FR (show)'!R64-'Output-FR (show)'!S64)</f>
        <v>-62.817897872235108</v>
      </c>
      <c r="T144" s="172">
        <f>IF(ISTEXT('CF Raw'!T$11),'CF Raw'!T27/'Output-FR (show)'!$A$124,'Output-FR (show)'!S64-'Output-FR (show)'!T64)</f>
        <v>-16.828543616798697</v>
      </c>
      <c r="U144" s="172">
        <f>IF(ISTEXT('CF Raw'!U$11),'CF Raw'!U27/'Output-FR (show)'!$A$124,'Output-FR (show)'!T64-'Output-FR (show)'!U64)</f>
        <v>-14.756006255289321</v>
      </c>
      <c r="V144" s="172">
        <f>IF(ISTEXT('CF Raw'!V$11),'CF Raw'!V27/'Output-FR (show)'!$A$124,'Output-FR (show)'!U64-'Output-FR (show)'!V64)</f>
        <v>-15.160415770963823</v>
      </c>
      <c r="W144" s="172">
        <f>IF(ISTEXT('CF Raw'!W$11),'CF Raw'!W27/'Output-FR (show)'!$A$124,'Output-FR (show)'!V64-'Output-FR (show)'!W64)</f>
        <v>-18.365702723204095</v>
      </c>
      <c r="X144" s="172">
        <f>IF(ISTEXT('CF Raw'!X$11),'CF Raw'!X27/'Output-FR (show)'!$A$124,'Output-FR (show)'!W64-'Output-FR (show)'!X64)</f>
        <v>-99.881941601127778</v>
      </c>
      <c r="Y144" s="172">
        <f>IF(ISTEXT('CF Raw'!Y$11),'CF Raw'!Y27/'Output-FR (show)'!$A$124,'Output-FR (show)'!X64-'Output-FR (show)'!Y64)</f>
        <v>-20.622330596062284</v>
      </c>
      <c r="Z144" s="172">
        <f>IF(ISTEXT('CF Raw'!Z$11),'CF Raw'!Z27/'Output-FR (show)'!$A$124,'Output-FR (show)'!Y64-'Output-FR (show)'!Z64)</f>
        <v>-41.141509909813522</v>
      </c>
      <c r="AA144" s="172"/>
      <c r="AB144" s="173"/>
      <c r="AC144" s="173"/>
      <c r="AD144" s="173"/>
      <c r="AE144" s="173"/>
      <c r="AF144" s="173"/>
      <c r="AG144" s="173"/>
      <c r="AH144" s="173"/>
      <c r="AI144" s="173"/>
      <c r="AJ144" s="173"/>
      <c r="AK144" s="173"/>
      <c r="AL144" s="173"/>
      <c r="AM144" s="173"/>
      <c r="AN144" s="173"/>
      <c r="AO144" s="173"/>
      <c r="AP144" s="173"/>
      <c r="AQ144" s="173"/>
      <c r="AR144" s="173"/>
      <c r="AS144" s="173"/>
      <c r="AT144" s="173"/>
      <c r="AU144" s="173"/>
      <c r="AV144" s="173"/>
      <c r="AW144" s="173"/>
      <c r="AX144" s="173"/>
      <c r="AY144" s="173"/>
      <c r="AZ144" s="173"/>
      <c r="BA144" s="173"/>
    </row>
    <row r="145" spans="1:62" x14ac:dyDescent="0.25">
      <c r="A145" s="642"/>
      <c r="B145" s="2333" t="s">
        <v>1341</v>
      </c>
      <c r="C145" s="770" t="s">
        <v>1342</v>
      </c>
      <c r="D145" s="66"/>
      <c r="E145" s="118"/>
      <c r="F145" s="118"/>
      <c r="G145" s="118"/>
      <c r="H145" s="118"/>
      <c r="I145" s="119">
        <f>IF(ISTEXT('CF Raw'!I$11),'CF Raw'!I28/'Output-FR (show)'!$A$124,('Output-FR (show)'!I85-'Output-FR (show)'!H85)+('Output-FR (show)'!I86-'Output-FR (show)'!H86)+('Output-FR (show)'!I87-'Output-FR (show)'!H87)+('Output-FR (show)'!I91-'Output-FR (show)'!H91)+('Output-FR (show)'!I97-'Output-FR (show)'!H97))</f>
        <v>31.256633684000001</v>
      </c>
      <c r="J145" s="119">
        <f>IF(ISTEXT('CF Raw'!J$11),'CF Raw'!J28/'Output-FR (show)'!$A$124,('Output-FR (show)'!J85-'Output-FR (show)'!I85)+('Output-FR (show)'!J86-'Output-FR (show)'!I86)+('Output-FR (show)'!J87-'Output-FR (show)'!I87)+('Output-FR (show)'!J91-'Output-FR (show)'!I91)+('Output-FR (show)'!J97-'Output-FR (show)'!I97))</f>
        <v>-179.942912992</v>
      </c>
      <c r="K145" s="119">
        <f>IF(ISTEXT('CF Raw'!K$11),'CF Raw'!K28/'Output-FR (show)'!$A$124,('Output-FR (show)'!K85-'Output-FR (show)'!J85)+('Output-FR (show)'!K86-'Output-FR (show)'!J86)+('Output-FR (show)'!K87-'Output-FR (show)'!J87)+('Output-FR (show)'!K91-'Output-FR (show)'!J91)+('Output-FR (show)'!K97-'Output-FR (show)'!J97))</f>
        <v>110.018251689</v>
      </c>
      <c r="L145" s="119">
        <f>IF(ISTEXT('CF Raw'!L$11),'CF Raw'!L28/'Output-FR (show)'!$A$124,('Output-FR (show)'!L85-'Output-FR (show)'!K85)+('Output-FR (show)'!L86-'Output-FR (show)'!K86)+('Output-FR (show)'!L87-'Output-FR (show)'!K87)+('Output-FR (show)'!L91-'Output-FR (show)'!K91)+('Output-FR (show)'!L97-'Output-FR (show)'!K97))</f>
        <v>-69.781216995999998</v>
      </c>
      <c r="M145" s="119">
        <f>IF(ISTEXT('CF Raw'!M$11),'CF Raw'!M28/'Output-FR (show)'!$A$124,('Output-FR (show)'!M85-'Output-FR (show)'!L85)+('Output-FR (show)'!M86-'Output-FR (show)'!L86)+('Output-FR (show)'!M87-'Output-FR (show)'!L87)+('Output-FR (show)'!M91-'Output-FR (show)'!L91)+('Output-FR (show)'!M97-'Output-FR (show)'!L97))</f>
        <v>-37.906551088000001</v>
      </c>
      <c r="N145" s="119">
        <f>IF(ISTEXT('CF Raw'!N$11),'CF Raw'!N28/'Output-FR (show)'!$A$124,('Output-FR (show)'!N85-'Output-FR (show)'!M85)+('Output-FR (show)'!N86-'Output-FR (show)'!M86)+('Output-FR (show)'!N87-'Output-FR (show)'!M87)+('Output-FR (show)'!N91-'Output-FR (show)'!M91)+('Output-FR (show)'!N97-'Output-FR (show)'!M97))</f>
        <v>-20.184527359000001</v>
      </c>
      <c r="O145" s="119">
        <f>IF(ISTEXT('CF Raw'!O$11),'CF Raw'!O28/'Output-FR (show)'!$A$124,('Output-FR (show)'!O85-'Output-FR (show)'!N85)+('Output-FR (show)'!O86-'Output-FR (show)'!N86)+('Output-FR (show)'!O87-'Output-FR (show)'!N87)+('Output-FR (show)'!O91-'Output-FR (show)'!N91)+('Output-FR (show)'!O97-'Output-FR (show)'!N97))</f>
        <v>-71.593351248000005</v>
      </c>
      <c r="P145" s="671">
        <f>IF(ISTEXT('CF Raw'!P$11),'CF Raw'!P28/'Output-FR (show)'!$A$124,('Output-FR (show)'!P85-'Output-FR (show)'!O85)+('Output-FR (show)'!P86-'Output-FR (show)'!O86)+('Output-FR (show)'!P87-'Output-FR (show)'!O87)+('Output-FR (show)'!P91-'Output-FR (show)'!O91)+('Output-FR (show)'!P97-'Output-FR (show)'!O97))</f>
        <v>-44.64</v>
      </c>
      <c r="Q145" s="172">
        <f>IF(ISTEXT('CF Raw'!Q$11),'CF Raw'!Q28/'Output-FR (show)'!$A$124,('Output-FR (show)'!Q85-'Output-FR (show)'!P85)+('Output-FR (show)'!Q86-'Output-FR (show)'!P86)+('Output-FR (show)'!Q87-'Output-FR (show)'!P87)+('Output-FR (show)'!Q91-'Output-FR (show)'!P91)+('Output-FR (show)'!Q97-'Output-FR (show)'!P97))</f>
        <v>179.20085146798166</v>
      </c>
      <c r="R145" s="172">
        <f>IF(ISTEXT('CF Raw'!R$11),'CF Raw'!R28/'Output-FR (show)'!$A$124,('Output-FR (show)'!R85-'Output-FR (show)'!Q85)+('Output-FR (show)'!R86-'Output-FR (show)'!Q86)+('Output-FR (show)'!R87-'Output-FR (show)'!Q87)+('Output-FR (show)'!R91-'Output-FR (show)'!Q91)+('Output-FR (show)'!R97-'Output-FR (show)'!Q97))</f>
        <v>14.202325015762677</v>
      </c>
      <c r="S145" s="172">
        <f>IF(ISTEXT('CF Raw'!S$11),'CF Raw'!S28/'Output-FR (show)'!$A$124,('Output-FR (show)'!S85-'Output-FR (show)'!R85)+('Output-FR (show)'!S86-'Output-FR (show)'!R86)+('Output-FR (show)'!S87-'Output-FR (show)'!R87)+('Output-FR (show)'!S91-'Output-FR (show)'!R91)+('Output-FR (show)'!S97-'Output-FR (show)'!R97))</f>
        <v>119.19714143262252</v>
      </c>
      <c r="T145" s="172">
        <f>IF(ISTEXT('CF Raw'!T$11),'CF Raw'!T28/'Output-FR (show)'!$A$124,('Output-FR (show)'!T85-'Output-FR (show)'!S85)+('Output-FR (show)'!T86-'Output-FR (show)'!S86)+('Output-FR (show)'!T87-'Output-FR (show)'!S87)+('Output-FR (show)'!T91-'Output-FR (show)'!S91)+('Output-FR (show)'!T97-'Output-FR (show)'!S97))</f>
        <v>34.742052774296624</v>
      </c>
      <c r="U145" s="172">
        <f>IF(ISTEXT('CF Raw'!U$11),'CF Raw'!U28/'Output-FR (show)'!$A$124,('Output-FR (show)'!U85-'Output-FR (show)'!T85)+('Output-FR (show)'!U86-'Output-FR (show)'!T86)+('Output-FR (show)'!U87-'Output-FR (show)'!T87)+('Output-FR (show)'!U91-'Output-FR (show)'!T91)+('Output-FR (show)'!U97-'Output-FR (show)'!T97))</f>
        <v>-63.408599835851547</v>
      </c>
      <c r="V145" s="172">
        <f>IF(ISTEXT('CF Raw'!V$11),'CF Raw'!V28/'Output-FR (show)'!$A$124,('Output-FR (show)'!V85-'Output-FR (show)'!U85)+('Output-FR (show)'!V86-'Output-FR (show)'!U86)+('Output-FR (show)'!V87-'Output-FR (show)'!U87)+('Output-FR (show)'!V91-'Output-FR (show)'!U91)+('Output-FR (show)'!V97-'Output-FR (show)'!U97))</f>
        <v>29.467835352653388</v>
      </c>
      <c r="W145" s="172">
        <f>IF(ISTEXT('CF Raw'!W$11),'CF Raw'!W28/'Output-FR (show)'!$A$124,('Output-FR (show)'!W85-'Output-FR (show)'!V85)+('Output-FR (show)'!W86-'Output-FR (show)'!V86)+('Output-FR (show)'!W87-'Output-FR (show)'!V87)+('Output-FR (show)'!W91-'Output-FR (show)'!V91)+('Output-FR (show)'!W97-'Output-FR (show)'!V97))</f>
        <v>-101.92219748854461</v>
      </c>
      <c r="X145" s="172">
        <f>IF(ISTEXT('CF Raw'!X$11),'CF Raw'!X28/'Output-FR (show)'!$A$124,('Output-FR (show)'!X85-'Output-FR (show)'!W85)+('Output-FR (show)'!X86-'Output-FR (show)'!W86)+('Output-FR (show)'!X87-'Output-FR (show)'!W87)+('Output-FR (show)'!X91-'Output-FR (show)'!W91)+('Output-FR (show)'!X97-'Output-FR (show)'!W97))</f>
        <v>20.579132093770522</v>
      </c>
      <c r="Y145" s="172">
        <f>IF(ISTEXT('CF Raw'!Y$11),'CF Raw'!Y28/'Output-FR (show)'!$A$124,('Output-FR (show)'!Y85-'Output-FR (show)'!X85)+('Output-FR (show)'!Y86-'Output-FR (show)'!X86)+('Output-FR (show)'!Y87-'Output-FR (show)'!X87)+('Output-FR (show)'!Y91-'Output-FR (show)'!X91)+('Output-FR (show)'!Y97-'Output-FR (show)'!X97))</f>
        <v>-7.6915775446661243</v>
      </c>
      <c r="Z145" s="172">
        <f>IF(ISTEXT('CF Raw'!Z$11),'CF Raw'!Z28/'Output-FR (show)'!$A$124,('Output-FR (show)'!Z85-'Output-FR (show)'!Y85)+('Output-FR (show)'!Z86-'Output-FR (show)'!Y86)+('Output-FR (show)'!Z87-'Output-FR (show)'!Y87)+('Output-FR (show)'!Z91-'Output-FR (show)'!Y91)+('Output-FR (show)'!Z97-'Output-FR (show)'!Y97))</f>
        <v>-8.3392718759052258</v>
      </c>
      <c r="AA145" s="172"/>
      <c r="AB145" s="173"/>
      <c r="AC145" s="173"/>
      <c r="AD145" s="173"/>
      <c r="AE145" s="173"/>
      <c r="AF145" s="173"/>
      <c r="AG145" s="173"/>
      <c r="AH145" s="173"/>
      <c r="AI145" s="173"/>
      <c r="AJ145" s="173"/>
      <c r="AK145" s="173"/>
      <c r="AL145" s="173"/>
      <c r="AM145" s="173"/>
      <c r="AN145" s="173"/>
      <c r="AO145" s="173"/>
      <c r="AP145" s="173"/>
      <c r="AQ145" s="173"/>
      <c r="AR145" s="173"/>
      <c r="AS145" s="173"/>
      <c r="AT145" s="173"/>
      <c r="AU145" s="173"/>
      <c r="AV145" s="173"/>
      <c r="AW145" s="173"/>
      <c r="AX145" s="173"/>
      <c r="AY145" s="173"/>
      <c r="AZ145" s="173"/>
      <c r="BA145" s="173"/>
    </row>
    <row r="146" spans="1:62" x14ac:dyDescent="0.25">
      <c r="A146" s="642"/>
      <c r="B146" s="2333" t="s">
        <v>1343</v>
      </c>
      <c r="C146" s="1886" t="s">
        <v>1344</v>
      </c>
      <c r="D146" s="1887"/>
      <c r="E146" s="1888"/>
      <c r="F146" s="1888"/>
      <c r="G146" s="1888"/>
      <c r="H146" s="1888"/>
      <c r="I146" s="119">
        <f>IF(ISTEXT('CF Raw'!I$11),'CF Raw'!I29/'Output-FR (show)'!$A$124,0)</f>
        <v>1.303424052</v>
      </c>
      <c r="J146" s="119">
        <f>IF(ISTEXT('CF Raw'!J$11),'CF Raw'!J29/'Output-FR (show)'!$A$124,0)</f>
        <v>6.4463687000000006E-2</v>
      </c>
      <c r="K146" s="119">
        <f>IF(ISTEXT('CF Raw'!K$11),'CF Raw'!K29/'Output-FR (show)'!$A$124,0)</f>
        <v>-2.4204371400000002</v>
      </c>
      <c r="L146" s="119">
        <f>IF(ISTEXT('CF Raw'!L$11),'CF Raw'!L29/'Output-FR (show)'!$A$124,0)</f>
        <v>-3.6040333169999998</v>
      </c>
      <c r="M146" s="119">
        <f>IF(ISTEXT('CF Raw'!M$11),'CF Raw'!M29/'Output-FR (show)'!$A$124,0)</f>
        <v>7.3074077429999997</v>
      </c>
      <c r="N146" s="119">
        <f>IF(ISTEXT('CF Raw'!N$11),'CF Raw'!N29/'Output-FR (show)'!$A$124,0)</f>
        <v>-14.511307378</v>
      </c>
      <c r="O146" s="119">
        <f>IF(ISTEXT('CF Raw'!O$11),'CF Raw'!O29/'Output-FR (show)'!$A$124,0)</f>
        <v>-1.4024092560000001</v>
      </c>
      <c r="P146" s="671">
        <f>IF(ISTEXT('CF Raw'!P$11),'CF Raw'!P29/'Output-FR (show)'!$A$124,0)</f>
        <v>-1.4024092560000001</v>
      </c>
      <c r="Q146" s="172">
        <f>IF(ISTEXT('CF Raw'!Q$11),'CF Raw'!Q29/'Output-FR (show)'!$A$124,0)</f>
        <v>0</v>
      </c>
      <c r="R146" s="172">
        <f>IF(ISTEXT('CF Raw'!R$11),'CF Raw'!R29/'Output-FR (show)'!$A$124,0)</f>
        <v>0</v>
      </c>
      <c r="S146" s="172">
        <f>IF(ISTEXT('CF Raw'!S$11),'CF Raw'!S29/'Output-FR (show)'!$A$124,0)</f>
        <v>0</v>
      </c>
      <c r="T146" s="172">
        <f>IF(ISTEXT('CF Raw'!T$11),'CF Raw'!T29/'Output-FR (show)'!$A$124,0)</f>
        <v>0</v>
      </c>
      <c r="U146" s="172">
        <f>IF(ISTEXT('CF Raw'!U$11),'CF Raw'!U29/'Output-FR (show)'!$A$124,0)</f>
        <v>0</v>
      </c>
      <c r="V146" s="172">
        <f>IF(ISTEXT('CF Raw'!V$11),'CF Raw'!V29/'Output-FR (show)'!$A$124,0)</f>
        <v>0</v>
      </c>
      <c r="W146" s="172">
        <f>IF(ISTEXT('CF Raw'!W$11),'CF Raw'!W29/'Output-FR (show)'!$A$124,0)</f>
        <v>0</v>
      </c>
      <c r="X146" s="172">
        <f>IF(ISTEXT('CF Raw'!X$11),'CF Raw'!X29/'Output-FR (show)'!$A$124,0)</f>
        <v>0</v>
      </c>
      <c r="Y146" s="172">
        <f>IF(ISTEXT('CF Raw'!Y$11),'CF Raw'!Y29/'Output-FR (show)'!$A$124,0)</f>
        <v>0</v>
      </c>
      <c r="Z146" s="172">
        <f>IF(ISTEXT('CF Raw'!Z$11),'CF Raw'!Z29/'Output-FR (show)'!$A$124,0)</f>
        <v>0</v>
      </c>
      <c r="AA146" s="1881"/>
      <c r="AB146" s="173"/>
      <c r="AC146" s="173"/>
      <c r="AD146" s="173"/>
      <c r="AE146" s="173"/>
      <c r="AF146" s="173"/>
      <c r="AG146" s="173"/>
      <c r="AH146" s="173"/>
      <c r="AI146" s="173"/>
      <c r="AJ146" s="173"/>
      <c r="AK146" s="173"/>
      <c r="AL146" s="173"/>
      <c r="AM146" s="173"/>
      <c r="AN146" s="173"/>
      <c r="AO146" s="173"/>
      <c r="AP146" s="173"/>
      <c r="AQ146" s="173"/>
      <c r="AR146" s="173"/>
      <c r="AS146" s="173"/>
      <c r="AT146" s="173"/>
      <c r="AU146" s="173"/>
      <c r="AV146" s="173"/>
      <c r="AW146" s="173"/>
      <c r="AX146" s="173"/>
      <c r="AY146" s="173"/>
      <c r="AZ146" s="173"/>
      <c r="BA146" s="173"/>
    </row>
    <row r="147" spans="1:62" x14ac:dyDescent="0.25">
      <c r="A147" s="642"/>
      <c r="B147" s="2333" t="s">
        <v>1345</v>
      </c>
      <c r="C147" s="1884" t="s">
        <v>1346</v>
      </c>
      <c r="D147" s="1885"/>
      <c r="E147" s="1349"/>
      <c r="F147" s="1349"/>
      <c r="G147" s="1349"/>
      <c r="H147" s="1349"/>
      <c r="I147" s="119">
        <f>IF(ISTEXT('CF Raw'!I$11),'CF Raw'!I31/'Output-FR (show)'!$A$124,-I139)</f>
        <v>-25.828733317000001</v>
      </c>
      <c r="J147" s="119">
        <f>IF(ISTEXT('CF Raw'!J$11),'CF Raw'!J31/'Output-FR (show)'!$A$124,-J139)</f>
        <v>-5.4477752500000003</v>
      </c>
      <c r="K147" s="119">
        <f>IF(ISTEXT('CF Raw'!K$11),'CF Raw'!K31/'Output-FR (show)'!$A$124,-K139)</f>
        <v>-4.4980130369999998</v>
      </c>
      <c r="L147" s="119">
        <f>IF(ISTEXT('CF Raw'!L$11),'CF Raw'!L31/'Output-FR (show)'!$A$124,-L139)</f>
        <v>-3.1723536569999999</v>
      </c>
      <c r="M147" s="119">
        <f>IF(ISTEXT('CF Raw'!M$11),'CF Raw'!M31/'Output-FR (show)'!$A$124,-M139)</f>
        <v>-5.6269254929999999</v>
      </c>
      <c r="N147" s="119">
        <f>IF(ISTEXT('CF Raw'!N$11),'CF Raw'!N31/'Output-FR (show)'!$A$124,-N139)</f>
        <v>-9.9552668139999998</v>
      </c>
      <c r="O147" s="119">
        <f>IF(ISTEXT('CF Raw'!O$11),'CF Raw'!O31/'Output-FR (show)'!$A$124,-O139)</f>
        <v>-5.9139720880000004</v>
      </c>
      <c r="P147" s="671">
        <f>IF(ISTEXT('CF Raw'!P$11),'CF Raw'!P31/'Output-FR (show)'!$A$124,-P139)</f>
        <v>-1.146632369</v>
      </c>
      <c r="Q147" s="172">
        <f ca="1">IF(ISTEXT('CF Raw'!Q$11),'CF Raw'!Q31/'Output-FR (show)'!$A$124,-Q139)</f>
        <v>-12.916923249096442</v>
      </c>
      <c r="R147" s="172">
        <f ca="1">IF(ISTEXT('CF Raw'!R$11),'CF Raw'!R31/'Output-FR (show)'!$A$124,-R139)</f>
        <v>-22.838884529150331</v>
      </c>
      <c r="S147" s="172">
        <f ca="1">IF(ISTEXT('CF Raw'!S$11),'CF Raw'!S31/'Output-FR (show)'!$A$124,-S139)</f>
        <v>-24.366173368748793</v>
      </c>
      <c r="T147" s="172">
        <f ca="1">IF(ISTEXT('CF Raw'!T$11),'CF Raw'!T31/'Output-FR (show)'!$A$124,-T139)</f>
        <v>-19.843671313066856</v>
      </c>
      <c r="U147" s="172">
        <f ca="1">IF(ISTEXT('CF Raw'!U$11),'CF Raw'!U31/'Output-FR (show)'!$A$124,-U139)</f>
        <v>-15.160595635021753</v>
      </c>
      <c r="V147" s="172">
        <f ca="1">IF(ISTEXT('CF Raw'!V$11),'CF Raw'!V31/'Output-FR (show)'!$A$124,-V139)</f>
        <v>-11.043318682656746</v>
      </c>
      <c r="W147" s="172">
        <f ca="1">IF(ISTEXT('CF Raw'!W$11),'CF Raw'!W31/'Output-FR (show)'!$A$124,-W139)</f>
        <v>-8.2279871133458933</v>
      </c>
      <c r="X147" s="172">
        <f ca="1">IF(ISTEXT('CF Raw'!X$11),'CF Raw'!X31/'Output-FR (show)'!$A$124,-X139)</f>
        <v>-7.8933156905878956</v>
      </c>
      <c r="Y147" s="172">
        <f ca="1">IF(ISTEXT('CF Raw'!Y$11),'CF Raw'!Y31/'Output-FR (show)'!$A$124,-Y139)</f>
        <v>-8.1675499886462966</v>
      </c>
      <c r="Z147" s="172">
        <f ca="1">IF(ISTEXT('CF Raw'!Z$11),'CF Raw'!Z31/'Output-FR (show)'!$A$124,-Z139)</f>
        <v>-8.4450135190520097</v>
      </c>
      <c r="AA147" s="172"/>
      <c r="AB147" s="173"/>
      <c r="AC147" s="173"/>
      <c r="AD147" s="173"/>
      <c r="AE147" s="173"/>
      <c r="AF147" s="173"/>
      <c r="AG147" s="173"/>
      <c r="AH147" s="173"/>
      <c r="AI147" s="173"/>
      <c r="AJ147" s="173"/>
      <c r="AK147" s="173"/>
      <c r="AL147" s="173"/>
      <c r="AM147" s="173"/>
      <c r="AN147" s="173"/>
      <c r="AO147" s="173"/>
      <c r="AP147" s="173"/>
      <c r="AQ147" s="173"/>
      <c r="AR147" s="173"/>
      <c r="AS147" s="173"/>
      <c r="AT147" s="173"/>
      <c r="AU147" s="173"/>
      <c r="AV147" s="173"/>
      <c r="AW147" s="173"/>
      <c r="AX147" s="173"/>
      <c r="AY147" s="173"/>
      <c r="AZ147" s="173"/>
      <c r="BA147" s="173"/>
    </row>
    <row r="148" spans="1:62" x14ac:dyDescent="0.25">
      <c r="A148" s="642"/>
      <c r="B148" s="2333" t="s">
        <v>1347</v>
      </c>
      <c r="C148" s="1884"/>
      <c r="D148" s="1885"/>
      <c r="E148" s="1349"/>
      <c r="F148" s="1349"/>
      <c r="G148" s="1349"/>
      <c r="H148" s="1349"/>
      <c r="I148" s="119">
        <f>IF(ISTEXT('CF Raw'!I$11),'CF Raw'!I32/'Output-FR (show)'!$A$124,-'Output-FR (show)'!I31)</f>
        <v>-34.493811348000001</v>
      </c>
      <c r="J148" s="119">
        <f>IF(ISTEXT('CF Raw'!J$11),'CF Raw'!J32/'Output-FR (show)'!$A$124,-'Output-FR (show)'!J31)</f>
        <v>-57.700405330999999</v>
      </c>
      <c r="K148" s="119">
        <f>IF(ISTEXT('CF Raw'!K$11),'CF Raw'!K32/'Output-FR (show)'!$A$124,-'Output-FR (show)'!K31)</f>
        <v>-42.250007555000003</v>
      </c>
      <c r="L148" s="119">
        <f>IF(ISTEXT('CF Raw'!L$11),'CF Raw'!L32/'Output-FR (show)'!$A$124,-'Output-FR (show)'!L31)</f>
        <v>-30.389506355999998</v>
      </c>
      <c r="M148" s="119">
        <f>IF(ISTEXT('CF Raw'!M$11),'CF Raw'!M32/'Output-FR (show)'!$A$124,-'Output-FR (show)'!M31)</f>
        <v>-57.205654510999999</v>
      </c>
      <c r="N148" s="119">
        <f>IF(ISTEXT('CF Raw'!N$11),'CF Raw'!N32/'Output-FR (show)'!$A$124,-'Output-FR (show)'!N31)</f>
        <v>-13.021545806000001</v>
      </c>
      <c r="O148" s="119">
        <f>IF(ISTEXT('CF Raw'!O$11),'CF Raw'!O32/'Output-FR (show)'!$A$124,-'Output-FR (show)'!O31)</f>
        <v>-44.512938286000001</v>
      </c>
      <c r="P148" s="671">
        <f>IF(ISTEXT('CF Raw'!P$11),'CF Raw'!P32/'Output-FR (show)'!$A$124,-'Output-FR (show)'!P31)</f>
        <v>-52.85947556</v>
      </c>
      <c r="Q148" s="172">
        <f ca="1">IF(ISTEXT('CF Raw'!Q$11),'CF Raw'!Q32/'Output-FR (show)'!$A$124,-'Output-FR (show)'!Q31)</f>
        <v>-60.592918242469587</v>
      </c>
      <c r="R148" s="172">
        <f ca="1">IF(ISTEXT('CF Raw'!R$11),'CF Raw'!R32/'Output-FR (show)'!$A$124,-'Output-FR (show)'!R31)</f>
        <v>-59.850526979177332</v>
      </c>
      <c r="S148" s="172">
        <f ca="1">IF(ISTEXT('CF Raw'!S$11),'CF Raw'!S32/'Output-FR (show)'!$A$124,-'Output-FR (show)'!S31)</f>
        <v>-86.954507543444166</v>
      </c>
      <c r="T148" s="172">
        <f ca="1">IF(ISTEXT('CF Raw'!T$11),'CF Raw'!T32/'Output-FR (show)'!$A$124,-'Output-FR (show)'!T31)</f>
        <v>-100.29377905850556</v>
      </c>
      <c r="U148" s="172">
        <f ca="1">IF(ISTEXT('CF Raw'!U$11),'CF Raw'!U32/'Output-FR (show)'!$A$124,-'Output-FR (show)'!U31)</f>
        <v>-115.72397729698234</v>
      </c>
      <c r="V148" s="172">
        <f ca="1">IF(ISTEXT('CF Raw'!V$11),'CF Raw'!V32/'Output-FR (show)'!$A$124,-'Output-FR (show)'!V31)</f>
        <v>-127.21062876889265</v>
      </c>
      <c r="W148" s="172">
        <f ca="1">IF(ISTEXT('CF Raw'!W$11),'CF Raw'!W32/'Output-FR (show)'!$A$124,-'Output-FR (show)'!W31)</f>
        <v>-140.97214600479941</v>
      </c>
      <c r="X148" s="172">
        <f ca="1">IF(ISTEXT('CF Raw'!X$11),'CF Raw'!X32/'Output-FR (show)'!$A$124,-'Output-FR (show)'!X31)</f>
        <v>-148.16417001351473</v>
      </c>
      <c r="Y148" s="172">
        <f ca="1">IF(ISTEXT('CF Raw'!Y$11),'CF Raw'!Y32/'Output-FR (show)'!$A$124,-'Output-FR (show)'!Y31)</f>
        <v>-156.3437984771609</v>
      </c>
      <c r="Z148" s="172">
        <f ca="1">IF(ISTEXT('CF Raw'!Z$11),'CF Raw'!Z32/'Output-FR (show)'!$A$124,-'Output-FR (show)'!Z31)</f>
        <v>-165.09228341095891</v>
      </c>
      <c r="AA148" s="172"/>
      <c r="AB148" s="173"/>
      <c r="AC148" s="173"/>
      <c r="AD148" s="173"/>
      <c r="AE148" s="173"/>
      <c r="AF148" s="173"/>
      <c r="AG148" s="173"/>
      <c r="AH148" s="173"/>
      <c r="AI148" s="173"/>
      <c r="AJ148" s="173"/>
      <c r="AK148" s="173"/>
      <c r="AL148" s="173"/>
      <c r="AM148" s="173"/>
      <c r="AN148" s="173"/>
      <c r="AO148" s="173"/>
      <c r="AP148" s="173"/>
      <c r="AQ148" s="173"/>
      <c r="AR148" s="173"/>
      <c r="AS148" s="173"/>
      <c r="AT148" s="173"/>
      <c r="AU148" s="173"/>
      <c r="AV148" s="173"/>
      <c r="AW148" s="173"/>
      <c r="AX148" s="173"/>
      <c r="AY148" s="173"/>
      <c r="AZ148" s="173"/>
      <c r="BA148" s="173"/>
    </row>
    <row r="149" spans="1:62" s="782" customFormat="1" x14ac:dyDescent="0.25">
      <c r="A149" s="781"/>
      <c r="B149" s="2333" t="s">
        <v>1348</v>
      </c>
      <c r="C149" s="1882" t="s">
        <v>1349</v>
      </c>
      <c r="D149" s="1883"/>
      <c r="E149" s="1348"/>
      <c r="F149" s="1348"/>
      <c r="G149" s="119">
        <f>IF(ISTEXT('CF Raw'!G$11),'CF Raw'!G34/'Output-FR (show)'!$A$124,0)</f>
        <v>-15.384319018999999</v>
      </c>
      <c r="H149" s="119">
        <f>IF(ISTEXT('CF Raw'!H$11),'CF Raw'!H34/'Output-FR (show)'!$A$124,0)</f>
        <v>-15.411665055</v>
      </c>
      <c r="I149" s="119">
        <f>IF(ISTEXT('CF Raw'!I$11),'CF Raw'!I34/'Output-FR (show)'!$A$124,0)</f>
        <v>-18.570693259999999</v>
      </c>
      <c r="J149" s="119">
        <f>IF(ISTEXT('CF Raw'!J$11),'CF Raw'!J34/'Output-FR (show)'!$A$124,0)</f>
        <v>-12.885550612999999</v>
      </c>
      <c r="K149" s="119">
        <f>IF(ISTEXT('CF Raw'!K$11),'CF Raw'!K34/'Output-FR (show)'!$A$124,0)</f>
        <v>-9.2413352320000008</v>
      </c>
      <c r="L149" s="119">
        <f>IF(ISTEXT('CF Raw'!L$11),'CF Raw'!L34/'Output-FR (show)'!$A$124,0)</f>
        <v>-32.373812948000001</v>
      </c>
      <c r="M149" s="119">
        <f>IF(ISTEXT('CF Raw'!M$11),'CF Raw'!M34/'Output-FR (show)'!$A$124,0)</f>
        <v>-33.353303353999998</v>
      </c>
      <c r="N149" s="119">
        <f>IF(ISTEXT('CF Raw'!N$11),'CF Raw'!N34/'Output-FR (show)'!$A$124,0)</f>
        <v>-42.408961748999999</v>
      </c>
      <c r="O149" s="119">
        <f>IF(ISTEXT('CF Raw'!O$11),'CF Raw'!O34/'Output-FR (show)'!$A$124,0)</f>
        <v>-16.441270192000001</v>
      </c>
      <c r="P149" s="671">
        <f>IF(ISTEXT('CF Raw'!P$11),'CF Raw'!P34/'Output-FR (show)'!$A$124,0)</f>
        <v>-16.441270192000001</v>
      </c>
      <c r="Q149" s="172">
        <f>IF(ISTEXT('CF Raw'!Q$11),'CF Raw'!Q34/'Output-FR (show)'!$A$124,0)</f>
        <v>0</v>
      </c>
      <c r="R149" s="172">
        <f>IF(ISTEXT('CF Raw'!R$11),'CF Raw'!R34/'Output-FR (show)'!$A$124,0)</f>
        <v>0</v>
      </c>
      <c r="S149" s="172">
        <f>IF(ISTEXT('CF Raw'!S$11),'CF Raw'!S34/'Output-FR (show)'!$A$124,0)</f>
        <v>0</v>
      </c>
      <c r="T149" s="172">
        <f>IF(ISTEXT('CF Raw'!T$11),'CF Raw'!T34/'Output-FR (show)'!$A$124,0)</f>
        <v>0</v>
      </c>
      <c r="U149" s="172">
        <f>IF(ISTEXT('CF Raw'!U$11),'CF Raw'!U34/'Output-FR (show)'!$A$124,0)</f>
        <v>0</v>
      </c>
      <c r="V149" s="172">
        <f>IF(ISTEXT('CF Raw'!V$11),'CF Raw'!V34/'Output-FR (show)'!$A$124,0)</f>
        <v>0</v>
      </c>
      <c r="W149" s="172">
        <f>IF(ISTEXT('CF Raw'!W$11),'CF Raw'!W34/'Output-FR (show)'!$A$124,0)</f>
        <v>0</v>
      </c>
      <c r="X149" s="172">
        <f>IF(ISTEXT('CF Raw'!X$11),'CF Raw'!X34/'Output-FR (show)'!$A$124,0)</f>
        <v>0</v>
      </c>
      <c r="Y149" s="172">
        <f>IF(ISTEXT('CF Raw'!Y$11),'CF Raw'!Y34/'Output-FR (show)'!$A$124,0)</f>
        <v>0</v>
      </c>
      <c r="Z149" s="172">
        <f>IF(ISTEXT('CF Raw'!Z$11),'CF Raw'!Z34/'Output-FR (show)'!$A$124,0)</f>
        <v>0</v>
      </c>
      <c r="AA149" s="1881"/>
      <c r="AB149" s="1893"/>
      <c r="AC149" s="1893"/>
      <c r="AD149" s="1893"/>
      <c r="AE149" s="1893"/>
      <c r="AF149" s="1893"/>
      <c r="AG149" s="1893"/>
      <c r="AH149" s="1893"/>
      <c r="AI149" s="1893"/>
      <c r="AJ149" s="1893"/>
      <c r="AK149" s="1893"/>
      <c r="AL149" s="1893"/>
      <c r="AM149" s="1893"/>
      <c r="AN149" s="1893"/>
      <c r="AO149" s="1893"/>
      <c r="AP149" s="1893"/>
      <c r="AQ149" s="1893"/>
      <c r="AR149" s="1893"/>
      <c r="AS149" s="1348"/>
      <c r="AT149" s="1348"/>
      <c r="AU149" s="1348"/>
      <c r="AV149" s="1348"/>
      <c r="AW149" s="1348"/>
      <c r="AX149" s="1348"/>
      <c r="AY149" s="1348"/>
      <c r="AZ149" s="1348"/>
      <c r="BA149" s="1348"/>
      <c r="BB149" s="781"/>
      <c r="BC149" s="781"/>
      <c r="BD149" s="781"/>
      <c r="BE149" s="781"/>
      <c r="BF149" s="781"/>
      <c r="BG149" s="781"/>
      <c r="BH149" s="781"/>
      <c r="BI149" s="781"/>
      <c r="BJ149" s="781"/>
    </row>
    <row r="150" spans="1:62" s="782" customFormat="1" x14ac:dyDescent="0.25">
      <c r="A150" s="781"/>
      <c r="B150" s="2333" t="s">
        <v>1350</v>
      </c>
      <c r="C150" s="1882" t="s">
        <v>1351</v>
      </c>
      <c r="D150" s="1883"/>
      <c r="E150" s="1348"/>
      <c r="F150" s="1348"/>
      <c r="G150" s="1348"/>
      <c r="H150" s="1348"/>
      <c r="I150" s="119">
        <f>IF(ISTEXT('CF Raw'!I$11),'CF Raw'!I33/'Output-FR (show)'!$A$124,0)</f>
        <v>1.0206161650000001</v>
      </c>
      <c r="J150" s="119">
        <f>IF(ISTEXT('CF Raw'!J$11),'CF Raw'!J33/'Output-FR (show)'!$A$124,0)</f>
        <v>46.761590800999997</v>
      </c>
      <c r="K150" s="119">
        <f>IF(ISTEXT('CF Raw'!K$11),'CF Raw'!K33/'Output-FR (show)'!$A$124,0)</f>
        <v>14.046154281</v>
      </c>
      <c r="L150" s="119">
        <f>IF(ISTEXT('CF Raw'!L$11),'CF Raw'!L33/'Output-FR (show)'!$A$124,0)</f>
        <v>9.2583085000000001</v>
      </c>
      <c r="M150" s="119">
        <f>IF(ISTEXT('CF Raw'!M$11),'CF Raw'!M33/'Output-FR (show)'!$A$124,0)</f>
        <v>2.9337780000000002</v>
      </c>
      <c r="N150" s="119">
        <f>IF(ISTEXT('CF Raw'!N$11),'CF Raw'!N33/'Output-FR (show)'!$A$124,0)</f>
        <v>3.1967460220000001</v>
      </c>
      <c r="O150" s="119">
        <f>IF(ISTEXT('CF Raw'!O$11),'CF Raw'!O33/'Output-FR (show)'!$A$124,0)</f>
        <v>3.0462413860000002</v>
      </c>
      <c r="P150" s="671">
        <f>IF(ISTEXT('CF Raw'!P$11),'CF Raw'!P33/'Output-FR (show)'!$A$124,0)</f>
        <v>3.0462413860000002</v>
      </c>
      <c r="Q150" s="172">
        <f>IF(ISTEXT('CF Raw'!Q$11),'CF Raw'!Q33/'Output-FR (show)'!$A$124,0)</f>
        <v>0</v>
      </c>
      <c r="R150" s="172">
        <f>IF(ISTEXT('CF Raw'!R$11),'CF Raw'!R33/'Output-FR (show)'!$A$124,0)</f>
        <v>0</v>
      </c>
      <c r="S150" s="172">
        <f>IF(ISTEXT('CF Raw'!S$11),'CF Raw'!S33/'Output-FR (show)'!$A$124,0)</f>
        <v>0</v>
      </c>
      <c r="T150" s="172">
        <f>IF(ISTEXT('CF Raw'!T$11),'CF Raw'!T33/'Output-FR (show)'!$A$124,0)</f>
        <v>0</v>
      </c>
      <c r="U150" s="172">
        <f>IF(ISTEXT('CF Raw'!U$11),'CF Raw'!U33/'Output-FR (show)'!$A$124,0)</f>
        <v>0</v>
      </c>
      <c r="V150" s="172">
        <f>IF(ISTEXT('CF Raw'!V$11),'CF Raw'!V33/'Output-FR (show)'!$A$124,0)</f>
        <v>0</v>
      </c>
      <c r="W150" s="172">
        <f>IF(ISTEXT('CF Raw'!W$11),'CF Raw'!W33/'Output-FR (show)'!$A$124,0)</f>
        <v>0</v>
      </c>
      <c r="X150" s="172">
        <f>IF(ISTEXT('CF Raw'!X$11),'CF Raw'!X33/'Output-FR (show)'!$A$124,0)</f>
        <v>0</v>
      </c>
      <c r="Y150" s="172">
        <f>IF(ISTEXT('CF Raw'!Y$11),'CF Raw'!Y33/'Output-FR (show)'!$A$124,0)</f>
        <v>0</v>
      </c>
      <c r="Z150" s="172">
        <f>IF(ISTEXT('CF Raw'!Z$11),'CF Raw'!Z33/'Output-FR (show)'!$A$124,0)</f>
        <v>0</v>
      </c>
      <c r="AA150" s="1881"/>
      <c r="AB150" s="1893"/>
      <c r="AC150" s="1893"/>
      <c r="AD150" s="1893"/>
      <c r="AE150" s="1893"/>
      <c r="AF150" s="1893"/>
      <c r="AG150" s="1893"/>
      <c r="AH150" s="1893"/>
      <c r="AI150" s="1893"/>
      <c r="AJ150" s="1893"/>
      <c r="AK150" s="1893"/>
      <c r="AL150" s="1893"/>
      <c r="AM150" s="1893"/>
      <c r="AN150" s="1893"/>
      <c r="AO150" s="1893"/>
      <c r="AP150" s="1893"/>
      <c r="AQ150" s="1893"/>
      <c r="AR150" s="1893"/>
      <c r="AS150" s="1348"/>
      <c r="AT150" s="1348"/>
      <c r="AU150" s="1348"/>
      <c r="AV150" s="1348"/>
      <c r="AW150" s="1348"/>
      <c r="AX150" s="1348"/>
      <c r="AY150" s="1348"/>
      <c r="AZ150" s="1348"/>
      <c r="BA150" s="1348"/>
      <c r="BB150" s="781"/>
      <c r="BC150" s="781"/>
      <c r="BD150" s="781"/>
      <c r="BE150" s="781"/>
      <c r="BF150" s="781"/>
      <c r="BG150" s="781"/>
      <c r="BH150" s="781"/>
      <c r="BI150" s="781"/>
      <c r="BJ150" s="781"/>
    </row>
    <row r="151" spans="1:62" s="782" customFormat="1" x14ac:dyDescent="0.25">
      <c r="A151" s="781"/>
      <c r="B151" s="2333" t="s">
        <v>514</v>
      </c>
      <c r="C151" s="1882"/>
      <c r="D151" s="1883"/>
      <c r="E151" s="1348"/>
      <c r="F151" s="1348"/>
      <c r="G151" s="1348"/>
      <c r="H151" s="1348"/>
      <c r="I151" s="119">
        <f>IF(ISTEXT('CF Raw'!I$11),'CF Raw'!I30/'Output-FR (show)'!$A$124,0)</f>
        <v>0</v>
      </c>
      <c r="J151" s="119">
        <f>IF(ISTEXT('CF Raw'!J$11),'CF Raw'!J30/'Output-FR (show)'!$A$124,0)</f>
        <v>0</v>
      </c>
      <c r="K151" s="119">
        <f>IF(ISTEXT('CF Raw'!K$11),'CF Raw'!K30/'Output-FR (show)'!$A$124,0)</f>
        <v>0</v>
      </c>
      <c r="L151" s="119">
        <f>IF(ISTEXT('CF Raw'!L$11),'CF Raw'!L30/'Output-FR (show)'!$A$124,0)</f>
        <v>0</v>
      </c>
      <c r="M151" s="119">
        <f>IF(ISTEXT('CF Raw'!M$11),'CF Raw'!M30/'Output-FR (show)'!$A$124,0)</f>
        <v>0</v>
      </c>
      <c r="N151" s="119">
        <f>IF(ISTEXT('CF Raw'!N$11),'CF Raw'!N30/'Output-FR (show)'!$A$124,0)</f>
        <v>0</v>
      </c>
      <c r="O151" s="119">
        <f>IF(ISTEXT('CF Raw'!O$11),'CF Raw'!O30/'Output-FR (show)'!$A$124,0)</f>
        <v>0</v>
      </c>
      <c r="P151" s="671">
        <f>IF(ISTEXT('CF Raw'!P$11),'CF Raw'!P30/'Output-FR (show)'!$A$124,0)</f>
        <v>0</v>
      </c>
      <c r="Q151" s="172">
        <f>IF(ISTEXT('CF Raw'!Q$11),'CF Raw'!Q30/'Output-FR (show)'!$A$124,0)</f>
        <v>0</v>
      </c>
      <c r="R151" s="172">
        <f>IF(ISTEXT('CF Raw'!R$11),'CF Raw'!R30/'Output-FR (show)'!$A$124,0)</f>
        <v>0</v>
      </c>
      <c r="S151" s="172">
        <f>IF(ISTEXT('CF Raw'!S$11),'CF Raw'!S30/'Output-FR (show)'!$A$124,0)</f>
        <v>0</v>
      </c>
      <c r="T151" s="172">
        <f>IF(ISTEXT('CF Raw'!T$11),'CF Raw'!T30/'Output-FR (show)'!$A$124,0)</f>
        <v>0</v>
      </c>
      <c r="U151" s="172">
        <f>IF(ISTEXT('CF Raw'!U$11),'CF Raw'!U30/'Output-FR (show)'!$A$124,0)</f>
        <v>0</v>
      </c>
      <c r="V151" s="172">
        <f>IF(ISTEXT('CF Raw'!V$11),'CF Raw'!V30/'Output-FR (show)'!$A$124,0)</f>
        <v>0</v>
      </c>
      <c r="W151" s="172">
        <f>IF(ISTEXT('CF Raw'!W$11),'CF Raw'!W30/'Output-FR (show)'!$A$124,0)</f>
        <v>0</v>
      </c>
      <c r="X151" s="172">
        <f>IF(ISTEXT('CF Raw'!X$11),'CF Raw'!X30/'Output-FR (show)'!$A$124,0)</f>
        <v>0</v>
      </c>
      <c r="Y151" s="172">
        <f>IF(ISTEXT('CF Raw'!Y$11),'CF Raw'!Y30/'Output-FR (show)'!$A$124,0)</f>
        <v>0</v>
      </c>
      <c r="Z151" s="172">
        <f>IF(ISTEXT('CF Raw'!Z$11),'CF Raw'!Z30/'Output-FR (show)'!$A$124,0)</f>
        <v>0</v>
      </c>
      <c r="AA151" s="1881"/>
      <c r="AB151" s="1893"/>
      <c r="AC151" s="1893"/>
      <c r="AD151" s="1893"/>
      <c r="AE151" s="1893"/>
      <c r="AF151" s="1893"/>
      <c r="AG151" s="1893"/>
      <c r="AH151" s="1893"/>
      <c r="AI151" s="1893"/>
      <c r="AJ151" s="1893"/>
      <c r="AK151" s="1893"/>
      <c r="AL151" s="1893"/>
      <c r="AM151" s="1893"/>
      <c r="AN151" s="1893"/>
      <c r="AO151" s="1893"/>
      <c r="AP151" s="1893"/>
      <c r="AQ151" s="1893"/>
      <c r="AR151" s="1893"/>
      <c r="AS151" s="1348"/>
      <c r="AT151" s="1348"/>
      <c r="AU151" s="1348"/>
      <c r="AV151" s="1348"/>
      <c r="AW151" s="1348"/>
      <c r="AX151" s="1348"/>
      <c r="AY151" s="1348"/>
      <c r="AZ151" s="1348"/>
      <c r="BA151" s="1348"/>
      <c r="BB151" s="781"/>
      <c r="BC151" s="781"/>
      <c r="BD151" s="781"/>
      <c r="BE151" s="781"/>
      <c r="BF151" s="781"/>
      <c r="BG151" s="781"/>
      <c r="BH151" s="781"/>
      <c r="BI151" s="781"/>
      <c r="BJ151" s="781"/>
    </row>
    <row r="152" spans="1:62" x14ac:dyDescent="0.25">
      <c r="A152" s="642"/>
      <c r="B152" s="2333" t="s">
        <v>1267</v>
      </c>
      <c r="C152" s="770"/>
      <c r="D152" s="66"/>
      <c r="E152" s="118"/>
      <c r="F152" s="118"/>
      <c r="G152" s="118"/>
      <c r="H152" s="118"/>
      <c r="I152" s="119">
        <f>IF(ISTEXT('CF Raw'!I$11),0,-'Output-FR (show)'!I37)</f>
        <v>0</v>
      </c>
      <c r="J152" s="119">
        <f>IF(ISTEXT('CF Raw'!J$11),0,-'Output-FR (show)'!J37)</f>
        <v>0</v>
      </c>
      <c r="K152" s="119">
        <f>IF(ISTEXT('CF Raw'!K$11),0,-'Output-FR (show)'!K37)</f>
        <v>0</v>
      </c>
      <c r="L152" s="119">
        <f>IF(ISTEXT('CF Raw'!L$11),0,-'Output-FR (show)'!L37)</f>
        <v>0</v>
      </c>
      <c r="M152" s="119">
        <f>IF(ISTEXT('CF Raw'!M$11),0,-'Output-FR (show)'!M37)</f>
        <v>0</v>
      </c>
      <c r="N152" s="119">
        <f>IF(ISTEXT('CF Raw'!N$11),0,-'Output-FR (show)'!N37)</f>
        <v>0</v>
      </c>
      <c r="O152" s="119">
        <f>IF(ISTEXT('CF Raw'!O$11),0,-'Output-FR (show)'!O37)</f>
        <v>0</v>
      </c>
      <c r="P152" s="671">
        <f>IF(ISTEXT('CF Raw'!P$11),0,-'Output-FR (show)'!P37)</f>
        <v>0</v>
      </c>
      <c r="Q152" s="172">
        <f ca="1">IF(ISTEXT('CF Raw'!Q$11),0,-'Output-FR (show)'!Q37)</f>
        <v>-30.463986956335713</v>
      </c>
      <c r="R152" s="172">
        <f ca="1">IF(ISTEXT('CF Raw'!R$11),0,-'Output-FR (show)'!R37)</f>
        <v>-29.863593778030303</v>
      </c>
      <c r="S152" s="172">
        <f ca="1">IF(ISTEXT('CF Raw'!S$11),0,-'Output-FR (show)'!S37)</f>
        <v>-43.231592255088081</v>
      </c>
      <c r="T152" s="172">
        <f ca="1">IF(ISTEXT('CF Raw'!T$11),0,-'Output-FR (show)'!T37)</f>
        <v>-49.708416211466798</v>
      </c>
      <c r="U152" s="172">
        <f ca="1">IF(ISTEXT('CF Raw'!U$11),0,-'Output-FR (show)'!U37)</f>
        <v>-56.779281888075801</v>
      </c>
      <c r="V152" s="172">
        <f ca="1">IF(ISTEXT('CF Raw'!V$11),0,-'Output-FR (show)'!V37)</f>
        <v>-63.067833252756309</v>
      </c>
      <c r="W152" s="172">
        <f ca="1">IF(ISTEXT('CF Raw'!W$11),0,-'Output-FR (show)'!W37)</f>
        <v>-70.717078393246027</v>
      </c>
      <c r="X152" s="172">
        <f ca="1">IF(ISTEXT('CF Raw'!X$11),0,-'Output-FR (show)'!X37)</f>
        <v>-73.713684148849225</v>
      </c>
      <c r="Y152" s="172">
        <f ca="1">IF(ISTEXT('CF Raw'!Y$11),0,-'Output-FR (show)'!Y37)</f>
        <v>-77.665874579060045</v>
      </c>
      <c r="Z152" s="172">
        <f ca="1">IF(ISTEXT('CF Raw'!Z$11),0,-'Output-FR (show)'!Z37)</f>
        <v>-81.959768741772962</v>
      </c>
      <c r="AA152" s="172"/>
      <c r="AB152" s="173"/>
      <c r="AC152" s="173"/>
      <c r="AD152" s="173"/>
      <c r="AE152" s="173"/>
      <c r="AF152" s="173"/>
      <c r="AG152" s="173"/>
      <c r="AH152" s="173"/>
      <c r="AI152" s="173"/>
      <c r="AJ152" s="173"/>
      <c r="AK152" s="173"/>
      <c r="AL152" s="173"/>
      <c r="AM152" s="173"/>
      <c r="AN152" s="173"/>
      <c r="AO152" s="173"/>
      <c r="AP152" s="173"/>
      <c r="AQ152" s="173"/>
      <c r="AR152" s="173"/>
      <c r="AS152" s="173"/>
      <c r="AT152" s="173"/>
      <c r="AU152" s="173"/>
      <c r="AV152" s="173"/>
      <c r="AW152" s="173"/>
      <c r="AX152" s="173"/>
      <c r="AY152" s="173"/>
      <c r="AZ152" s="173"/>
      <c r="BA152" s="173"/>
    </row>
    <row r="153" spans="1:62" x14ac:dyDescent="0.25">
      <c r="A153" s="642"/>
      <c r="B153" s="770"/>
      <c r="C153" s="770"/>
      <c r="D153" s="66"/>
      <c r="E153" s="118"/>
      <c r="F153" s="118"/>
      <c r="G153" s="118"/>
      <c r="H153" s="118"/>
      <c r="I153" s="118"/>
      <c r="J153" s="118"/>
      <c r="K153" s="118"/>
      <c r="L153" s="118"/>
      <c r="M153" s="118"/>
      <c r="N153" s="118"/>
      <c r="O153" s="118"/>
      <c r="P153" s="218"/>
      <c r="Q153" s="173"/>
      <c r="R153" s="173"/>
      <c r="S153" s="173"/>
      <c r="T153" s="173"/>
      <c r="U153" s="173"/>
      <c r="V153" s="173"/>
      <c r="W153" s="173"/>
      <c r="X153" s="173"/>
      <c r="Y153" s="173"/>
      <c r="Z153" s="173"/>
      <c r="AA153" s="173"/>
      <c r="AB153" s="173"/>
      <c r="AC153" s="173"/>
      <c r="AD153" s="173"/>
      <c r="AE153" s="173"/>
      <c r="AF153" s="173"/>
      <c r="AG153" s="173"/>
      <c r="AH153" s="173"/>
      <c r="AI153" s="173"/>
      <c r="AJ153" s="173"/>
      <c r="AK153" s="173"/>
      <c r="AL153" s="173"/>
      <c r="AM153" s="173"/>
      <c r="AN153" s="173"/>
      <c r="AO153" s="173"/>
      <c r="AP153" s="173"/>
      <c r="AQ153" s="173"/>
      <c r="AR153" s="173"/>
      <c r="AS153" s="118"/>
      <c r="AT153" s="118"/>
      <c r="AU153" s="118"/>
      <c r="AV153" s="118"/>
      <c r="AW153" s="118"/>
      <c r="AX153" s="118"/>
      <c r="AY153" s="118"/>
      <c r="AZ153" s="118"/>
      <c r="BA153" s="118"/>
    </row>
    <row r="154" spans="1:62" x14ac:dyDescent="0.25">
      <c r="A154" s="780"/>
      <c r="B154" s="2336" t="s">
        <v>1352</v>
      </c>
      <c r="C154" s="771"/>
      <c r="D154" s="44"/>
      <c r="E154" s="152"/>
      <c r="F154" s="152"/>
      <c r="G154" s="152"/>
      <c r="H154" s="152"/>
      <c r="I154" s="374">
        <f>+SUM(I143:I151)</f>
        <v>-132.11196830399999</v>
      </c>
      <c r="J154" s="374">
        <f>+SUM(J143:J151)</f>
        <v>-46.211996034999984</v>
      </c>
      <c r="K154" s="374">
        <f t="shared" ref="K154:Z154" si="54">+SUM(K143:K151)</f>
        <v>-86.134919774999986</v>
      </c>
      <c r="L154" s="374">
        <f t="shared" si="54"/>
        <v>-216.13879219499998</v>
      </c>
      <c r="M154" s="374">
        <f t="shared" si="54"/>
        <v>-112.75526053399999</v>
      </c>
      <c r="N154" s="374">
        <f t="shared" si="54"/>
        <v>-199.05269063600002</v>
      </c>
      <c r="O154" s="374">
        <f t="shared" si="54"/>
        <v>-9.4331522420000073</v>
      </c>
      <c r="P154" s="767">
        <f t="shared" si="54"/>
        <v>-237.37354599099999</v>
      </c>
      <c r="Q154" s="375">
        <f t="shared" ca="1" si="54"/>
        <v>12.005560424000855</v>
      </c>
      <c r="R154" s="375">
        <f t="shared" ca="1" si="54"/>
        <v>-115.27271628141828</v>
      </c>
      <c r="S154" s="375">
        <f t="shared" ca="1" si="54"/>
        <v>-225.53340843252596</v>
      </c>
      <c r="T154" s="375">
        <f t="shared" ca="1" si="54"/>
        <v>-160.18043519735181</v>
      </c>
      <c r="U154" s="375">
        <f t="shared" ca="1" si="54"/>
        <v>-259.49000219878127</v>
      </c>
      <c r="V154" s="375">
        <f t="shared" ca="1" si="54"/>
        <v>-163.79958289221841</v>
      </c>
      <c r="W154" s="375">
        <f t="shared" ca="1" si="54"/>
        <v>-323.35878228342477</v>
      </c>
      <c r="X154" s="375">
        <f t="shared" ca="1" si="54"/>
        <v>-357.52554975377359</v>
      </c>
      <c r="Y154" s="375">
        <f t="shared" ca="1" si="54"/>
        <v>-235.43999225629886</v>
      </c>
      <c r="Z154" s="375">
        <f t="shared" ca="1" si="54"/>
        <v>-304.12289052832909</v>
      </c>
      <c r="AA154" s="375"/>
      <c r="AB154" s="376"/>
      <c r="AC154" s="376"/>
      <c r="AD154" s="376"/>
      <c r="AE154" s="376"/>
      <c r="AF154" s="376"/>
      <c r="AG154" s="376"/>
      <c r="AH154" s="376"/>
      <c r="AI154" s="376"/>
      <c r="AJ154" s="376"/>
      <c r="AK154" s="376"/>
      <c r="AL154" s="376"/>
      <c r="AM154" s="376"/>
      <c r="AN154" s="376"/>
      <c r="AO154" s="376"/>
      <c r="AP154" s="376"/>
      <c r="AQ154" s="376"/>
      <c r="AR154" s="376"/>
      <c r="AS154" s="376"/>
      <c r="AT154" s="376"/>
      <c r="AU154" s="376"/>
      <c r="AV154" s="376"/>
      <c r="AW154" s="376"/>
      <c r="AX154" s="376"/>
      <c r="AY154" s="376"/>
      <c r="AZ154" s="376"/>
      <c r="BA154" s="376"/>
    </row>
    <row r="155" spans="1:62" x14ac:dyDescent="0.25">
      <c r="A155" s="780"/>
      <c r="B155" s="2337" t="s">
        <v>1353</v>
      </c>
      <c r="C155" s="783" t="s">
        <v>1354</v>
      </c>
      <c r="D155" s="784"/>
      <c r="E155" s="759"/>
      <c r="F155" s="759"/>
      <c r="G155" s="759"/>
      <c r="H155" s="759"/>
      <c r="I155" s="760">
        <f>I141+I152+I154</f>
        <v>103.64864288999971</v>
      </c>
      <c r="J155" s="760">
        <f>J141+J152+J154</f>
        <v>261.85353400999998</v>
      </c>
      <c r="K155" s="760">
        <f t="shared" ref="K155:Z155" si="55">K141+K152+K154</f>
        <v>114.48628246299992</v>
      </c>
      <c r="L155" s="760">
        <f t="shared" si="55"/>
        <v>17.715983709</v>
      </c>
      <c r="M155" s="760">
        <f t="shared" si="55"/>
        <v>107.86124462500011</v>
      </c>
      <c r="N155" s="760">
        <f t="shared" si="55"/>
        <v>-1.0361782050000272</v>
      </c>
      <c r="O155" s="760">
        <f t="shared" si="55"/>
        <v>212.90751051299998</v>
      </c>
      <c r="P155" s="761">
        <f t="shared" si="55"/>
        <v>27.727854728000096</v>
      </c>
      <c r="Q155" s="762">
        <f t="shared" ca="1" si="55"/>
        <v>368.31736396424498</v>
      </c>
      <c r="R155" s="762">
        <f t="shared" ca="1" si="55"/>
        <v>274.35882836626558</v>
      </c>
      <c r="S155" s="762">
        <f t="shared" ca="1" si="55"/>
        <v>285.94385335344111</v>
      </c>
      <c r="T155" s="762">
        <f t="shared" ca="1" si="55"/>
        <v>356.75084368397154</v>
      </c>
      <c r="U155" s="762">
        <f t="shared" ca="1" si="55"/>
        <v>309.48656146901038</v>
      </c>
      <c r="V155" s="762">
        <f t="shared" ca="1" si="55"/>
        <v>447.01345016738196</v>
      </c>
      <c r="W155" s="762">
        <f t="shared" ca="1" si="55"/>
        <v>341.08126409038363</v>
      </c>
      <c r="X155" s="762">
        <f t="shared" ca="1" si="55"/>
        <v>337.43325578147642</v>
      </c>
      <c r="Y155" s="762">
        <f t="shared" ca="1" si="55"/>
        <v>491.59271385615978</v>
      </c>
      <c r="Z155" s="762">
        <f t="shared" ca="1" si="55"/>
        <v>457.37955854160293</v>
      </c>
      <c r="AA155" s="762"/>
      <c r="AB155" s="763"/>
      <c r="AC155" s="763"/>
      <c r="AD155" s="763"/>
      <c r="AE155" s="763"/>
      <c r="AF155" s="763"/>
      <c r="AG155" s="763"/>
      <c r="AH155" s="763"/>
      <c r="AI155" s="763"/>
      <c r="AJ155" s="763"/>
      <c r="AK155" s="763"/>
      <c r="AL155" s="763"/>
      <c r="AM155" s="763"/>
      <c r="AN155" s="763"/>
      <c r="AO155" s="763"/>
      <c r="AP155" s="763"/>
      <c r="AQ155" s="763"/>
      <c r="AR155" s="763"/>
      <c r="AS155" s="763"/>
      <c r="AT155" s="763"/>
      <c r="AU155" s="763"/>
      <c r="AV155" s="763"/>
      <c r="AW155" s="763"/>
      <c r="AX155" s="763"/>
      <c r="AY155" s="763"/>
      <c r="AZ155" s="763"/>
      <c r="BA155" s="763"/>
    </row>
    <row r="156" spans="1:62" x14ac:dyDescent="0.25">
      <c r="A156" s="426"/>
      <c r="B156" s="785" t="s">
        <v>468</v>
      </c>
      <c r="C156" s="785"/>
      <c r="D156" s="428"/>
      <c r="E156" s="428"/>
      <c r="F156" s="428"/>
      <c r="G156" s="428"/>
      <c r="H156" s="428"/>
      <c r="I156" s="429">
        <f>IF(ISTEXT('CF Raw'!I$11),I155-'CF Raw'!I35/'Output-FR (show)'!$A$124,"Chưa có BCTC")</f>
        <v>-2.9842794901924208E-13</v>
      </c>
      <c r="J156" s="429">
        <f>IF(ISTEXT('CF Raw'!J$11),J155-'CF Raw'!J35/'Output-FR (show)'!$A$124,"Chưa có BCTC")</f>
        <v>0</v>
      </c>
      <c r="K156" s="429">
        <f>IF(ISTEXT('CF Raw'!K$11),K155-'CF Raw'!K35/'Output-FR (show)'!$A$124,"Chưa có BCTC")</f>
        <v>-7.1054273576010019E-14</v>
      </c>
      <c r="L156" s="429">
        <f>IF(ISTEXT('CF Raw'!L$11),L155-'CF Raw'!L35/'Output-FR (show)'!$A$124,"Chưa có BCTC")</f>
        <v>0</v>
      </c>
      <c r="M156" s="429">
        <f>IF(ISTEXT('CF Raw'!M$11),M155-'CF Raw'!M35/'Output-FR (show)'!$A$124,"Chưa có BCTC")</f>
        <v>1.1368683772161603E-13</v>
      </c>
      <c r="N156" s="429">
        <f>IF(ISTEXT('CF Raw'!N$11),N155-'CF Raw'!N35/'Output-FR (show)'!$A$124,"Chưa có BCTC")</f>
        <v>-2.7311486405778851E-14</v>
      </c>
      <c r="O156" s="429">
        <f>IF(ISTEXT('CF Raw'!O$11),O155-'CF Raw'!O35/'Output-FR (show)'!$A$124,"Chưa có BCTC")</f>
        <v>-2.8421709430404007E-14</v>
      </c>
      <c r="P156" s="786">
        <f>IF(ISTEXT('CF Raw'!P$11),P155-'CF Raw'!P35/'Output-FR (show)'!$A$124,"Chưa có BCTC")</f>
        <v>-2.1452719999039971E-3</v>
      </c>
      <c r="Q156" s="1894" t="str">
        <f>IF(ISTEXT('CF Raw'!Q$11),Q155-'CF Raw'!Q35/'Output-FR (show)'!$A$124,"Chưa có BCTC")</f>
        <v>Chưa có BCTC</v>
      </c>
      <c r="R156" s="1894" t="str">
        <f>IF(ISTEXT('CF Raw'!R$11),R155-'CF Raw'!R35/'Output-FR (show)'!$A$124,"Chưa có BCTC")</f>
        <v>Chưa có BCTC</v>
      </c>
      <c r="S156" s="1894" t="str">
        <f>IF(ISTEXT('CF Raw'!S$11),S155-'CF Raw'!S35/'Output-FR (show)'!$A$124,"Chưa có BCTC")</f>
        <v>Chưa có BCTC</v>
      </c>
      <c r="T156" s="1894" t="str">
        <f>IF(ISTEXT('CF Raw'!T$11),T155-'CF Raw'!T35/'Output-FR (show)'!$A$124,"Chưa có BCTC")</f>
        <v>Chưa có BCTC</v>
      </c>
      <c r="U156" s="1894" t="str">
        <f>IF(ISTEXT('CF Raw'!U$11),U155-'CF Raw'!U35/'Output-FR (show)'!$A$124,"Chưa có BCTC")</f>
        <v>Chưa có BCTC</v>
      </c>
      <c r="V156" s="1894" t="str">
        <f>IF(ISTEXT('CF Raw'!V$11),V155-'CF Raw'!V35/'Output-FR (show)'!$A$124,"Chưa có BCTC")</f>
        <v>Chưa có BCTC</v>
      </c>
      <c r="W156" s="1894" t="str">
        <f>IF(ISTEXT('CF Raw'!W$11),W155-'CF Raw'!W35/'Output-FR (show)'!$A$124,"Chưa có BCTC")</f>
        <v>Chưa có BCTC</v>
      </c>
      <c r="X156" s="1894" t="str">
        <f>IF(ISTEXT('CF Raw'!X$11),X155-'CF Raw'!X35/'Output-FR (show)'!$A$124,"Chưa có BCTC")</f>
        <v>Chưa có BCTC</v>
      </c>
      <c r="Y156" s="1894" t="str">
        <f>IF(ISTEXT('CF Raw'!Y$11),Y155-'CF Raw'!Y35/'Output-FR (show)'!$A$124,"Chưa có BCTC")</f>
        <v>Chưa có BCTC</v>
      </c>
      <c r="Z156" s="1894" t="str">
        <f>IF(ISTEXT('CF Raw'!Z$11),Z155-'CF Raw'!Z35/'Output-FR (show)'!$A$124,"Chưa có BCTC")</f>
        <v>Chưa có BCTC</v>
      </c>
      <c r="AA156" s="1894"/>
      <c r="AB156" s="1895"/>
      <c r="AC156" s="1895"/>
      <c r="AD156" s="1895"/>
      <c r="AE156" s="1895"/>
      <c r="AF156" s="1895"/>
      <c r="AG156" s="1895"/>
      <c r="AH156" s="1895"/>
      <c r="AI156" s="1895"/>
      <c r="AJ156" s="1895"/>
      <c r="AK156" s="1895"/>
      <c r="AL156" s="1895"/>
      <c r="AM156" s="1895"/>
      <c r="AN156" s="1895"/>
      <c r="AO156" s="1895"/>
      <c r="AP156" s="1895"/>
      <c r="AQ156" s="1895"/>
      <c r="AR156" s="1895"/>
      <c r="AS156" s="787"/>
      <c r="AT156" s="787"/>
      <c r="AU156" s="787"/>
      <c r="AV156" s="787"/>
      <c r="AW156" s="787"/>
      <c r="AX156" s="787"/>
      <c r="AY156" s="787"/>
      <c r="AZ156" s="787"/>
      <c r="BA156" s="787"/>
    </row>
    <row r="157" spans="1:62" x14ac:dyDescent="0.25">
      <c r="A157" s="642"/>
      <c r="B157" s="770"/>
      <c r="C157" s="770"/>
      <c r="D157" s="66"/>
      <c r="E157" s="66"/>
      <c r="F157" s="66"/>
      <c r="G157" s="66"/>
      <c r="H157" s="66"/>
      <c r="I157" s="66"/>
      <c r="J157" s="66"/>
      <c r="K157" s="66"/>
      <c r="L157" s="66"/>
      <c r="M157" s="66"/>
      <c r="N157" s="118"/>
      <c r="O157" s="118"/>
      <c r="P157" s="218"/>
      <c r="Q157" s="118"/>
      <c r="R157" s="118"/>
      <c r="S157" s="118"/>
      <c r="T157" s="118"/>
      <c r="U157" s="118"/>
      <c r="V157" s="118"/>
      <c r="W157" s="118"/>
      <c r="X157" s="118"/>
      <c r="Y157" s="118"/>
      <c r="Z157" s="118"/>
      <c r="AA157" s="173"/>
      <c r="AB157" s="173"/>
      <c r="AC157" s="173"/>
      <c r="AD157" s="173"/>
      <c r="AE157" s="173"/>
      <c r="AF157" s="173"/>
      <c r="AG157" s="173"/>
      <c r="AH157" s="173"/>
      <c r="AI157" s="173"/>
      <c r="AJ157" s="173"/>
      <c r="AK157" s="173"/>
      <c r="AL157" s="173"/>
      <c r="AM157" s="173"/>
      <c r="AN157" s="173"/>
      <c r="AO157" s="173"/>
      <c r="AP157" s="173"/>
      <c r="AQ157" s="173"/>
      <c r="AR157" s="173"/>
      <c r="AS157" s="118"/>
      <c r="AT157" s="118"/>
      <c r="AU157" s="118"/>
      <c r="AV157" s="118"/>
      <c r="AW157" s="118"/>
      <c r="AX157" s="118"/>
      <c r="AY157" s="118"/>
      <c r="AZ157" s="118"/>
      <c r="BA157" s="118"/>
    </row>
    <row r="158" spans="1:62" x14ac:dyDescent="0.25">
      <c r="A158" s="642"/>
      <c r="B158" s="2333" t="s">
        <v>1355</v>
      </c>
      <c r="C158" s="770" t="s">
        <v>1356</v>
      </c>
      <c r="D158" s="66"/>
      <c r="E158" s="118"/>
      <c r="F158" s="118"/>
      <c r="G158" s="118"/>
      <c r="H158" s="118"/>
      <c r="I158" s="119">
        <f>IF(ISTEXT('CF Raw'!I$11),('CF Raw'!I36+'CF Raw'!I37)/'Output-FR (show)'!$A$124,-'LT. Asset'!I9)</f>
        <v>-119.856082687</v>
      </c>
      <c r="J158" s="119">
        <f>IF(ISTEXT('CF Raw'!J$11),('CF Raw'!J36+'CF Raw'!J37)/'Output-FR (show)'!$A$124,-'LT. Asset'!J9)</f>
        <v>-40.701219500999997</v>
      </c>
      <c r="K158" s="119">
        <f>IF(ISTEXT('CF Raw'!K$11),('CF Raw'!K36+'CF Raw'!K37)/'Output-FR (show)'!$A$124,-'LT. Asset'!K9)</f>
        <v>-115.31445511699999</v>
      </c>
      <c r="L158" s="119">
        <f>IF(ISTEXT('CF Raw'!L$11),('CF Raw'!L36+'CF Raw'!L37)/'Output-FR (show)'!$A$124,-'LT. Asset'!L9)</f>
        <v>-49.726230184000002</v>
      </c>
      <c r="M158" s="119">
        <f>IF(ISTEXT('CF Raw'!M$11),('CF Raw'!M36+'CF Raw'!M37)/'Output-FR (show)'!$A$124,-'LT. Asset'!M9)</f>
        <v>-44.080067954999997</v>
      </c>
      <c r="N158" s="119">
        <f>IF(ISTEXT('CF Raw'!N$11),('CF Raw'!N36+'CF Raw'!N37)/'Output-FR (show)'!$A$124,-'LT. Asset'!N9)</f>
        <v>-149.62789548699999</v>
      </c>
      <c r="O158" s="119">
        <f>IF(ISTEXT('CF Raw'!O$11),('CF Raw'!O36+'CF Raw'!O37)/'Output-FR (show)'!$A$124,-'LT. Asset'!O9)</f>
        <v>-55.734319657999997</v>
      </c>
      <c r="P158" s="671">
        <f>IF(ISTEXT('CF Raw'!P$11),('CF Raw'!P36+'CF Raw'!P37)/'Output-FR (show)'!$A$124,-'LT. Asset'!P9)</f>
        <v>0</v>
      </c>
      <c r="Q158" s="172">
        <f>IF(ISTEXT('CF Raw'!Q$11),('CF Raw'!Q36+'CF Raw'!Q37)/'Output-FR (show)'!$A$124,-'LT. Asset'!Q9)</f>
        <v>-451.02885356693275</v>
      </c>
      <c r="R158" s="172">
        <f>IF(ISTEXT('CF Raw'!R$11),('CF Raw'!R36+'CF Raw'!R37)/'Output-FR (show)'!$A$124,-'LT. Asset'!R9)</f>
        <v>-354.63249581806161</v>
      </c>
      <c r="S158" s="172">
        <f>IF(ISTEXT('CF Raw'!S$11),('CF Raw'!S36+'CF Raw'!S37)/'Output-FR (show)'!$A$124,-'LT. Asset'!S9)</f>
        <v>-79.482834742685924</v>
      </c>
      <c r="T158" s="172">
        <f>IF(ISTEXT('CF Raw'!T$11),('CF Raw'!T36+'CF Raw'!T37)/'Output-FR (show)'!$A$124,-'LT. Asset'!T9)</f>
        <v>-89.864940627648025</v>
      </c>
      <c r="U158" s="172">
        <f>IF(ISTEXT('CF Raw'!U$11),('CF Raw'!U36+'CF Raw'!U37)/'Output-FR (show)'!$A$124,-'LT. Asset'!U9)</f>
        <v>-91.651435783446118</v>
      </c>
      <c r="V158" s="172">
        <f>IF(ISTEXT('CF Raw'!V$11),('CF Raw'!V36+'CF Raw'!V37)/'Output-FR (show)'!$A$124,-'LT. Asset'!V9)</f>
        <v>-98.591712970382872</v>
      </c>
      <c r="W158" s="172">
        <f>IF(ISTEXT('CF Raw'!W$11),('CF Raw'!W36+'CF Raw'!W37)/'Output-FR (show)'!$A$124,-'LT. Asset'!W9)</f>
        <v>-107.61073435163705</v>
      </c>
      <c r="X158" s="172">
        <f>IF(ISTEXT('CF Raw'!X$11),('CF Raw'!X36+'CF Raw'!X37)/'Output-FR (show)'!$A$124,-'LT. Asset'!X9)</f>
        <v>-93.298140814281055</v>
      </c>
      <c r="Y158" s="172">
        <f>IF(ISTEXT('CF Raw'!Y$11),('CF Raw'!Y36+'CF Raw'!Y37)/'Output-FR (show)'!$A$124,-'LT. Asset'!Y9)</f>
        <v>-97.248723054039104</v>
      </c>
      <c r="Z158" s="172">
        <f>IF(ISTEXT('CF Raw'!Z$11),('CF Raw'!Z36+'CF Raw'!Z37)/'Output-FR (show)'!$A$124,-'LT. Asset'!Z9)</f>
        <v>-101.56085577511773</v>
      </c>
      <c r="AA158" s="172"/>
      <c r="AB158" s="173"/>
      <c r="AC158" s="173"/>
      <c r="AD158" s="173"/>
      <c r="AE158" s="173"/>
      <c r="AF158" s="173"/>
      <c r="AG158" s="173"/>
      <c r="AH158" s="173"/>
      <c r="AI158" s="173"/>
      <c r="AJ158" s="173"/>
      <c r="AK158" s="173"/>
      <c r="AL158" s="173"/>
      <c r="AM158" s="173"/>
      <c r="AN158" s="173"/>
      <c r="AO158" s="173"/>
      <c r="AP158" s="173"/>
      <c r="AQ158" s="173"/>
      <c r="AR158" s="173"/>
      <c r="AS158" s="173"/>
      <c r="AT158" s="173"/>
      <c r="AU158" s="173"/>
      <c r="AV158" s="173"/>
      <c r="AW158" s="173"/>
      <c r="AX158" s="173"/>
      <c r="AY158" s="173"/>
      <c r="AZ158" s="173"/>
      <c r="BA158" s="173"/>
    </row>
    <row r="159" spans="1:62" x14ac:dyDescent="0.25">
      <c r="A159" s="642"/>
      <c r="B159" s="2333" t="s">
        <v>1357</v>
      </c>
      <c r="C159" s="770" t="s">
        <v>1358</v>
      </c>
      <c r="D159" s="66"/>
      <c r="E159" s="118"/>
      <c r="F159" s="118"/>
      <c r="G159" s="118"/>
      <c r="H159" s="118"/>
      <c r="I159" s="119">
        <f>IF(ISTEXT('CF Raw'!I$11),0,-I136)</f>
        <v>0</v>
      </c>
      <c r="J159" s="119">
        <f>IF(ISTEXT('CF Raw'!J$11),0,-J136)</f>
        <v>0</v>
      </c>
      <c r="K159" s="119">
        <f>IF(ISTEXT('CF Raw'!K$11),0,-K136)</f>
        <v>0</v>
      </c>
      <c r="L159" s="119">
        <f>IF(ISTEXT('CF Raw'!L$11),0,-L136)</f>
        <v>0</v>
      </c>
      <c r="M159" s="119">
        <f>IF(ISTEXT('CF Raw'!M$11),0,-M136)</f>
        <v>0</v>
      </c>
      <c r="N159" s="119">
        <f>IF(ISTEXT('CF Raw'!N$11),0,-N136)</f>
        <v>0</v>
      </c>
      <c r="O159" s="119">
        <f>IF(ISTEXT('CF Raw'!O$11),0,-O136)</f>
        <v>0</v>
      </c>
      <c r="P159" s="671">
        <f>IF(ISTEXT('CF Raw'!P$11),0,-P136)</f>
        <v>0</v>
      </c>
      <c r="Q159" s="172">
        <f>IF(ISTEXT('CF Raw'!Q$11),0,-Q136)</f>
        <v>0.91089126966666678</v>
      </c>
      <c r="R159" s="172">
        <f>IF(ISTEXT('CF Raw'!R$11),0,-R136)</f>
        <v>1.0467947702777778</v>
      </c>
      <c r="S159" s="172">
        <f>IF(ISTEXT('CF Raw'!S$11),0,-S136)</f>
        <v>1.127796755324074</v>
      </c>
      <c r="T159" s="172">
        <f>IF(ISTEXT('CF Raw'!T$11),0,-T136)</f>
        <v>1.2985224325447531</v>
      </c>
      <c r="U159" s="172">
        <f>IF(ISTEXT('CF Raw'!U$11),0,-U136)</f>
        <v>1.4785289249688784</v>
      </c>
      <c r="V159" s="172">
        <f>IF(ISTEXT('CF Raw'!V$11),0,-V136)</f>
        <v>1.2673752972970249</v>
      </c>
      <c r="W159" s="172">
        <f>IF(ISTEXT('CF Raw'!W$11),0,-W136)</f>
        <v>1.1883182416798623</v>
      </c>
      <c r="X159" s="172">
        <f>IF(ISTEXT('CF Raw'!X$11),0,-X136)</f>
        <v>1.2345560703487284</v>
      </c>
      <c r="Y159" s="172">
        <f>IF(ISTEXT('CF Raw'!Y$11),0,-Y136)</f>
        <v>1.2658496203605536</v>
      </c>
      <c r="Z159" s="172">
        <f>IF(ISTEXT('CF Raw'!Z$11),0,-Z136)</f>
        <v>1.2888584311999667</v>
      </c>
      <c r="AA159" s="172"/>
      <c r="AB159" s="173"/>
      <c r="AC159" s="173"/>
      <c r="AD159" s="173"/>
      <c r="AE159" s="173"/>
      <c r="AF159" s="173"/>
      <c r="AG159" s="173"/>
      <c r="AH159" s="173"/>
      <c r="AI159" s="173"/>
      <c r="AJ159" s="173"/>
      <c r="AK159" s="173"/>
      <c r="AL159" s="173"/>
      <c r="AM159" s="173"/>
      <c r="AN159" s="173"/>
      <c r="AO159" s="173"/>
      <c r="AP159" s="173"/>
      <c r="AQ159" s="173"/>
      <c r="AR159" s="173"/>
      <c r="AS159" s="173"/>
      <c r="AT159" s="173"/>
      <c r="AU159" s="173"/>
      <c r="AV159" s="173"/>
      <c r="AW159" s="173"/>
      <c r="AX159" s="173"/>
      <c r="AY159" s="173"/>
      <c r="AZ159" s="173"/>
      <c r="BA159" s="173"/>
    </row>
    <row r="160" spans="1:62" x14ac:dyDescent="0.25">
      <c r="A160" s="642"/>
      <c r="B160" s="2333" t="s">
        <v>1359</v>
      </c>
      <c r="C160" s="770"/>
      <c r="D160" s="66"/>
      <c r="E160" s="118"/>
      <c r="F160" s="118"/>
      <c r="G160" s="118"/>
      <c r="H160" s="118"/>
      <c r="I160" s="119">
        <f>IF(ISTEXT('CF Raw'!I$11),'CF Raw'!I42/'Output-FR (show)'!$A$124,-I137)</f>
        <v>1.053390872</v>
      </c>
      <c r="J160" s="119">
        <f>IF(ISTEXT('CF Raw'!J$11),'CF Raw'!J42/'Output-FR (show)'!$A$124,-J137)</f>
        <v>14.499025676</v>
      </c>
      <c r="K160" s="119">
        <f>IF(ISTEXT('CF Raw'!K$11),'CF Raw'!K42/'Output-FR (show)'!$A$124,-K137)</f>
        <v>13.178431081999999</v>
      </c>
      <c r="L160" s="119">
        <f>IF(ISTEXT('CF Raw'!L$11),'CF Raw'!L42/'Output-FR (show)'!$A$124,-L137)</f>
        <v>18.071891587</v>
      </c>
      <c r="M160" s="119">
        <f>IF(ISTEXT('CF Raw'!M$11),'CF Raw'!M42/'Output-FR (show)'!$A$124,-M137)</f>
        <v>21.682975744</v>
      </c>
      <c r="N160" s="119">
        <f>IF(ISTEXT('CF Raw'!N$11),'CF Raw'!N42/'Output-FR (show)'!$A$124,-N137)</f>
        <v>21.615407874999999</v>
      </c>
      <c r="O160" s="119">
        <f>IF(ISTEXT('CF Raw'!O$11),'CF Raw'!O42/'Output-FR (show)'!$A$124,-O137)</f>
        <v>9.2733607070000001</v>
      </c>
      <c r="P160" s="671">
        <f>IF(ISTEXT('CF Raw'!P$11),'CF Raw'!P42/'Output-FR (show)'!$A$124,-P137)</f>
        <v>0</v>
      </c>
      <c r="Q160" s="172">
        <f ca="1">IF(ISTEXT('CF Raw'!Q$11),'CF Raw'!Q42/'Output-FR (show)'!$A$124,-Q137)</f>
        <v>17.147038332660816</v>
      </c>
      <c r="R160" s="172">
        <f ca="1">IF(ISTEXT('CF Raw'!R$11),'CF Raw'!R42/'Output-FR (show)'!$A$124,-R137)</f>
        <v>22.538510309889645</v>
      </c>
      <c r="S160" s="172">
        <f ca="1">IF(ISTEXT('CF Raw'!S$11),'CF Raw'!S42/'Output-FR (show)'!$A$124,-S137)</f>
        <v>25.72823050976745</v>
      </c>
      <c r="T160" s="172">
        <f ca="1">IF(ISTEXT('CF Raw'!T$11),'CF Raw'!T42/'Output-FR (show)'!$A$124,-T137)</f>
        <v>32.164055639101129</v>
      </c>
      <c r="U160" s="172">
        <f ca="1">IF(ISTEXT('CF Raw'!U$11),'CF Raw'!U42/'Output-FR (show)'!$A$124,-U137)</f>
        <v>40.591249862676456</v>
      </c>
      <c r="V160" s="172">
        <f ca="1">IF(ISTEXT('CF Raw'!V$11),'CF Raw'!V42/'Output-FR (show)'!$A$124,-V137)</f>
        <v>52.437401326562984</v>
      </c>
      <c r="W160" s="172">
        <f ca="1">IF(ISTEXT('CF Raw'!W$11),'CF Raw'!W42/'Output-FR (show)'!$A$124,-W137)</f>
        <v>64.008195179952637</v>
      </c>
      <c r="X160" s="172">
        <f ca="1">IF(ISTEXT('CF Raw'!X$11),'CF Raw'!X42/'Output-FR (show)'!$A$124,-X137)</f>
        <v>72.94463897556561</v>
      </c>
      <c r="Y160" s="172">
        <f ca="1">IF(ISTEXT('CF Raw'!Y$11),'CF Raw'!Y42/'Output-FR (show)'!$A$124,-Y137)</f>
        <v>85.079387646910135</v>
      </c>
      <c r="Z160" s="172">
        <f ca="1">IF(ISTEXT('CF Raw'!Z$11),'CF Raw'!Z42/'Output-FR (show)'!$A$124,-Z137)</f>
        <v>97.600234564623094</v>
      </c>
      <c r="AA160" s="172"/>
      <c r="AB160" s="173"/>
      <c r="AC160" s="173"/>
      <c r="AD160" s="173"/>
      <c r="AE160" s="173"/>
      <c r="AF160" s="173"/>
      <c r="AG160" s="173"/>
      <c r="AH160" s="173"/>
      <c r="AI160" s="173"/>
      <c r="AJ160" s="173"/>
      <c r="AK160" s="173"/>
      <c r="AL160" s="173"/>
      <c r="AM160" s="173"/>
      <c r="AN160" s="173"/>
      <c r="AO160" s="173"/>
      <c r="AP160" s="173"/>
      <c r="AQ160" s="173"/>
      <c r="AR160" s="173"/>
      <c r="AS160" s="173"/>
      <c r="AT160" s="173"/>
      <c r="AU160" s="173"/>
      <c r="AV160" s="173"/>
      <c r="AW160" s="173"/>
      <c r="AX160" s="173"/>
      <c r="AY160" s="173"/>
      <c r="AZ160" s="173"/>
      <c r="BA160" s="173"/>
    </row>
    <row r="161" spans="1:53" x14ac:dyDescent="0.25">
      <c r="A161" s="642"/>
      <c r="B161" s="2333" t="s">
        <v>1360</v>
      </c>
      <c r="C161" s="770" t="s">
        <v>1361</v>
      </c>
      <c r="D161" s="66"/>
      <c r="E161" s="118"/>
      <c r="F161" s="118"/>
      <c r="G161" s="118"/>
      <c r="H161" s="118"/>
      <c r="I161" s="119">
        <f>IF(ISTEXT('CF Raw'!I$11),('CF Raw'!I38+'CF Raw'!I39)/'Output-FR (show)'!$A$124,'Output-FR (show)'!H62-'Output-FR (show)'!I62)</f>
        <v>0</v>
      </c>
      <c r="J161" s="119">
        <f>IF(ISTEXT('CF Raw'!J$11),('CF Raw'!J38+'CF Raw'!J39)/'Output-FR (show)'!$A$124,'Output-FR (show)'!I62-'Output-FR (show)'!J62)</f>
        <v>-110</v>
      </c>
      <c r="K161" s="119">
        <f>IF(ISTEXT('CF Raw'!K$11),('CF Raw'!K38+'CF Raw'!K39)/'Output-FR (show)'!$A$124,'Output-FR (show)'!J62-'Output-FR (show)'!K62)</f>
        <v>-164.11099999999999</v>
      </c>
      <c r="L161" s="119">
        <f>IF(ISTEXT('CF Raw'!L$11),('CF Raw'!L38+'CF Raw'!L39)/'Output-FR (show)'!$A$124,'Output-FR (show)'!K62-'Output-FR (show)'!L62)</f>
        <v>-39.689</v>
      </c>
      <c r="M161" s="119">
        <f>IF(ISTEXT('CF Raw'!M$11),('CF Raw'!M38+'CF Raw'!M39)/'Output-FR (show)'!$A$124,'Output-FR (show)'!L62-'Output-FR (show)'!M62)</f>
        <v>91.1</v>
      </c>
      <c r="N161" s="119">
        <f>IF(ISTEXT('CF Raw'!N$11),('CF Raw'!N38+'CF Raw'!N39)/'Output-FR (show)'!$A$124,'Output-FR (show)'!M62-'Output-FR (show)'!N62)</f>
        <v>108.76</v>
      </c>
      <c r="O161" s="119">
        <f>IF(ISTEXT('CF Raw'!O$11),('CF Raw'!O38+'CF Raw'!O39)/'Output-FR (show)'!$A$124,'Output-FR (show)'!N62-'Output-FR (show)'!O62)</f>
        <v>31.3180835</v>
      </c>
      <c r="P161" s="671">
        <f>IF(ISTEXT('CF Raw'!P$11),('CF Raw'!P38+'CF Raw'!P39)/'Output-FR (show)'!$A$124,'Output-FR (show)'!O62-'Output-FR (show)'!P62)</f>
        <v>-45.86</v>
      </c>
      <c r="Q161" s="172">
        <f>IF(ISTEXT('CF Raw'!Q$11),('CF Raw'!Q38+'CF Raw'!Q39)/'Output-FR (show)'!$A$124,'Output-FR (show)'!P62-'Output-FR (show)'!Q62)</f>
        <v>0.4422681614295243</v>
      </c>
      <c r="R161" s="172">
        <f>IF(ISTEXT('CF Raw'!R$11),('CF Raw'!R38+'CF Raw'!R39)/'Output-FR (show)'!$A$124,'Output-FR (show)'!Q62-'Output-FR (show)'!R62)</f>
        <v>-13.302028762776871</v>
      </c>
      <c r="S161" s="172">
        <f>IF(ISTEXT('CF Raw'!S$11),('CF Raw'!S38+'CF Raw'!S39)/'Output-FR (show)'!$A$124,'Output-FR (show)'!R62-'Output-FR (show)'!S62)</f>
        <v>-150.91136246362723</v>
      </c>
      <c r="T161" s="172">
        <f>IF(ISTEXT('CF Raw'!T$11),('CF Raw'!T38+'CF Raw'!T39)/'Output-FR (show)'!$A$124,'Output-FR (show)'!S62-'Output-FR (show)'!T62)</f>
        <v>-109.00025110767797</v>
      </c>
      <c r="U161" s="172">
        <f>IF(ISTEXT('CF Raw'!U$11),('CF Raw'!U38+'CF Raw'!U39)/'Output-FR (show)'!$A$124,'Output-FR (show)'!T62-'Output-FR (show)'!U62)</f>
        <v>-98.002641212987896</v>
      </c>
      <c r="V161" s="172">
        <f>IF(ISTEXT('CF Raw'!V$11),('CF Raw'!V38+'CF Raw'!V39)/'Output-FR (show)'!$A$124,'Output-FR (show)'!U62-'Output-FR (show)'!V62)</f>
        <v>-190.18911977589391</v>
      </c>
      <c r="W161" s="172">
        <f>IF(ISTEXT('CF Raw'!W$11),('CF Raw'!W38+'CF Raw'!W39)/'Output-FR (show)'!$A$124,'Output-FR (show)'!V62-'Output-FR (show)'!W62)</f>
        <v>-62.78126600051155</v>
      </c>
      <c r="X161" s="172">
        <f>IF(ISTEXT('CF Raw'!X$11),('CF Raw'!X38+'CF Raw'!X39)/'Output-FR (show)'!$A$124,'Output-FR (show)'!W62-'Output-FR (show)'!X62)</f>
        <v>-100.78531246135503</v>
      </c>
      <c r="Y161" s="172">
        <f>IF(ISTEXT('CF Raw'!Y$11),('CF Raw'!Y38+'CF Raw'!Y39)/'Output-FR (show)'!$A$124,'Output-FR (show)'!X62-'Output-FR (show)'!Y62)</f>
        <v>-169.54683550968809</v>
      </c>
      <c r="Z161" s="172">
        <f>IF(ISTEXT('CF Raw'!Z$11),('CF Raw'!Z38+'CF Raw'!Z39)/'Output-FR (show)'!$A$124,'Output-FR (show)'!Y62-'Output-FR (show)'!Z62)</f>
        <v>-107.93396881715512</v>
      </c>
      <c r="AA161" s="172"/>
      <c r="AB161" s="173"/>
      <c r="AC161" s="173"/>
      <c r="AD161" s="173"/>
      <c r="AE161" s="173"/>
      <c r="AF161" s="173"/>
      <c r="AG161" s="173"/>
      <c r="AH161" s="173"/>
      <c r="AI161" s="173"/>
      <c r="AJ161" s="173"/>
      <c r="AK161" s="173"/>
      <c r="AL161" s="173"/>
      <c r="AM161" s="173"/>
      <c r="AN161" s="173"/>
      <c r="AO161" s="173"/>
      <c r="AP161" s="173"/>
      <c r="AQ161" s="173"/>
      <c r="AR161" s="173"/>
      <c r="AS161" s="173"/>
      <c r="AT161" s="173"/>
      <c r="AU161" s="173"/>
      <c r="AV161" s="173"/>
      <c r="AW161" s="173"/>
      <c r="AX161" s="173"/>
      <c r="AY161" s="173"/>
      <c r="AZ161" s="173"/>
      <c r="BA161" s="173"/>
    </row>
    <row r="162" spans="1:53" x14ac:dyDescent="0.25">
      <c r="A162" s="642"/>
      <c r="B162" s="770" t="s">
        <v>1362</v>
      </c>
      <c r="C162" s="770" t="s">
        <v>1363</v>
      </c>
      <c r="D162" s="66"/>
      <c r="E162" s="118"/>
      <c r="F162" s="118"/>
      <c r="G162" s="118"/>
      <c r="H162" s="118"/>
      <c r="I162" s="119">
        <f>IF(ISTEXT('CF Raw'!I$11),('CF Raw'!I40+'CF Raw'!I41)/'Output-FR (show)'!$A$124,'Output-FR (show)'!H75-'Output-FR (show)'!I75)</f>
        <v>0</v>
      </c>
      <c r="J162" s="119">
        <f>IF(ISTEXT('CF Raw'!J$11),('CF Raw'!J40+'CF Raw'!J41)/'Output-FR (show)'!$A$124,'Output-FR (show)'!I75-'Output-FR (show)'!J75)</f>
        <v>1.4602999999999999</v>
      </c>
      <c r="K162" s="119">
        <f>IF(ISTEXT('CF Raw'!K$11),('CF Raw'!K40+'CF Raw'!K41)/'Output-FR (show)'!$A$124,'Output-FR (show)'!J75-'Output-FR (show)'!K75)</f>
        <v>0</v>
      </c>
      <c r="L162" s="119">
        <f>IF(ISTEXT('CF Raw'!L$11),('CF Raw'!L40+'CF Raw'!L41)/'Output-FR (show)'!$A$124,'Output-FR (show)'!K75-'Output-FR (show)'!L75)</f>
        <v>0</v>
      </c>
      <c r="M162" s="119">
        <f>IF(ISTEXT('CF Raw'!M$11),('CF Raw'!M40+'CF Raw'!M41)/'Output-FR (show)'!$A$124,'Output-FR (show)'!L75-'Output-FR (show)'!M75)</f>
        <v>0</v>
      </c>
      <c r="N162" s="119">
        <f>IF(ISTEXT('CF Raw'!N$11),('CF Raw'!N40+'CF Raw'!N41)/'Output-FR (show)'!$A$124,'Output-FR (show)'!M75-'Output-FR (show)'!N75)</f>
        <v>0</v>
      </c>
      <c r="O162" s="119">
        <f>IF(ISTEXT('CF Raw'!O$11),('CF Raw'!O40+'CF Raw'!O41)/'Output-FR (show)'!$A$124,'Output-FR (show)'!N75-'Output-FR (show)'!O75)</f>
        <v>13</v>
      </c>
      <c r="P162" s="671">
        <f>IF(ISTEXT('CF Raw'!P$11),('CF Raw'!P40+'CF Raw'!P41)/'Output-FR (show)'!$A$124,'Output-FR (show)'!O75-'Output-FR (show)'!P75)</f>
        <v>0</v>
      </c>
      <c r="Q162" s="172">
        <f>IF(ISTEXT('CF Raw'!Q$11),('CF Raw'!Q40+'CF Raw'!Q41)/'Output-FR (show)'!$A$124,'Output-FR (show)'!P75-'Output-FR (show)'!Q75)</f>
        <v>0</v>
      </c>
      <c r="R162" s="172">
        <f>IF(ISTEXT('CF Raw'!R$11),('CF Raw'!R40+'CF Raw'!R41)/'Output-FR (show)'!$A$124,'Output-FR (show)'!Q75-'Output-FR (show)'!R75)</f>
        <v>0</v>
      </c>
      <c r="S162" s="172">
        <f>IF(ISTEXT('CF Raw'!S$11),('CF Raw'!S40+'CF Raw'!S41)/'Output-FR (show)'!$A$124,'Output-FR (show)'!R75-'Output-FR (show)'!S75)</f>
        <v>0</v>
      </c>
      <c r="T162" s="172">
        <f>IF(ISTEXT('CF Raw'!T$11),('CF Raw'!T40+'CF Raw'!T41)/'Output-FR (show)'!$A$124,'Output-FR (show)'!S75-'Output-FR (show)'!T75)</f>
        <v>0</v>
      </c>
      <c r="U162" s="172">
        <f>IF(ISTEXT('CF Raw'!U$11),('CF Raw'!U40+'CF Raw'!U41)/'Output-FR (show)'!$A$124,'Output-FR (show)'!T75-'Output-FR (show)'!U75)</f>
        <v>0</v>
      </c>
      <c r="V162" s="172">
        <f>IF(ISTEXT('CF Raw'!V$11),('CF Raw'!V40+'CF Raw'!V41)/'Output-FR (show)'!$A$124,'Output-FR (show)'!U75-'Output-FR (show)'!V75)</f>
        <v>0</v>
      </c>
      <c r="W162" s="172">
        <f>IF(ISTEXT('CF Raw'!W$11),('CF Raw'!W40+'CF Raw'!W41)/'Output-FR (show)'!$A$124,'Output-FR (show)'!V75-'Output-FR (show)'!W75)</f>
        <v>0</v>
      </c>
      <c r="X162" s="172">
        <f>IF(ISTEXT('CF Raw'!X$11),('CF Raw'!X40+'CF Raw'!X41)/'Output-FR (show)'!$A$124,'Output-FR (show)'!W75-'Output-FR (show)'!X75)</f>
        <v>0</v>
      </c>
      <c r="Y162" s="172">
        <f>IF(ISTEXT('CF Raw'!Y$11),('CF Raw'!Y40+'CF Raw'!Y41)/'Output-FR (show)'!$A$124,'Output-FR (show)'!X75-'Output-FR (show)'!Y75)</f>
        <v>0</v>
      </c>
      <c r="Z162" s="172">
        <f>IF(ISTEXT('CF Raw'!Z$11),('CF Raw'!Z40+'CF Raw'!Z41)/'Output-FR (show)'!$A$124,'Output-FR (show)'!Y75-'Output-FR (show)'!Z75)</f>
        <v>0</v>
      </c>
      <c r="AA162" s="172"/>
      <c r="AB162" s="173"/>
      <c r="AC162" s="173"/>
      <c r="AD162" s="173"/>
      <c r="AE162" s="173"/>
      <c r="AF162" s="173"/>
      <c r="AG162" s="173"/>
      <c r="AH162" s="173"/>
      <c r="AI162" s="173"/>
      <c r="AJ162" s="173"/>
      <c r="AK162" s="173"/>
      <c r="AL162" s="173"/>
      <c r="AM162" s="173"/>
      <c r="AN162" s="173"/>
      <c r="AO162" s="173"/>
      <c r="AP162" s="173"/>
      <c r="AQ162" s="173"/>
      <c r="AR162" s="173"/>
      <c r="AS162" s="173"/>
      <c r="AT162" s="173"/>
      <c r="AU162" s="173"/>
      <c r="AV162" s="173"/>
      <c r="AW162" s="173"/>
      <c r="AX162" s="173"/>
      <c r="AY162" s="173"/>
      <c r="AZ162" s="173"/>
      <c r="BA162" s="173"/>
    </row>
    <row r="163" spans="1:53" x14ac:dyDescent="0.25">
      <c r="A163" s="780"/>
      <c r="B163" s="2337" t="s">
        <v>1364</v>
      </c>
      <c r="C163" s="783" t="s">
        <v>1365</v>
      </c>
      <c r="D163" s="784"/>
      <c r="E163" s="759"/>
      <c r="F163" s="759"/>
      <c r="G163" s="759"/>
      <c r="H163" s="759"/>
      <c r="I163" s="760">
        <f>SUM(I158:I162)</f>
        <v>-118.802691815</v>
      </c>
      <c r="J163" s="760">
        <f>SUM(J158:J162)</f>
        <v>-134.74189382500001</v>
      </c>
      <c r="K163" s="760">
        <f t="shared" ref="K163:Z163" si="56">SUM(K158:K162)</f>
        <v>-266.24702403499998</v>
      </c>
      <c r="L163" s="760">
        <f t="shared" si="56"/>
        <v>-71.343338596999999</v>
      </c>
      <c r="M163" s="760">
        <f t="shared" si="56"/>
        <v>68.702907788999994</v>
      </c>
      <c r="N163" s="760">
        <f t="shared" si="56"/>
        <v>-19.252487611999996</v>
      </c>
      <c r="O163" s="760">
        <f t="shared" si="56"/>
        <v>-2.1428754509999948</v>
      </c>
      <c r="P163" s="761">
        <f t="shared" si="56"/>
        <v>-45.86</v>
      </c>
      <c r="Q163" s="762">
        <f t="shared" ca="1" si="56"/>
        <v>-432.52865580317575</v>
      </c>
      <c r="R163" s="762">
        <f t="shared" ca="1" si="56"/>
        <v>-344.3492195006711</v>
      </c>
      <c r="S163" s="762">
        <f t="shared" ca="1" si="56"/>
        <v>-203.53816994122164</v>
      </c>
      <c r="T163" s="762">
        <f t="shared" ca="1" si="56"/>
        <v>-165.40261366368011</v>
      </c>
      <c r="U163" s="762">
        <f t="shared" ca="1" si="56"/>
        <v>-147.58429820878868</v>
      </c>
      <c r="V163" s="762">
        <f t="shared" ca="1" si="56"/>
        <v>-235.07605612241679</v>
      </c>
      <c r="W163" s="762">
        <f t="shared" ca="1" si="56"/>
        <v>-105.1954869305161</v>
      </c>
      <c r="X163" s="762">
        <f t="shared" ca="1" si="56"/>
        <v>-119.90425822972175</v>
      </c>
      <c r="Y163" s="762">
        <f t="shared" ca="1" si="56"/>
        <v>-180.45032129645651</v>
      </c>
      <c r="Z163" s="762">
        <f t="shared" ca="1" si="56"/>
        <v>-110.60573159644979</v>
      </c>
      <c r="AA163" s="762"/>
      <c r="AB163" s="763"/>
      <c r="AC163" s="763"/>
      <c r="AD163" s="763"/>
      <c r="AE163" s="763"/>
      <c r="AF163" s="763"/>
      <c r="AG163" s="763"/>
      <c r="AH163" s="763"/>
      <c r="AI163" s="763"/>
      <c r="AJ163" s="763"/>
      <c r="AK163" s="763"/>
      <c r="AL163" s="763"/>
      <c r="AM163" s="763"/>
      <c r="AN163" s="763"/>
      <c r="AO163" s="763"/>
      <c r="AP163" s="763"/>
      <c r="AQ163" s="763"/>
      <c r="AR163" s="763"/>
      <c r="AS163" s="763"/>
      <c r="AT163" s="763"/>
      <c r="AU163" s="763"/>
      <c r="AV163" s="763"/>
      <c r="AW163" s="763"/>
      <c r="AX163" s="763"/>
      <c r="AY163" s="763"/>
      <c r="AZ163" s="763"/>
      <c r="BA163" s="763"/>
    </row>
    <row r="164" spans="1:53" x14ac:dyDescent="0.25">
      <c r="A164" s="642"/>
      <c r="B164" s="785" t="s">
        <v>468</v>
      </c>
      <c r="C164" s="770"/>
      <c r="D164" s="66"/>
      <c r="E164" s="428"/>
      <c r="F164" s="428"/>
      <c r="G164" s="428"/>
      <c r="H164" s="428"/>
      <c r="I164" s="429">
        <f>IF(ISTEXT('CF Raw'!I$11),I163-'CF Raw'!I43/'Output-FR (show)'!$A$124,"Chưa có BCTC")</f>
        <v>0</v>
      </c>
      <c r="J164" s="429">
        <f>IF(ISTEXT('CF Raw'!J$11),J163-'CF Raw'!J43/'Output-FR (show)'!$A$124,"Chưa có BCTC")</f>
        <v>0</v>
      </c>
      <c r="K164" s="429">
        <f>IF(ISTEXT('CF Raw'!K$11),K163-'CF Raw'!K43/'Output-FR (show)'!$A$124,"Chưa có BCTC")</f>
        <v>0</v>
      </c>
      <c r="L164" s="429">
        <f>IF(ISTEXT('CF Raw'!L$11),L163-'CF Raw'!L43/'Output-FR (show)'!$A$124,"Chưa có BCTC")</f>
        <v>0</v>
      </c>
      <c r="M164" s="429">
        <f>IF(ISTEXT('CF Raw'!M$11),M163-'CF Raw'!M43/'Output-FR (show)'!$A$124,"Chưa có BCTC")</f>
        <v>0</v>
      </c>
      <c r="N164" s="429">
        <f>IF(ISTEXT('CF Raw'!N$11),N163-'CF Raw'!N43/'Output-FR (show)'!$A$124,"Chưa có BCTC")</f>
        <v>3.5527136788005009E-15</v>
      </c>
      <c r="O164" s="429">
        <f>IF(ISTEXT('CF Raw'!O$11),O163-'CF Raw'!O43/'Output-FR (show)'!$A$124,"Chưa có BCTC")</f>
        <v>5.3290705182007514E-15</v>
      </c>
      <c r="P164" s="786">
        <f>IF(ISTEXT('CF Raw'!P$11),P163-'CF Raw'!P43/'Output-FR (show)'!$A$124,"Chưa có BCTC")</f>
        <v>0</v>
      </c>
      <c r="Q164" s="1894" t="str">
        <f>IF(ISTEXT('CF Raw'!Q$11),Q163-'CF Raw'!Q43/'Output-FR (show)'!$A$124,"Chưa có BCTC")</f>
        <v>Chưa có BCTC</v>
      </c>
      <c r="R164" s="1894" t="str">
        <f>IF(ISTEXT('CF Raw'!R$11),R163-'CF Raw'!R43/'Output-FR (show)'!$A$124,"Chưa có BCTC")</f>
        <v>Chưa có BCTC</v>
      </c>
      <c r="S164" s="1894" t="str">
        <f>IF(ISTEXT('CF Raw'!S$11),S163-'CF Raw'!S43/'Output-FR (show)'!$A$124,"Chưa có BCTC")</f>
        <v>Chưa có BCTC</v>
      </c>
      <c r="T164" s="1894" t="str">
        <f>IF(ISTEXT('CF Raw'!T$11),T163-'CF Raw'!T43/'Output-FR (show)'!$A$124,"Chưa có BCTC")</f>
        <v>Chưa có BCTC</v>
      </c>
      <c r="U164" s="1894" t="str">
        <f>IF(ISTEXT('CF Raw'!U$11),U163-'CF Raw'!U43/'Output-FR (show)'!$A$124,"Chưa có BCTC")</f>
        <v>Chưa có BCTC</v>
      </c>
      <c r="V164" s="1894" t="str">
        <f>IF(ISTEXT('CF Raw'!V$11),V163-'CF Raw'!V43/'Output-FR (show)'!$A$124,"Chưa có BCTC")</f>
        <v>Chưa có BCTC</v>
      </c>
      <c r="W164" s="1894" t="str">
        <f>IF(ISTEXT('CF Raw'!W$11),W163-'CF Raw'!W43/'Output-FR (show)'!$A$124,"Chưa có BCTC")</f>
        <v>Chưa có BCTC</v>
      </c>
      <c r="X164" s="1894" t="str">
        <f>IF(ISTEXT('CF Raw'!X$11),X163-'CF Raw'!X43/'Output-FR (show)'!$A$124,"Chưa có BCTC")</f>
        <v>Chưa có BCTC</v>
      </c>
      <c r="Y164" s="1894" t="str">
        <f>IF(ISTEXT('CF Raw'!Y$11),Y163-'CF Raw'!Y43/'Output-FR (show)'!$A$124,"Chưa có BCTC")</f>
        <v>Chưa có BCTC</v>
      </c>
      <c r="Z164" s="1894" t="str">
        <f>IF(ISTEXT('CF Raw'!Z$11),Z163-'CF Raw'!Z43/'Output-FR (show)'!$A$124,"Chưa có BCTC")</f>
        <v>Chưa có BCTC</v>
      </c>
      <c r="AA164" s="1894"/>
      <c r="AB164" s="1895"/>
      <c r="AC164" s="1895"/>
      <c r="AD164" s="1895"/>
      <c r="AE164" s="1895"/>
      <c r="AF164" s="1895"/>
      <c r="AG164" s="1895"/>
      <c r="AH164" s="1895"/>
      <c r="AI164" s="1895"/>
      <c r="AJ164" s="1895"/>
      <c r="AK164" s="1895"/>
      <c r="AL164" s="1895"/>
      <c r="AM164" s="1895"/>
      <c r="AN164" s="1895"/>
      <c r="AO164" s="1895"/>
      <c r="AP164" s="1895"/>
      <c r="AQ164" s="1895"/>
      <c r="AR164" s="1895"/>
      <c r="AS164" s="787"/>
      <c r="AT164" s="787"/>
      <c r="AU164" s="787"/>
      <c r="AV164" s="787"/>
      <c r="AW164" s="787"/>
      <c r="AX164" s="787"/>
      <c r="AY164" s="787"/>
      <c r="AZ164" s="787"/>
      <c r="BA164" s="787"/>
    </row>
    <row r="165" spans="1:53" x14ac:dyDescent="0.25">
      <c r="A165" s="642"/>
      <c r="B165" s="770"/>
      <c r="C165" s="770"/>
      <c r="D165" s="66"/>
      <c r="E165" s="118"/>
      <c r="F165" s="118"/>
      <c r="G165" s="118"/>
      <c r="H165" s="118"/>
      <c r="I165" s="118"/>
      <c r="J165" s="118"/>
      <c r="K165" s="118"/>
      <c r="L165" s="118"/>
      <c r="M165" s="118"/>
      <c r="N165" s="118"/>
      <c r="O165" s="118"/>
      <c r="P165" s="218"/>
      <c r="Q165" s="118"/>
      <c r="R165" s="118"/>
      <c r="S165" s="118"/>
      <c r="T165" s="118"/>
      <c r="U165" s="118"/>
      <c r="V165" s="118"/>
      <c r="W165" s="118"/>
      <c r="X165" s="118"/>
      <c r="Y165" s="118"/>
      <c r="Z165" s="118"/>
      <c r="AA165" s="173"/>
      <c r="AB165" s="173"/>
      <c r="AC165" s="173"/>
      <c r="AD165" s="173"/>
      <c r="AE165" s="173"/>
      <c r="AF165" s="173"/>
      <c r="AG165" s="173"/>
      <c r="AH165" s="173"/>
      <c r="AI165" s="173"/>
      <c r="AJ165" s="173"/>
      <c r="AK165" s="173"/>
      <c r="AL165" s="173"/>
      <c r="AM165" s="173"/>
      <c r="AN165" s="173"/>
      <c r="AO165" s="173"/>
      <c r="AP165" s="173"/>
      <c r="AQ165" s="173"/>
      <c r="AR165" s="173"/>
      <c r="AS165" s="118"/>
      <c r="AT165" s="118"/>
      <c r="AU165" s="118"/>
      <c r="AV165" s="118"/>
      <c r="AW165" s="118"/>
      <c r="AX165" s="118"/>
      <c r="AY165" s="118"/>
      <c r="AZ165" s="118"/>
      <c r="BA165" s="118"/>
    </row>
    <row r="166" spans="1:53" x14ac:dyDescent="0.25">
      <c r="A166" s="642"/>
      <c r="B166" s="2333" t="s">
        <v>1366</v>
      </c>
      <c r="C166" s="770" t="s">
        <v>1367</v>
      </c>
      <c r="D166" s="66"/>
      <c r="E166" s="118"/>
      <c r="F166" s="118"/>
      <c r="G166" s="118"/>
      <c r="H166" s="118"/>
      <c r="I166" s="119">
        <f>IF(ISTEXT('CF Raw'!I$11),('CF Raw'!I46+'CF Raw'!I47)/'Output-FR (show)'!$A$124,'Output-FR (show)'!I82-'Output-FR (show)'!H82)</f>
        <v>73.616521999000042</v>
      </c>
      <c r="J166" s="119">
        <f>IF(ISTEXT('CF Raw'!J$11),('CF Raw'!J46+'CF Raw'!J47)/'Output-FR (show)'!$A$124,'Output-FR (show)'!J82-'Output-FR (show)'!I82)</f>
        <v>-28.558979695000005</v>
      </c>
      <c r="K166" s="119">
        <f>IF(ISTEXT('CF Raw'!K$11),('CF Raw'!K46+'CF Raw'!K47)/'Output-FR (show)'!$A$124,'Output-FR (show)'!K82-'Output-FR (show)'!J82)</f>
        <v>-11.967708891000001</v>
      </c>
      <c r="L166" s="119">
        <f>IF(ISTEXT('CF Raw'!L$11),('CF Raw'!L46+'CF Raw'!L47)/'Output-FR (show)'!$A$124,'Output-FR (show)'!L82-'Output-FR (show)'!K82)</f>
        <v>119.34790403199997</v>
      </c>
      <c r="M166" s="119">
        <f>IF(ISTEXT('CF Raw'!M$11),('CF Raw'!M46+'CF Raw'!M47)/'Output-FR (show)'!$A$124,'Output-FR (show)'!M82-'Output-FR (show)'!L82)</f>
        <v>-101.93763064299998</v>
      </c>
      <c r="N166" s="119">
        <f>IF(ISTEXT('CF Raw'!N$11),('CF Raw'!N46+'CF Raw'!N47)/'Output-FR (show)'!$A$124,'Output-FR (show)'!N82-'Output-FR (show)'!M82)</f>
        <v>144.42526952499998</v>
      </c>
      <c r="O166" s="119">
        <f>IF(ISTEXT('CF Raw'!O$11),('CF Raw'!O46+'CF Raw'!O47)/'Output-FR (show)'!$A$124,'Output-FR (show)'!O82-'Output-FR (show)'!N82)</f>
        <v>-159.698652998</v>
      </c>
      <c r="P166" s="671">
        <f>IF(ISTEXT('CF Raw'!P$11),('CF Raw'!P46+'CF Raw'!P47)/'Output-FR (show)'!$A$124,'Output-FR (show)'!P82-'Output-FR (show)'!O82)</f>
        <v>0.93</v>
      </c>
      <c r="Q166" s="172">
        <f ca="1">IF(ISTEXT('CF Raw'!Q$11),('CF Raw'!Q46+'CF Raw'!Q47)/'Output-FR (show)'!$A$124,'Output-FR (show)'!Q82-'Output-FR (show)'!P82)</f>
        <v>51.618032544887974</v>
      </c>
      <c r="R166" s="172">
        <f ca="1">IF(ISTEXT('CF Raw'!R$11),('CF Raw'!R46+'CF Raw'!R47)/'Output-FR (show)'!$A$124,'Output-FR (show)'!R82-'Output-FR (show)'!Q82)</f>
        <v>3.422799430765636</v>
      </c>
      <c r="S166" s="172">
        <f ca="1">IF(ISTEXT('CF Raw'!S$11),('CF Raw'!S46+'CF Raw'!S47)/'Output-FR (show)'!$A$124,'Output-FR (show)'!S82-'Output-FR (show)'!R82)</f>
        <v>18.890978741311883</v>
      </c>
      <c r="T166" s="172">
        <f ca="1">IF(ISTEXT('CF Raw'!T$11),('CF Raw'!T46+'CF Raw'!T47)/'Output-FR (show)'!$A$124,'Output-FR (show)'!T82-'Output-FR (show)'!S82)</f>
        <v>6.3741210996716546</v>
      </c>
      <c r="U166" s="172">
        <f ca="1">IF(ISTEXT('CF Raw'!U$11),('CF Raw'!U46+'CF Raw'!U47)/'Output-FR (show)'!$A$124,'Output-FR (show)'!U82-'Output-FR (show)'!T82)</f>
        <v>6.1876155768595993</v>
      </c>
      <c r="V166" s="172">
        <f ca="1">IF(ISTEXT('CF Raw'!V$11),('CF Raw'!V46+'CF Raw'!V47)/'Output-FR (show)'!$A$124,'Output-FR (show)'!V82-'Output-FR (show)'!U82)</f>
        <v>5.7888483672407602</v>
      </c>
      <c r="W166" s="172">
        <f ca="1">IF(ISTEXT('CF Raw'!W$11),('CF Raw'!W46+'CF Raw'!W47)/'Output-FR (show)'!$A$124,'Output-FR (show)'!W82-'Output-FR (show)'!V82)</f>
        <v>7.8559724680127232</v>
      </c>
      <c r="X166" s="172">
        <f ca="1">IF(ISTEXT('CF Raw'!X$11),('CF Raw'!X46+'CF Raw'!X47)/'Output-FR (show)'!$A$124,'Output-FR (show)'!X82-'Output-FR (show)'!W82)</f>
        <v>18.15270309406111</v>
      </c>
      <c r="Y166" s="172">
        <f ca="1">IF(ISTEXT('CF Raw'!Y$11),('CF Raw'!Y46+'CF Raw'!Y47)/'Output-FR (show)'!$A$124,'Output-FR (show)'!Y82-'Output-FR (show)'!X82)</f>
        <v>7.3098452452376534</v>
      </c>
      <c r="Z166" s="172">
        <f ca="1">IF(ISTEXT('CF Raw'!Z$11),('CF Raw'!Z46+'CF Raw'!Z47)/'Output-FR (show)'!$A$124,'Output-FR (show)'!Z82-'Output-FR (show)'!Y82)</f>
        <v>12.251791820274974</v>
      </c>
      <c r="AA166" s="172"/>
      <c r="AB166" s="173"/>
      <c r="AC166" s="173"/>
      <c r="AD166" s="173"/>
      <c r="AE166" s="173"/>
      <c r="AF166" s="173"/>
      <c r="AG166" s="173"/>
      <c r="AH166" s="173"/>
      <c r="AI166" s="173"/>
      <c r="AJ166" s="173"/>
      <c r="AK166" s="173"/>
      <c r="AL166" s="173"/>
      <c r="AM166" s="173"/>
      <c r="AN166" s="173"/>
      <c r="AO166" s="173"/>
      <c r="AP166" s="173"/>
      <c r="AQ166" s="173"/>
      <c r="AR166" s="173"/>
      <c r="AS166" s="173"/>
      <c r="AT166" s="173"/>
      <c r="AU166" s="173"/>
      <c r="AV166" s="173"/>
      <c r="AW166" s="173"/>
      <c r="AX166" s="173"/>
      <c r="AY166" s="173"/>
      <c r="AZ166" s="173"/>
      <c r="BA166" s="173"/>
    </row>
    <row r="167" spans="1:53" x14ac:dyDescent="0.25">
      <c r="A167" s="642"/>
      <c r="B167" s="2333" t="s">
        <v>1368</v>
      </c>
      <c r="C167" s="770" t="s">
        <v>1369</v>
      </c>
      <c r="D167" s="66"/>
      <c r="E167" s="118"/>
      <c r="F167" s="118"/>
      <c r="G167" s="118"/>
      <c r="H167" s="118"/>
      <c r="I167" s="118"/>
      <c r="J167" s="118"/>
      <c r="K167" s="118"/>
      <c r="L167" s="118"/>
      <c r="M167" s="118"/>
      <c r="N167" s="119"/>
      <c r="O167" s="119"/>
      <c r="P167" s="671"/>
      <c r="Q167" s="172">
        <f>+'Output-FR (show)'!Q92-'Output-FR (show)'!P92</f>
        <v>161.32783785126321</v>
      </c>
      <c r="R167" s="172">
        <f>+'Output-FR (show)'!R92-'Output-FR (show)'!Q92</f>
        <v>90.199263001940437</v>
      </c>
      <c r="S167" s="172">
        <f>+'Output-FR (show)'!S92-'Output-FR (show)'!R92</f>
        <v>-60.339275302373551</v>
      </c>
      <c r="T167" s="172">
        <f>+'Output-FR (show)'!T92-'Output-FR (show)'!S92</f>
        <v>-87.771140697858328</v>
      </c>
      <c r="U167" s="172">
        <f>+'Output-FR (show)'!U92-'Output-FR (show)'!T92</f>
        <v>-59.074769320290926</v>
      </c>
      <c r="V167" s="172">
        <f>+'Output-FR (show)'!V92-'Output-FR (show)'!U92</f>
        <v>-74.815389390881109</v>
      </c>
      <c r="W167" s="172">
        <f>+'Output-FR (show)'!W92-'Output-FR (show)'!V92</f>
        <v>-27.090291653662668</v>
      </c>
      <c r="X167" s="172">
        <f>+'Output-FR (show)'!X92-'Output-FR (show)'!W92</f>
        <v>-8.8707773622812667</v>
      </c>
      <c r="Y167" s="172">
        <f>+'Output-FR (show)'!Y92-'Output-FR (show)'!X92</f>
        <v>-6.3769714172372005</v>
      </c>
      <c r="Z167" s="172">
        <f>+'Output-FR (show)'!Z92-'Output-FR (show)'!Y92</f>
        <v>-3.1884857086186003</v>
      </c>
      <c r="AA167" s="172"/>
      <c r="AB167" s="173"/>
      <c r="AC167" s="173"/>
      <c r="AD167" s="173"/>
      <c r="AE167" s="173"/>
      <c r="AF167" s="173"/>
      <c r="AG167" s="173"/>
      <c r="AH167" s="173"/>
      <c r="AI167" s="173"/>
      <c r="AJ167" s="173"/>
      <c r="AK167" s="173"/>
      <c r="AL167" s="173"/>
      <c r="AM167" s="173"/>
      <c r="AN167" s="173"/>
      <c r="AO167" s="173"/>
      <c r="AP167" s="173"/>
      <c r="AQ167" s="173"/>
      <c r="AR167" s="173"/>
      <c r="AS167" s="173"/>
      <c r="AT167" s="173"/>
      <c r="AU167" s="173"/>
      <c r="AV167" s="173"/>
      <c r="AW167" s="173"/>
      <c r="AX167" s="173"/>
      <c r="AY167" s="173"/>
      <c r="AZ167" s="173"/>
      <c r="BA167" s="173"/>
    </row>
    <row r="168" spans="1:53" x14ac:dyDescent="0.25">
      <c r="A168" s="677"/>
      <c r="B168" s="788" t="s">
        <v>1370</v>
      </c>
      <c r="C168" s="788" t="s">
        <v>1371</v>
      </c>
      <c r="D168" s="679"/>
      <c r="E168" s="696"/>
      <c r="F168" s="696"/>
      <c r="G168" s="696"/>
      <c r="H168" s="696"/>
      <c r="I168" s="696"/>
      <c r="J168" s="696"/>
      <c r="K168" s="696"/>
      <c r="L168" s="696"/>
      <c r="M168" s="696"/>
      <c r="N168" s="696"/>
      <c r="O168" s="696"/>
      <c r="P168" s="755"/>
      <c r="Q168" s="700"/>
      <c r="R168" s="700"/>
      <c r="S168" s="700"/>
      <c r="T168" s="700"/>
      <c r="U168" s="700"/>
      <c r="V168" s="700"/>
      <c r="W168" s="700"/>
      <c r="X168" s="700"/>
      <c r="Y168" s="700"/>
      <c r="Z168" s="700"/>
      <c r="AA168" s="700"/>
      <c r="AB168" s="700"/>
      <c r="AC168" s="700"/>
      <c r="AD168" s="700"/>
      <c r="AE168" s="700"/>
      <c r="AF168" s="700"/>
      <c r="AG168" s="700"/>
      <c r="AH168" s="700"/>
      <c r="AI168" s="700"/>
      <c r="AJ168" s="700"/>
      <c r="AK168" s="700"/>
      <c r="AL168" s="700"/>
      <c r="AM168" s="700"/>
      <c r="AN168" s="700"/>
      <c r="AO168" s="700"/>
      <c r="AP168" s="700"/>
      <c r="AQ168" s="700"/>
      <c r="AR168" s="700"/>
      <c r="AS168" s="700"/>
      <c r="AT168" s="700"/>
      <c r="AU168" s="700"/>
      <c r="AV168" s="700"/>
      <c r="AW168" s="700"/>
      <c r="AX168" s="700"/>
      <c r="AY168" s="700"/>
      <c r="AZ168" s="700"/>
      <c r="BA168" s="700"/>
    </row>
    <row r="169" spans="1:53" x14ac:dyDescent="0.25">
      <c r="A169" s="677"/>
      <c r="B169" s="788" t="s">
        <v>1372</v>
      </c>
      <c r="C169" s="788" t="s">
        <v>1373</v>
      </c>
      <c r="D169" s="679"/>
      <c r="E169" s="696"/>
      <c r="F169" s="696"/>
      <c r="G169" s="696"/>
      <c r="H169" s="696"/>
      <c r="I169" s="696"/>
      <c r="J169" s="696"/>
      <c r="K169" s="696"/>
      <c r="L169" s="696"/>
      <c r="M169" s="696"/>
      <c r="N169" s="696"/>
      <c r="O169" s="696"/>
      <c r="P169" s="755"/>
      <c r="Q169" s="700"/>
      <c r="R169" s="700"/>
      <c r="S169" s="700"/>
      <c r="T169" s="700"/>
      <c r="U169" s="700"/>
      <c r="V169" s="700"/>
      <c r="W169" s="700"/>
      <c r="X169" s="700"/>
      <c r="Y169" s="700"/>
      <c r="Z169" s="700"/>
      <c r="AA169" s="700"/>
      <c r="AB169" s="700"/>
      <c r="AC169" s="700"/>
      <c r="AD169" s="700"/>
      <c r="AE169" s="700"/>
      <c r="AF169" s="700"/>
      <c r="AG169" s="700"/>
      <c r="AH169" s="700"/>
      <c r="AI169" s="700"/>
      <c r="AJ169" s="700"/>
      <c r="AK169" s="700"/>
      <c r="AL169" s="700"/>
      <c r="AM169" s="700"/>
      <c r="AN169" s="700"/>
      <c r="AO169" s="700"/>
      <c r="AP169" s="700"/>
      <c r="AQ169" s="700"/>
      <c r="AR169" s="700"/>
      <c r="AS169" s="700"/>
      <c r="AT169" s="700"/>
      <c r="AU169" s="700"/>
      <c r="AV169" s="700"/>
      <c r="AW169" s="700"/>
      <c r="AX169" s="700"/>
      <c r="AY169" s="700"/>
      <c r="AZ169" s="700"/>
      <c r="BA169" s="700"/>
    </row>
    <row r="170" spans="1:53" x14ac:dyDescent="0.25">
      <c r="A170" s="677"/>
      <c r="B170" s="788" t="s">
        <v>1374</v>
      </c>
      <c r="C170" s="788" t="s">
        <v>1375</v>
      </c>
      <c r="D170" s="679"/>
      <c r="E170" s="696"/>
      <c r="F170" s="696"/>
      <c r="G170" s="696"/>
      <c r="H170" s="696"/>
      <c r="I170" s="696"/>
      <c r="J170" s="696"/>
      <c r="K170" s="696"/>
      <c r="L170" s="696"/>
      <c r="M170" s="696"/>
      <c r="N170" s="696"/>
      <c r="O170" s="696"/>
      <c r="P170" s="755"/>
      <c r="Q170" s="700"/>
      <c r="R170" s="700"/>
      <c r="S170" s="700"/>
      <c r="T170" s="700"/>
      <c r="U170" s="700"/>
      <c r="V170" s="700"/>
      <c r="W170" s="700"/>
      <c r="X170" s="700"/>
      <c r="Y170" s="700"/>
      <c r="Z170" s="700"/>
      <c r="AA170" s="700"/>
      <c r="AB170" s="700"/>
      <c r="AC170" s="700"/>
      <c r="AD170" s="700"/>
      <c r="AE170" s="700"/>
      <c r="AF170" s="700"/>
      <c r="AG170" s="700"/>
      <c r="AH170" s="700"/>
      <c r="AI170" s="700"/>
      <c r="AJ170" s="700"/>
      <c r="AK170" s="700"/>
      <c r="AL170" s="700"/>
      <c r="AM170" s="700"/>
      <c r="AN170" s="700"/>
      <c r="AO170" s="700"/>
      <c r="AP170" s="700"/>
      <c r="AQ170" s="700"/>
      <c r="AR170" s="700"/>
      <c r="AS170" s="700"/>
      <c r="AT170" s="700"/>
      <c r="AU170" s="700"/>
      <c r="AV170" s="700"/>
      <c r="AW170" s="700"/>
      <c r="AX170" s="700"/>
      <c r="AY170" s="700"/>
      <c r="AZ170" s="700"/>
      <c r="BA170" s="700"/>
    </row>
    <row r="171" spans="1:53" x14ac:dyDescent="0.25">
      <c r="A171" s="518"/>
      <c r="B171" s="2333" t="s">
        <v>1376</v>
      </c>
      <c r="C171" s="770" t="s">
        <v>1377</v>
      </c>
      <c r="D171" s="66"/>
      <c r="E171" s="118"/>
      <c r="F171" s="118"/>
      <c r="G171" s="118"/>
      <c r="H171" s="118"/>
      <c r="I171" s="119">
        <f>'Output-FR (show)'!I96-'Output-FR (show)'!H96</f>
        <v>0</v>
      </c>
      <c r="J171" s="119">
        <f>'Output-FR (show)'!J96-'Output-FR (show)'!I96</f>
        <v>0</v>
      </c>
      <c r="K171" s="119">
        <f>'Output-FR (show)'!K96-'Output-FR (show)'!J96</f>
        <v>0</v>
      </c>
      <c r="L171" s="119">
        <f>'Output-FR (show)'!L96-'Output-FR (show)'!K96</f>
        <v>0</v>
      </c>
      <c r="M171" s="119">
        <f>'Output-FR (show)'!M96-'Output-FR (show)'!L96</f>
        <v>0</v>
      </c>
      <c r="N171" s="119">
        <f>'Output-FR (show)'!N96-'Output-FR (show)'!M96</f>
        <v>0</v>
      </c>
      <c r="O171" s="119">
        <f>'Output-FR (show)'!O96-'Output-FR (show)'!N96</f>
        <v>0</v>
      </c>
      <c r="P171" s="671">
        <f>'Output-FR (show)'!P96-'Output-FR (show)'!O96</f>
        <v>0</v>
      </c>
      <c r="Q171" s="172">
        <f>'Output-FR (show)'!Q96-'Output-FR (show)'!P96</f>
        <v>0</v>
      </c>
      <c r="R171" s="172">
        <f>'Output-FR (show)'!R96-'Output-FR (show)'!Q96</f>
        <v>0</v>
      </c>
      <c r="S171" s="172">
        <f>'Output-FR (show)'!S96-'Output-FR (show)'!R96</f>
        <v>0</v>
      </c>
      <c r="T171" s="172">
        <f>'Output-FR (show)'!T96-'Output-FR (show)'!S96</f>
        <v>0</v>
      </c>
      <c r="U171" s="172">
        <f>'Output-FR (show)'!U96-'Output-FR (show)'!T96</f>
        <v>0</v>
      </c>
      <c r="V171" s="172">
        <f>'Output-FR (show)'!V96-'Output-FR (show)'!U96</f>
        <v>0</v>
      </c>
      <c r="W171" s="172">
        <f>'Output-FR (show)'!W96-'Output-FR (show)'!V96</f>
        <v>0</v>
      </c>
      <c r="X171" s="172">
        <f>'Output-FR (show)'!X96-'Output-FR (show)'!W96</f>
        <v>0</v>
      </c>
      <c r="Y171" s="172">
        <f>'Output-FR (show)'!Y96-'Output-FR (show)'!X96</f>
        <v>0</v>
      </c>
      <c r="Z171" s="172">
        <f>'Output-FR (show)'!Z96-'Output-FR (show)'!Y96</f>
        <v>0</v>
      </c>
      <c r="AA171" s="172"/>
      <c r="AB171" s="173"/>
      <c r="AC171" s="173"/>
      <c r="AD171" s="173"/>
      <c r="AE171" s="173"/>
      <c r="AF171" s="173"/>
      <c r="AG171" s="173"/>
      <c r="AH171" s="173"/>
      <c r="AI171" s="173"/>
      <c r="AJ171" s="173"/>
      <c r="AK171" s="173"/>
      <c r="AL171" s="173"/>
      <c r="AM171" s="173"/>
      <c r="AN171" s="173"/>
      <c r="AO171" s="173"/>
      <c r="AP171" s="173"/>
      <c r="AQ171" s="173"/>
      <c r="AR171" s="173"/>
      <c r="AS171" s="173"/>
      <c r="AT171" s="173"/>
      <c r="AU171" s="173"/>
      <c r="AV171" s="173"/>
      <c r="AW171" s="173"/>
      <c r="AX171" s="173"/>
      <c r="AY171" s="173"/>
      <c r="AZ171" s="173"/>
      <c r="BA171" s="173"/>
    </row>
    <row r="172" spans="1:53" x14ac:dyDescent="0.25">
      <c r="A172" s="642"/>
      <c r="B172" s="2338" t="s">
        <v>1272</v>
      </c>
      <c r="C172" s="29" t="s">
        <v>1378</v>
      </c>
      <c r="D172" s="66"/>
      <c r="E172" s="118"/>
      <c r="F172" s="118"/>
      <c r="G172" s="118"/>
      <c r="H172" s="118"/>
      <c r="I172" s="119">
        <f>IF(ISTEXT('CF Raw'!I$11),'CF Raw'!I49/'Output-FR (show)'!$A$124,I173+I174)</f>
        <v>-31.5280995</v>
      </c>
      <c r="J172" s="119">
        <f>IF(ISTEXT('CF Raw'!J$11),'CF Raw'!J49/'Output-FR (show)'!$A$124,J173+J174)</f>
        <v>-26.80396</v>
      </c>
      <c r="K172" s="119">
        <f>IF(ISTEXT('CF Raw'!K$11),'CF Raw'!K49/'Output-FR (show)'!$A$124,K173+K174)</f>
        <v>-36.637738949999999</v>
      </c>
      <c r="L172" s="119">
        <f>IF(ISTEXT('CF Raw'!L$11),'CF Raw'!L49/'Output-FR (show)'!$A$124,L173+L174)</f>
        <v>-104.76584549899999</v>
      </c>
      <c r="M172" s="119">
        <f>IF(ISTEXT('CF Raw'!M$11),'CF Raw'!M49/'Output-FR (show)'!$A$124,M173+M174)</f>
        <v>-78.569595601000003</v>
      </c>
      <c r="N172" s="119">
        <f>IF(ISTEXT('CF Raw'!N$11),'CF Raw'!N49/'Output-FR (show)'!$A$124,N173+N174)</f>
        <v>-78.531146274999998</v>
      </c>
      <c r="O172" s="119">
        <f>IF(ISTEXT('CF Raw'!O$11),'CF Raw'!O49/'Output-FR (show)'!$A$124,O173+O174)</f>
        <v>-78.547526175000002</v>
      </c>
      <c r="P172" s="671">
        <f>IF(ISTEXT('CF Raw'!P$11),'CF Raw'!P49/'Output-FR (show)'!$A$124,P173+P174)</f>
        <v>0</v>
      </c>
      <c r="Q172" s="172">
        <f>IF(ISTEXT('CF Raw'!Q$11),'CF Raw'!Q49/'Output-FR (show)'!$A$124,Q173+Q174)</f>
        <v>-28.786179500000003</v>
      </c>
      <c r="R172" s="172">
        <f>IF(ISTEXT('CF Raw'!R$11),'CF Raw'!R49/'Output-FR (show)'!$A$124,R173+R174)</f>
        <v>-28.786179500000003</v>
      </c>
      <c r="S172" s="172">
        <f>IF(ISTEXT('CF Raw'!S$11),'CF Raw'!S49/'Output-FR (show)'!$A$124,S173+S174)</f>
        <v>-57.572359000000006</v>
      </c>
      <c r="T172" s="172">
        <f>IF(ISTEXT('CF Raw'!T$11),'CF Raw'!T49/'Output-FR (show)'!$A$124,T173+T174)</f>
        <v>-115.14471800000001</v>
      </c>
      <c r="U172" s="172">
        <f>IF(ISTEXT('CF Raw'!U$11),'CF Raw'!U49/'Output-FR (show)'!$A$124,U173+U174)</f>
        <v>-115.14471800000001</v>
      </c>
      <c r="V172" s="172">
        <f>IF(ISTEXT('CF Raw'!V$11),'CF Raw'!V49/'Output-FR (show)'!$A$124,V173+V174)</f>
        <v>-143.93089749999999</v>
      </c>
      <c r="W172" s="172">
        <f>IF(ISTEXT('CF Raw'!W$11),'CF Raw'!W49/'Output-FR (show)'!$A$124,W173+W174)</f>
        <v>-201.50325649999999</v>
      </c>
      <c r="X172" s="172">
        <f>IF(ISTEXT('CF Raw'!X$11),'CF Raw'!X49/'Output-FR (show)'!$A$124,X173+X174)</f>
        <v>-201.50325649999999</v>
      </c>
      <c r="Y172" s="172">
        <f>IF(ISTEXT('CF Raw'!Y$11),'CF Raw'!Y49/'Output-FR (show)'!$A$124,Y173+Y174)</f>
        <v>-287.86179499999997</v>
      </c>
      <c r="Z172" s="172">
        <f>IF(ISTEXT('CF Raw'!Z$11),'CF Raw'!Z49/'Output-FR (show)'!$A$124,Z173+Z174)</f>
        <v>-316.64797450000003</v>
      </c>
      <c r="AA172" s="172"/>
      <c r="AB172" s="173"/>
      <c r="AC172" s="173"/>
      <c r="AD172" s="173"/>
      <c r="AE172" s="173"/>
      <c r="AF172" s="173"/>
      <c r="AG172" s="173"/>
      <c r="AH172" s="173"/>
      <c r="AI172" s="173"/>
      <c r="AJ172" s="173"/>
      <c r="AK172" s="173"/>
      <c r="AL172" s="173"/>
      <c r="AM172" s="173"/>
      <c r="AN172" s="173"/>
      <c r="AO172" s="173"/>
      <c r="AP172" s="173"/>
      <c r="AQ172" s="173"/>
      <c r="AR172" s="173"/>
      <c r="AS172" s="173"/>
      <c r="AT172" s="173"/>
      <c r="AU172" s="173"/>
      <c r="AV172" s="173"/>
      <c r="AW172" s="173"/>
      <c r="AX172" s="173"/>
      <c r="AY172" s="173"/>
      <c r="AZ172" s="173"/>
      <c r="BA172" s="173"/>
    </row>
    <row r="173" spans="1:53" x14ac:dyDescent="0.25">
      <c r="A173" s="677"/>
      <c r="B173" s="2339" t="s">
        <v>1270</v>
      </c>
      <c r="C173" s="788" t="s">
        <v>489</v>
      </c>
      <c r="D173" s="679"/>
      <c r="E173" s="696"/>
      <c r="F173" s="696"/>
      <c r="G173" s="696"/>
      <c r="H173" s="696"/>
      <c r="I173" s="697">
        <f>-'Output-FR (show)'!I39</f>
        <v>0</v>
      </c>
      <c r="J173" s="697">
        <f>-'Output-FR (show)'!J39</f>
        <v>0</v>
      </c>
      <c r="K173" s="697">
        <f>-'Output-FR (show)'!K39</f>
        <v>0</v>
      </c>
      <c r="L173" s="697">
        <f>-'Output-FR (show)'!L39</f>
        <v>0</v>
      </c>
      <c r="M173" s="697">
        <f>-'Output-FR (show)'!M39</f>
        <v>0</v>
      </c>
      <c r="N173" s="697">
        <f>-'Output-FR (show)'!N39</f>
        <v>0</v>
      </c>
      <c r="O173" s="697">
        <f>-'Output-FR (show)'!O39</f>
        <v>0</v>
      </c>
      <c r="P173" s="698">
        <f>-'Output-FR (show)'!P39</f>
        <v>0</v>
      </c>
      <c r="Q173" s="699">
        <f>-'Output-FR (show)'!Q39</f>
        <v>0</v>
      </c>
      <c r="R173" s="699">
        <f>-'Output-FR (show)'!R39</f>
        <v>0</v>
      </c>
      <c r="S173" s="699">
        <f>-'Output-FR (show)'!S39</f>
        <v>0</v>
      </c>
      <c r="T173" s="699">
        <f>-'Output-FR (show)'!T39</f>
        <v>0</v>
      </c>
      <c r="U173" s="699">
        <f>-'Output-FR (show)'!U39</f>
        <v>0</v>
      </c>
      <c r="V173" s="699">
        <f>-'Output-FR (show)'!V39</f>
        <v>0</v>
      </c>
      <c r="W173" s="699">
        <f>-'Output-FR (show)'!W39</f>
        <v>0</v>
      </c>
      <c r="X173" s="699">
        <f>-'Output-FR (show)'!X39</f>
        <v>0</v>
      </c>
      <c r="Y173" s="699">
        <f>-'Output-FR (show)'!Y39</f>
        <v>0</v>
      </c>
      <c r="Z173" s="699">
        <f>-'Output-FR (show)'!Z39</f>
        <v>0</v>
      </c>
      <c r="AA173" s="699"/>
      <c r="AB173" s="700"/>
      <c r="AC173" s="700"/>
      <c r="AD173" s="700"/>
      <c r="AE173" s="700"/>
      <c r="AF173" s="700"/>
      <c r="AG173" s="700"/>
      <c r="AH173" s="700"/>
      <c r="AI173" s="700"/>
      <c r="AJ173" s="700"/>
      <c r="AK173" s="700"/>
      <c r="AL173" s="700"/>
      <c r="AM173" s="700"/>
      <c r="AN173" s="700"/>
      <c r="AO173" s="700"/>
      <c r="AP173" s="700"/>
      <c r="AQ173" s="700"/>
      <c r="AR173" s="700"/>
      <c r="AS173" s="700"/>
      <c r="AT173" s="700"/>
      <c r="AU173" s="700"/>
      <c r="AV173" s="700"/>
      <c r="AW173" s="700"/>
      <c r="AX173" s="700"/>
      <c r="AY173" s="700"/>
      <c r="AZ173" s="700"/>
      <c r="BA173" s="700"/>
    </row>
    <row r="174" spans="1:53" x14ac:dyDescent="0.25">
      <c r="A174" s="677"/>
      <c r="B174" s="2339" t="s">
        <v>1379</v>
      </c>
      <c r="C174" s="788" t="s">
        <v>495</v>
      </c>
      <c r="D174" s="679"/>
      <c r="E174" s="696"/>
      <c r="F174" s="696"/>
      <c r="G174" s="696"/>
      <c r="H174" s="696"/>
      <c r="I174" s="697">
        <f>-'Output-FR (show)'!I42</f>
        <v>-62.8</v>
      </c>
      <c r="J174" s="697">
        <f>-'Output-FR (show)'!J42</f>
        <v>-62.8</v>
      </c>
      <c r="K174" s="697">
        <f>-'Output-FR (show)'!K42</f>
        <v>-78.599999999999994</v>
      </c>
      <c r="L174" s="697">
        <f>-'Output-FR (show)'!L42</f>
        <v>-78.5685</v>
      </c>
      <c r="M174" s="697">
        <f>-'Output-FR (show)'!M42</f>
        <v>-78.568372499999995</v>
      </c>
      <c r="N174" s="697">
        <f>-'Output-FR (show)'!N42</f>
        <v>-78.5685</v>
      </c>
      <c r="O174" s="697">
        <f>-'Output-FR (show)'!O42</f>
        <v>-78.5685</v>
      </c>
      <c r="P174" s="698">
        <f>-'Output-FR (show)'!P42</f>
        <v>-0.46600000000000003</v>
      </c>
      <c r="Q174" s="699">
        <f>-'Output-FR (show)'!Q42</f>
        <v>-28.786179500000003</v>
      </c>
      <c r="R174" s="699">
        <f>-'Output-FR (show)'!R42</f>
        <v>-28.786179500000003</v>
      </c>
      <c r="S174" s="699">
        <f>-'Output-FR (show)'!S42</f>
        <v>-57.572359000000006</v>
      </c>
      <c r="T174" s="699">
        <f>-'Output-FR (show)'!T42</f>
        <v>-115.14471800000001</v>
      </c>
      <c r="U174" s="699">
        <f>-'Output-FR (show)'!U42</f>
        <v>-115.14471800000001</v>
      </c>
      <c r="V174" s="699">
        <f>-'Output-FR (show)'!V42</f>
        <v>-143.93089749999999</v>
      </c>
      <c r="W174" s="699">
        <f>-'Output-FR (show)'!W42</f>
        <v>-201.50325649999999</v>
      </c>
      <c r="X174" s="699">
        <f>-'Output-FR (show)'!X42</f>
        <v>-201.50325649999999</v>
      </c>
      <c r="Y174" s="699">
        <f>-'Output-FR (show)'!Y42</f>
        <v>-287.86179499999997</v>
      </c>
      <c r="Z174" s="699">
        <f>-'Output-FR (show)'!Z42</f>
        <v>-316.64797450000003</v>
      </c>
      <c r="AA174" s="699"/>
      <c r="AB174" s="700"/>
      <c r="AC174" s="700"/>
      <c r="AD174" s="700"/>
      <c r="AE174" s="700"/>
      <c r="AF174" s="700"/>
      <c r="AG174" s="700"/>
      <c r="AH174" s="700"/>
      <c r="AI174" s="700"/>
      <c r="AJ174" s="700"/>
      <c r="AK174" s="700"/>
      <c r="AL174" s="700"/>
      <c r="AM174" s="700"/>
      <c r="AN174" s="700"/>
      <c r="AO174" s="700"/>
      <c r="AP174" s="700"/>
      <c r="AQ174" s="700"/>
      <c r="AR174" s="700"/>
      <c r="AS174" s="700"/>
      <c r="AT174" s="700"/>
      <c r="AU174" s="700"/>
      <c r="AV174" s="700"/>
      <c r="AW174" s="700"/>
      <c r="AX174" s="700"/>
      <c r="AY174" s="700"/>
      <c r="AZ174" s="700"/>
      <c r="BA174" s="700"/>
    </row>
    <row r="175" spans="1:53" x14ac:dyDescent="0.25">
      <c r="A175" s="642"/>
      <c r="B175" s="2338" t="s">
        <v>1380</v>
      </c>
      <c r="C175" s="29" t="s">
        <v>1381</v>
      </c>
      <c r="D175" s="66"/>
      <c r="E175" s="118"/>
      <c r="F175" s="118"/>
      <c r="G175" s="118"/>
      <c r="H175" s="118"/>
      <c r="I175" s="119">
        <f>IF(ISTEXT('CF Raw'!I$11),('CF Raw'!I44+'CF Raw'!I45)/'Output-FR (show)'!$A$124,SUM(I176:I178))</f>
        <v>0</v>
      </c>
      <c r="J175" s="119">
        <f>IF(ISTEXT('CF Raw'!J$11),('CF Raw'!J44+'CF Raw'!J45)/'Output-FR (show)'!$A$124,SUM(J176:J178))</f>
        <v>0</v>
      </c>
      <c r="K175" s="119">
        <f>IF(ISTEXT('CF Raw'!K$11),('CF Raw'!K44+'CF Raw'!K45)/'Output-FR (show)'!$A$124,SUM(K176:K178))</f>
        <v>125.52865199999999</v>
      </c>
      <c r="L175" s="119">
        <f>IF(ISTEXT('CF Raw'!L$11),('CF Raw'!L44+'CF Raw'!L45)/'Output-FR (show)'!$A$124,SUM(L176:L178))</f>
        <v>0</v>
      </c>
      <c r="M175" s="119">
        <f>IF(ISTEXT('CF Raw'!M$11),('CF Raw'!M44+'CF Raw'!M45)/'Output-FR (show)'!$A$124,SUM(M176:M178))</f>
        <v>0</v>
      </c>
      <c r="N175" s="119">
        <f>IF(ISTEXT('CF Raw'!N$11),('CF Raw'!N44+'CF Raw'!N45)/'Output-FR (show)'!$A$124,SUM(N176:N178))</f>
        <v>0</v>
      </c>
      <c r="O175" s="119">
        <f>IF(ISTEXT('CF Raw'!O$11),('CF Raw'!O44+'CF Raw'!O45)/'Output-FR (show)'!$A$124,SUM(O176:O178))</f>
        <v>-1.951918558</v>
      </c>
      <c r="P175" s="671">
        <f>IF(ISTEXT('CF Raw'!P$11),('CF Raw'!P44+'CF Raw'!P45)/'Output-FR (show)'!$A$124,SUM(P176:P178))</f>
        <v>0</v>
      </c>
      <c r="Q175" s="172">
        <f ca="1">IF(ISTEXT('CF Raw'!Q$11),('CF Raw'!Q44+'CF Raw'!Q45)/'Output-FR (show)'!$A$124,SUM(Q176:Q178))</f>
        <v>2.7126919135469336</v>
      </c>
      <c r="R175" s="172">
        <f ca="1">IF(ISTEXT('CF Raw'!R$11),('CF Raw'!R44+'CF Raw'!R45)/'Output-FR (show)'!$A$124,SUM(R176:R178))</f>
        <v>-1.5755312647488466</v>
      </c>
      <c r="S175" s="172">
        <f ca="1">IF(ISTEXT('CF Raw'!S$11),('CF Raw'!S44+'CF Raw'!S45)/'Output-FR (show)'!$A$124,SUM(S176:S178))</f>
        <v>57.521109002243193</v>
      </c>
      <c r="T175" s="172">
        <f ca="1">IF(ISTEXT('CF Raw'!T$11),('CF Raw'!T44+'CF Raw'!T45)/'Output-FR (show)'!$A$124,SUM(T176:T178))</f>
        <v>28.309114560093008</v>
      </c>
      <c r="U175" s="172">
        <f ca="1">IF(ISTEXT('CF Raw'!U$11),('CF Raw'!U44+'CF Raw'!U45)/'Output-FR (show)'!$A$124,SUM(U176:U178))</f>
        <v>32.746559594710646</v>
      </c>
      <c r="V175" s="172">
        <f ca="1">IF(ISTEXT('CF Raw'!V$11),('CF Raw'!V44+'CF Raw'!V45)/'Output-FR (show)'!$A$124,SUM(V176:V178))</f>
        <v>24.377413119075612</v>
      </c>
      <c r="W175" s="172">
        <f ca="1">IF(ISTEXT('CF Raw'!W$11),('CF Raw'!W44+'CF Raw'!W45)/'Output-FR (show)'!$A$124,SUM(W176:W178))</f>
        <v>29.205220653324886</v>
      </c>
      <c r="X175" s="172">
        <f ca="1">IF(ISTEXT('CF Raw'!X$11),('CF Raw'!X44+'CF Raw'!X45)/'Output-FR (show)'!$A$124,SUM(X176:X178))</f>
        <v>15.263189699060888</v>
      </c>
      <c r="Y175" s="172">
        <f ca="1">IF(ISTEXT('CF Raw'!Y$11),('CF Raw'!Y44+'CF Raw'!Y45)/'Output-FR (show)'!$A$124,SUM(Y176:Y178))</f>
        <v>17.359121821225699</v>
      </c>
      <c r="Z175" s="172">
        <f ca="1">IF(ISTEXT('CF Raw'!Z$11),('CF Raw'!Z44+'CF Raw'!Z45)/'Output-FR (show)'!$A$124,SUM(Z176:Z178))</f>
        <v>18.566370880036459</v>
      </c>
      <c r="AA175" s="172"/>
      <c r="AB175" s="173"/>
      <c r="AC175" s="173"/>
      <c r="AD175" s="173"/>
      <c r="AE175" s="173"/>
      <c r="AF175" s="173"/>
      <c r="AG175" s="173"/>
      <c r="AH175" s="173"/>
      <c r="AI175" s="173"/>
      <c r="AJ175" s="173"/>
      <c r="AK175" s="173"/>
      <c r="AL175" s="173"/>
      <c r="AM175" s="173"/>
      <c r="AN175" s="173"/>
      <c r="AO175" s="173"/>
      <c r="AP175" s="173"/>
      <c r="AQ175" s="173"/>
      <c r="AR175" s="173"/>
      <c r="AS175" s="173"/>
      <c r="AT175" s="173"/>
      <c r="AU175" s="173"/>
      <c r="AV175" s="173"/>
      <c r="AW175" s="173"/>
      <c r="AX175" s="173"/>
      <c r="AY175" s="173"/>
      <c r="AZ175" s="173"/>
      <c r="BA175" s="173"/>
    </row>
    <row r="176" spans="1:53" x14ac:dyDescent="0.25">
      <c r="A176" s="677"/>
      <c r="B176" s="2339" t="s">
        <v>1382</v>
      </c>
      <c r="C176" s="788" t="s">
        <v>1383</v>
      </c>
      <c r="D176" s="679"/>
      <c r="E176" s="696"/>
      <c r="F176" s="696"/>
      <c r="G176" s="696"/>
      <c r="H176" s="696"/>
      <c r="I176" s="697">
        <f>+'Output-FR (show)'!I106-'Output-FR (show)'!H106</f>
        <v>0</v>
      </c>
      <c r="J176" s="697">
        <f>+'Output-FR (show)'!J106-'Output-FR (show)'!I106</f>
        <v>0</v>
      </c>
      <c r="K176" s="697">
        <f>+'Output-FR (show)'!K106-'Output-FR (show)'!J106</f>
        <v>0</v>
      </c>
      <c r="L176" s="697">
        <f>+'Output-FR (show)'!L106-'Output-FR (show)'!K106</f>
        <v>0</v>
      </c>
      <c r="M176" s="697">
        <f>+'Output-FR (show)'!M106-'Output-FR (show)'!L106</f>
        <v>0</v>
      </c>
      <c r="N176" s="697">
        <f>+'Output-FR (show)'!N106-'Output-FR (show)'!M106</f>
        <v>0</v>
      </c>
      <c r="O176" s="697">
        <f>+'Output-FR (show)'!O106-'Output-FR (show)'!N106</f>
        <v>0</v>
      </c>
      <c r="P176" s="698">
        <f>+'Output-FR (show)'!P106-'Output-FR (show)'!O106</f>
        <v>0</v>
      </c>
      <c r="Q176" s="699">
        <f>+'Output-FR (show)'!Q106-'Output-FR (show)'!P106</f>
        <v>0</v>
      </c>
      <c r="R176" s="699">
        <f>+'Output-FR (show)'!R106-'Output-FR (show)'!Q106</f>
        <v>0</v>
      </c>
      <c r="S176" s="699">
        <f>+'Output-FR (show)'!S106-'Output-FR (show)'!R106</f>
        <v>0</v>
      </c>
      <c r="T176" s="699">
        <f>+'Output-FR (show)'!T106-'Output-FR (show)'!S106</f>
        <v>0</v>
      </c>
      <c r="U176" s="699">
        <f>+'Output-FR (show)'!U106-'Output-FR (show)'!T106</f>
        <v>0</v>
      </c>
      <c r="V176" s="699">
        <f>+'Output-FR (show)'!V106-'Output-FR (show)'!U106</f>
        <v>0</v>
      </c>
      <c r="W176" s="699">
        <f>+'Output-FR (show)'!W106-'Output-FR (show)'!V106</f>
        <v>0</v>
      </c>
      <c r="X176" s="699">
        <f>+'Output-FR (show)'!X106-'Output-FR (show)'!W106</f>
        <v>0</v>
      </c>
      <c r="Y176" s="699">
        <f>+'Output-FR (show)'!Y106-'Output-FR (show)'!X106</f>
        <v>0</v>
      </c>
      <c r="Z176" s="699">
        <f>+'Output-FR (show)'!Z106-'Output-FR (show)'!Y106</f>
        <v>0</v>
      </c>
      <c r="AA176" s="699"/>
      <c r="AB176" s="700"/>
      <c r="AC176" s="700"/>
      <c r="AD176" s="700"/>
      <c r="AE176" s="700"/>
      <c r="AF176" s="700"/>
      <c r="AG176" s="700"/>
      <c r="AH176" s="700"/>
      <c r="AI176" s="700"/>
      <c r="AJ176" s="700"/>
      <c r="AK176" s="700"/>
      <c r="AL176" s="700"/>
      <c r="AM176" s="700"/>
      <c r="AN176" s="700"/>
      <c r="AO176" s="700"/>
      <c r="AP176" s="700"/>
      <c r="AQ176" s="700"/>
      <c r="AR176" s="700"/>
      <c r="AS176" s="700"/>
      <c r="AT176" s="700"/>
      <c r="AU176" s="700"/>
      <c r="AV176" s="700"/>
      <c r="AW176" s="700"/>
      <c r="AX176" s="700"/>
      <c r="AY176" s="700"/>
      <c r="AZ176" s="700"/>
      <c r="BA176" s="700"/>
    </row>
    <row r="177" spans="1:53" x14ac:dyDescent="0.25">
      <c r="A177" s="677"/>
      <c r="B177" s="2339" t="s">
        <v>1384</v>
      </c>
      <c r="C177" s="788" t="s">
        <v>1385</v>
      </c>
      <c r="D177" s="679"/>
      <c r="E177" s="696"/>
      <c r="F177" s="696"/>
      <c r="G177" s="696"/>
      <c r="H177" s="696"/>
      <c r="I177" s="697">
        <f>('Output-FR (show)'!I107-'Output-FR (show)'!H107)</f>
        <v>120.00646</v>
      </c>
      <c r="J177" s="697">
        <f>('Output-FR (show)'!J107-'Output-FR (show)'!I107)</f>
        <v>299.17633000000001</v>
      </c>
      <c r="K177" s="697">
        <f>('Output-FR (show)'!K107-'Output-FR (show)'!J107)</f>
        <v>104.60720999999995</v>
      </c>
      <c r="L177" s="697">
        <f>('Output-FR (show)'!L107-'Output-FR (show)'!K107)</f>
        <v>0</v>
      </c>
      <c r="M177" s="697">
        <f>('Output-FR (show)'!M107-'Output-FR (show)'!L107)</f>
        <v>0</v>
      </c>
      <c r="N177" s="697">
        <f>('Output-FR (show)'!N107-'Output-FR (show)'!M107)</f>
        <v>0</v>
      </c>
      <c r="O177" s="697">
        <f>('Output-FR (show)'!O107-'Output-FR (show)'!N107)</f>
        <v>0</v>
      </c>
      <c r="P177" s="698">
        <f>('Output-FR (show)'!P107-'Output-FR (show)'!O107)</f>
        <v>52.334440000000086</v>
      </c>
      <c r="Q177" s="699">
        <f>('Output-FR (show)'!Q107-'Output-FR (show)'!P107)</f>
        <v>0</v>
      </c>
      <c r="R177" s="699">
        <f>('Output-FR (show)'!R107-'Output-FR (show)'!Q107)</f>
        <v>0</v>
      </c>
      <c r="S177" s="699">
        <f>('Output-FR (show)'!S107-'Output-FR (show)'!R107)</f>
        <v>0</v>
      </c>
      <c r="T177" s="699">
        <f>('Output-FR (show)'!T107-'Output-FR (show)'!S107)</f>
        <v>0</v>
      </c>
      <c r="U177" s="699">
        <f>('Output-FR (show)'!U107-'Output-FR (show)'!T107)</f>
        <v>0</v>
      </c>
      <c r="V177" s="699">
        <f>('Output-FR (show)'!V107-'Output-FR (show)'!U107)</f>
        <v>0</v>
      </c>
      <c r="W177" s="699">
        <f>('Output-FR (show)'!W107-'Output-FR (show)'!V107)</f>
        <v>0</v>
      </c>
      <c r="X177" s="699">
        <f>('Output-FR (show)'!X107-'Output-FR (show)'!W107)</f>
        <v>0</v>
      </c>
      <c r="Y177" s="699">
        <f>('Output-FR (show)'!Y107-'Output-FR (show)'!X107)</f>
        <v>0</v>
      </c>
      <c r="Z177" s="699">
        <f>('Output-FR (show)'!Z107-'Output-FR (show)'!Y107)</f>
        <v>0</v>
      </c>
      <c r="AA177" s="699"/>
      <c r="AB177" s="700"/>
      <c r="AC177" s="700"/>
      <c r="AD177" s="700"/>
      <c r="AE177" s="700"/>
      <c r="AF177" s="700"/>
      <c r="AG177" s="700"/>
      <c r="AH177" s="700"/>
      <c r="AI177" s="700"/>
      <c r="AJ177" s="700"/>
      <c r="AK177" s="700"/>
      <c r="AL177" s="700"/>
      <c r="AM177" s="700"/>
      <c r="AN177" s="700"/>
      <c r="AO177" s="700"/>
      <c r="AP177" s="700"/>
      <c r="AQ177" s="700"/>
      <c r="AR177" s="700"/>
      <c r="AS177" s="700"/>
      <c r="AT177" s="700"/>
      <c r="AU177" s="700"/>
      <c r="AV177" s="700"/>
      <c r="AW177" s="700"/>
      <c r="AX177" s="700"/>
      <c r="AY177" s="700"/>
      <c r="AZ177" s="700"/>
      <c r="BA177" s="700"/>
    </row>
    <row r="178" spans="1:53" x14ac:dyDescent="0.25">
      <c r="A178" s="677"/>
      <c r="B178" s="2339" t="s">
        <v>1386</v>
      </c>
      <c r="C178" s="788" t="s">
        <v>1387</v>
      </c>
      <c r="D178" s="679"/>
      <c r="E178" s="696"/>
      <c r="F178" s="696"/>
      <c r="G178" s="696"/>
      <c r="H178" s="696"/>
      <c r="I178" s="697">
        <f>+('Output-FR (show)'!I108-'Output-FR (show)'!H108)+('Output-FR (show)'!I110-'Output-FR (show)'!H110)/Input!$B$1</f>
        <v>112.85374001899999</v>
      </c>
      <c r="J178" s="697">
        <f>+('Output-FR (show)'!J108-'Output-FR (show)'!I108)+('Output-FR (show)'!J110-'Output-FR (show)'!I110)/Input!$B$1</f>
        <v>-84.611204845999964</v>
      </c>
      <c r="K178" s="697">
        <f>+('Output-FR (show)'!K108-'Output-FR (show)'!J108)+('Output-FR (show)'!K110-'Output-FR (show)'!J110)/Input!$B$1</f>
        <v>64.968976695000023</v>
      </c>
      <c r="L178" s="697">
        <f>+('Output-FR (show)'!L108-'Output-FR (show)'!K108)+('Output-FR (show)'!L110-'Output-FR (show)'!K110)/Input!$B$1</f>
        <v>11.938098813999943</v>
      </c>
      <c r="M178" s="697">
        <f>+('Output-FR (show)'!M108-'Output-FR (show)'!L108)+('Output-FR (show)'!M110-'Output-FR (show)'!L110)/Input!$B$1</f>
        <v>12.328894947000009</v>
      </c>
      <c r="N178" s="697">
        <f>+('Output-FR (show)'!N108-'Output-FR (show)'!M108)+('Output-FR (show)'!N110-'Output-FR (show)'!M110)/Input!$B$1</f>
        <v>9.4851462260000119</v>
      </c>
      <c r="O178" s="697">
        <f>+('Output-FR (show)'!O108-'Output-FR (show)'!N108)+('Output-FR (show)'!O110-'Output-FR (show)'!N110)/Input!$B$1</f>
        <v>11.555248811000013</v>
      </c>
      <c r="P178" s="698">
        <f>+('Output-FR (show)'!P108-'Output-FR (show)'!O108)+('Output-FR (show)'!P110-'Output-FR (show)'!O110)/Input!$B$1</f>
        <v>8.2824687490000883</v>
      </c>
      <c r="Q178" s="699">
        <f ca="1">+('Output-FR (show)'!Q108-'Output-FR (show)'!P108)+('Output-FR (show)'!Q110-'Output-FR (show)'!P110)/Input!$B$1</f>
        <v>2.7126919135469336</v>
      </c>
      <c r="R178" s="699">
        <f ca="1">+('Output-FR (show)'!R108-'Output-FR (show)'!Q108)+('Output-FR (show)'!R110-'Output-FR (show)'!Q110)/Input!$B$1</f>
        <v>-1.5755312647488466</v>
      </c>
      <c r="S178" s="699">
        <f ca="1">+('Output-FR (show)'!S108-'Output-FR (show)'!R108)+('Output-FR (show)'!S110-'Output-FR (show)'!R110)/Input!$B$1</f>
        <v>57.521109002243193</v>
      </c>
      <c r="T178" s="699">
        <f ca="1">+('Output-FR (show)'!T108-'Output-FR (show)'!S108)+('Output-FR (show)'!T110-'Output-FR (show)'!S110)/Input!$B$1</f>
        <v>28.309114560093008</v>
      </c>
      <c r="U178" s="699">
        <f ca="1">+('Output-FR (show)'!U108-'Output-FR (show)'!T108)+('Output-FR (show)'!U110-'Output-FR (show)'!T110)/Input!$B$1</f>
        <v>32.746559594710646</v>
      </c>
      <c r="V178" s="699">
        <f ca="1">+('Output-FR (show)'!V108-'Output-FR (show)'!U108)+('Output-FR (show)'!V110-'Output-FR (show)'!U110)/Input!$B$1</f>
        <v>24.377413119075612</v>
      </c>
      <c r="W178" s="699">
        <f ca="1">+('Output-FR (show)'!W108-'Output-FR (show)'!V108)+('Output-FR (show)'!W110-'Output-FR (show)'!V110)/Input!$B$1</f>
        <v>29.205220653324886</v>
      </c>
      <c r="X178" s="699">
        <f ca="1">+('Output-FR (show)'!X108-'Output-FR (show)'!W108)+('Output-FR (show)'!X110-'Output-FR (show)'!W110)/Input!$B$1</f>
        <v>15.263189699060888</v>
      </c>
      <c r="Y178" s="699">
        <f ca="1">+('Output-FR (show)'!Y108-'Output-FR (show)'!X108)+('Output-FR (show)'!Y110-'Output-FR (show)'!X110)/Input!$B$1</f>
        <v>17.359121821225699</v>
      </c>
      <c r="Z178" s="699">
        <f ca="1">+('Output-FR (show)'!Z108-'Output-FR (show)'!Y108)+('Output-FR (show)'!Z110-'Output-FR (show)'!Y110)/Input!$B$1</f>
        <v>18.566370880036459</v>
      </c>
      <c r="AA178" s="699"/>
      <c r="AB178" s="700"/>
      <c r="AC178" s="700"/>
      <c r="AD178" s="700"/>
      <c r="AE178" s="700"/>
      <c r="AF178" s="700"/>
      <c r="AG178" s="700"/>
      <c r="AH178" s="700"/>
      <c r="AI178" s="700"/>
      <c r="AJ178" s="700"/>
      <c r="AK178" s="700"/>
      <c r="AL178" s="700"/>
      <c r="AM178" s="700"/>
      <c r="AN178" s="700"/>
      <c r="AO178" s="700"/>
      <c r="AP178" s="700"/>
      <c r="AQ178" s="700"/>
      <c r="AR178" s="700"/>
      <c r="AS178" s="700"/>
      <c r="AT178" s="700"/>
      <c r="AU178" s="700"/>
      <c r="AV178" s="700"/>
      <c r="AW178" s="700"/>
      <c r="AX178" s="700"/>
      <c r="AY178" s="700"/>
      <c r="AZ178" s="700"/>
      <c r="BA178" s="700"/>
    </row>
    <row r="179" spans="1:53" x14ac:dyDescent="0.25">
      <c r="A179" s="677"/>
      <c r="B179" s="2338" t="s">
        <v>1388</v>
      </c>
      <c r="C179" s="788"/>
      <c r="D179" s="679"/>
      <c r="E179" s="696"/>
      <c r="F179" s="696"/>
      <c r="G179" s="696"/>
      <c r="H179" s="696"/>
      <c r="I179" s="119">
        <f>IF(ISTEXT('CF Raw'!O11),'CF Raw'!I48,0)</f>
        <v>0</v>
      </c>
      <c r="J179" s="119">
        <f>IF(ISTEXT('CF Raw'!P11),'CF Raw'!J48,0)</f>
        <v>0</v>
      </c>
      <c r="K179" s="119">
        <f>IF(ISTEXT('CF Raw'!Q11),'CF Raw'!K48,0)</f>
        <v>0</v>
      </c>
      <c r="L179" s="119">
        <f>IF(ISTEXT('CF Raw'!R11),'CF Raw'!L48,0)</f>
        <v>0</v>
      </c>
      <c r="M179" s="119">
        <f>IF(ISTEXT('CF Raw'!S11),'CF Raw'!M48,0)</f>
        <v>0</v>
      </c>
      <c r="N179" s="119">
        <f>IF(ISTEXT('CF Raw'!T11),'CF Raw'!N48,0)</f>
        <v>0</v>
      </c>
      <c r="O179" s="119">
        <f>IF(ISTEXT('CF Raw'!U11),'CF Raw'!O48,0)</f>
        <v>0</v>
      </c>
      <c r="P179" s="671">
        <f>IF(ISTEXT('CF Raw'!V11),'CF Raw'!P48,0)</f>
        <v>0</v>
      </c>
      <c r="Q179" s="172">
        <f>IF(ISTEXT('CF Raw'!W11),'CF Raw'!Q48,0)</f>
        <v>0</v>
      </c>
      <c r="R179" s="172">
        <f>IF(ISTEXT('CF Raw'!X11),'CF Raw'!R48,0)</f>
        <v>0</v>
      </c>
      <c r="S179" s="172">
        <f>IF(ISTEXT('CF Raw'!Y11),'CF Raw'!S48,0)</f>
        <v>0</v>
      </c>
      <c r="T179" s="172">
        <f>IF(ISTEXT('CF Raw'!Z11),'CF Raw'!T48,0)</f>
        <v>0</v>
      </c>
      <c r="U179" s="172">
        <f>IF(ISTEXT('CF Raw'!AA11),'CF Raw'!U48,0)</f>
        <v>0</v>
      </c>
      <c r="V179" s="172">
        <f>IF(ISTEXT('CF Raw'!AB11),'CF Raw'!V48,0)</f>
        <v>0</v>
      </c>
      <c r="W179" s="172">
        <f>IF(ISTEXT('CF Raw'!AC11),'CF Raw'!W48,0)</f>
        <v>0</v>
      </c>
      <c r="X179" s="172">
        <f>IF(ISTEXT('CF Raw'!AD11),'CF Raw'!X48,0)</f>
        <v>0</v>
      </c>
      <c r="Y179" s="172">
        <f>IF(ISTEXT('CF Raw'!AE11),'CF Raw'!Y48,0)</f>
        <v>0</v>
      </c>
      <c r="Z179" s="172">
        <f>IF(ISTEXT('CF Raw'!AF11),'CF Raw'!Z48,0)</f>
        <v>0</v>
      </c>
      <c r="AA179" s="172"/>
      <c r="AB179" s="700"/>
      <c r="AC179" s="700"/>
      <c r="AD179" s="700"/>
      <c r="AE179" s="700"/>
      <c r="AF179" s="700"/>
      <c r="AG179" s="700"/>
      <c r="AH179" s="700"/>
      <c r="AI179" s="700"/>
      <c r="AJ179" s="700"/>
      <c r="AK179" s="700"/>
      <c r="AL179" s="700"/>
      <c r="AM179" s="700"/>
      <c r="AN179" s="700"/>
      <c r="AO179" s="700"/>
      <c r="AP179" s="700"/>
      <c r="AQ179" s="700"/>
      <c r="AR179" s="700"/>
      <c r="AS179" s="700"/>
      <c r="AT179" s="700"/>
      <c r="AU179" s="700"/>
      <c r="AV179" s="700"/>
      <c r="AW179" s="700"/>
      <c r="AX179" s="700"/>
      <c r="AY179" s="700"/>
      <c r="AZ179" s="700"/>
      <c r="BA179" s="700"/>
    </row>
    <row r="180" spans="1:53" x14ac:dyDescent="0.25">
      <c r="A180" s="780"/>
      <c r="B180" s="2340" t="s">
        <v>1389</v>
      </c>
      <c r="C180" s="789" t="s">
        <v>1390</v>
      </c>
      <c r="D180" s="784"/>
      <c r="E180" s="759"/>
      <c r="F180" s="759"/>
      <c r="G180" s="759"/>
      <c r="H180" s="759"/>
      <c r="I180" s="760">
        <f>+I166+I167+I171+I172+I175+I179</f>
        <v>42.088422499000046</v>
      </c>
      <c r="J180" s="760">
        <f>+J166+J167+J171+J172+J175+J179</f>
        <v>-55.362939695000009</v>
      </c>
      <c r="K180" s="760">
        <f t="shared" ref="K180:Z180" si="57">+K166+K167+K171+K172+K175+K179</f>
        <v>76.923204158999994</v>
      </c>
      <c r="L180" s="760">
        <f t="shared" si="57"/>
        <v>14.58205853299998</v>
      </c>
      <c r="M180" s="760">
        <f t="shared" si="57"/>
        <v>-180.50722624399998</v>
      </c>
      <c r="N180" s="760">
        <f t="shared" si="57"/>
        <v>65.894123249999978</v>
      </c>
      <c r="O180" s="760">
        <f t="shared" si="57"/>
        <v>-240.19809773099999</v>
      </c>
      <c r="P180" s="761">
        <f t="shared" si="57"/>
        <v>0.93</v>
      </c>
      <c r="Q180" s="762">
        <f t="shared" ca="1" si="57"/>
        <v>186.87238280969811</v>
      </c>
      <c r="R180" s="762">
        <f t="shared" ca="1" si="57"/>
        <v>63.260351667957224</v>
      </c>
      <c r="S180" s="762">
        <f t="shared" ca="1" si="57"/>
        <v>-41.49954655881848</v>
      </c>
      <c r="T180" s="762">
        <f t="shared" ca="1" si="57"/>
        <v>-168.23262303809366</v>
      </c>
      <c r="U180" s="762">
        <f t="shared" ca="1" si="57"/>
        <v>-135.28531214872069</v>
      </c>
      <c r="V180" s="762">
        <f t="shared" ca="1" si="57"/>
        <v>-188.58002540456474</v>
      </c>
      <c r="W180" s="762">
        <f t="shared" ca="1" si="57"/>
        <v>-191.53235503232506</v>
      </c>
      <c r="X180" s="762">
        <f t="shared" ca="1" si="57"/>
        <v>-176.95814106915927</v>
      </c>
      <c r="Y180" s="762">
        <f t="shared" ca="1" si="57"/>
        <v>-269.56979935077379</v>
      </c>
      <c r="Z180" s="762">
        <f t="shared" ca="1" si="57"/>
        <v>-289.01829750830717</v>
      </c>
      <c r="AA180" s="762"/>
      <c r="AB180" s="763"/>
      <c r="AC180" s="763"/>
      <c r="AD180" s="763"/>
      <c r="AE180" s="763"/>
      <c r="AF180" s="763"/>
      <c r="AG180" s="763"/>
      <c r="AH180" s="763"/>
      <c r="AI180" s="763"/>
      <c r="AJ180" s="763"/>
      <c r="AK180" s="763"/>
      <c r="AL180" s="763"/>
      <c r="AM180" s="763"/>
      <c r="AN180" s="763"/>
      <c r="AO180" s="763"/>
      <c r="AP180" s="763"/>
      <c r="AQ180" s="763"/>
      <c r="AR180" s="763"/>
      <c r="AS180" s="763"/>
      <c r="AT180" s="763"/>
      <c r="AU180" s="763"/>
      <c r="AV180" s="763"/>
      <c r="AW180" s="763"/>
      <c r="AX180" s="763"/>
      <c r="AY180" s="763"/>
      <c r="AZ180" s="763"/>
      <c r="BA180" s="763"/>
    </row>
    <row r="181" spans="1:53" x14ac:dyDescent="0.25">
      <c r="A181" s="790"/>
      <c r="B181" s="785" t="s">
        <v>468</v>
      </c>
      <c r="C181" s="770"/>
      <c r="D181" s="66"/>
      <c r="E181" s="428"/>
      <c r="F181" s="428"/>
      <c r="G181" s="428"/>
      <c r="H181" s="428"/>
      <c r="I181" s="429">
        <f>IF(ISTEXT('CF Raw'!I$11),I180-'CF Raw'!I51/'Output-FR (show)'!$A$124,"Chưa có BCTC")</f>
        <v>4.2632564145606011E-14</v>
      </c>
      <c r="J181" s="429">
        <f>IF(ISTEXT('CF Raw'!J$11),J180-'CF Raw'!J51/'Output-FR (show)'!$A$124,"Chưa có BCTC")</f>
        <v>-7.1054273576010019E-15</v>
      </c>
      <c r="K181" s="429">
        <f>IF(ISTEXT('CF Raw'!K$11),K180-'CF Raw'!K51/'Output-FR (show)'!$A$124,"Chưa có BCTC")</f>
        <v>0</v>
      </c>
      <c r="L181" s="429">
        <f>IF(ISTEXT('CF Raw'!L$11),L180-'CF Raw'!L51/'Output-FR (show)'!$A$124,"Chưa có BCTC")</f>
        <v>-1.9539925233402755E-14</v>
      </c>
      <c r="M181" s="429">
        <f>IF(ISTEXT('CF Raw'!M$11),M180-'CF Raw'!M51/'Output-FR (show)'!$A$124,"Chưa có BCTC")</f>
        <v>2.8421709430404007E-14</v>
      </c>
      <c r="N181" s="429">
        <f>IF(ISTEXT('CF Raw'!N$11),N180-'CF Raw'!N51/'Output-FR (show)'!$A$124,"Chưa có BCTC")</f>
        <v>-2.8421709430404007E-14</v>
      </c>
      <c r="O181" s="429">
        <f>IF(ISTEXT('CF Raw'!O$11),O180-'CF Raw'!O51/'Output-FR (show)'!$A$124,"Chưa có BCTC")</f>
        <v>0</v>
      </c>
      <c r="P181" s="786">
        <f>IF(ISTEXT('CF Raw'!P$11),P180-'CF Raw'!P51/'Output-FR (show)'!$A$124,"Chưa có BCTC")</f>
        <v>0</v>
      </c>
      <c r="Q181" s="1894" t="str">
        <f>IF(ISTEXT('CF Raw'!Q$11),Q180-'CF Raw'!Q51/'Output-FR (show)'!$A$124,"Chưa có BCTC")</f>
        <v>Chưa có BCTC</v>
      </c>
      <c r="R181" s="1894" t="str">
        <f>IF(ISTEXT('CF Raw'!R$11),R180-'CF Raw'!R51/'Output-FR (show)'!$A$124,"Chưa có BCTC")</f>
        <v>Chưa có BCTC</v>
      </c>
      <c r="S181" s="1894" t="str">
        <f>IF(ISTEXT('CF Raw'!S$11),S180-'CF Raw'!S51/'Output-FR (show)'!$A$124,"Chưa có BCTC")</f>
        <v>Chưa có BCTC</v>
      </c>
      <c r="T181" s="1894" t="str">
        <f>IF(ISTEXT('CF Raw'!T$11),T180-'CF Raw'!T51/'Output-FR (show)'!$A$124,"Chưa có BCTC")</f>
        <v>Chưa có BCTC</v>
      </c>
      <c r="U181" s="1894" t="str">
        <f>IF(ISTEXT('CF Raw'!U$11),U180-'CF Raw'!U51/'Output-FR (show)'!$A$124,"Chưa có BCTC")</f>
        <v>Chưa có BCTC</v>
      </c>
      <c r="V181" s="1894" t="str">
        <f>IF(ISTEXT('CF Raw'!V$11),V180-'CF Raw'!V51/'Output-FR (show)'!$A$124,"Chưa có BCTC")</f>
        <v>Chưa có BCTC</v>
      </c>
      <c r="W181" s="1894" t="str">
        <f>IF(ISTEXT('CF Raw'!W$11),W180-'CF Raw'!W51/'Output-FR (show)'!$A$124,"Chưa có BCTC")</f>
        <v>Chưa có BCTC</v>
      </c>
      <c r="X181" s="1894" t="str">
        <f>IF(ISTEXT('CF Raw'!X$11),X180-'CF Raw'!X51/'Output-FR (show)'!$A$124,"Chưa có BCTC")</f>
        <v>Chưa có BCTC</v>
      </c>
      <c r="Y181" s="1894" t="str">
        <f>IF(ISTEXT('CF Raw'!Y$11),Y180-'CF Raw'!Y51/'Output-FR (show)'!$A$124,"Chưa có BCTC")</f>
        <v>Chưa có BCTC</v>
      </c>
      <c r="Z181" s="1894" t="str">
        <f>IF(ISTEXT('CF Raw'!Z$11),Z180-'CF Raw'!Z51/'Output-FR (show)'!$A$124,"Chưa có BCTC")</f>
        <v>Chưa có BCTC</v>
      </c>
      <c r="AA181" s="1894"/>
      <c r="AB181" s="1895"/>
      <c r="AC181" s="1895"/>
      <c r="AD181" s="1895"/>
      <c r="AE181" s="1895"/>
      <c r="AF181" s="1895"/>
      <c r="AG181" s="1895"/>
      <c r="AH181" s="1895"/>
      <c r="AI181" s="1895"/>
      <c r="AJ181" s="1895"/>
      <c r="AK181" s="1895"/>
      <c r="AL181" s="1895"/>
      <c r="AM181" s="1895"/>
      <c r="AN181" s="1895"/>
      <c r="AO181" s="1895"/>
      <c r="AP181" s="1895"/>
      <c r="AQ181" s="1895"/>
      <c r="AR181" s="1895"/>
      <c r="AS181" s="787"/>
      <c r="AT181" s="787"/>
      <c r="AU181" s="787"/>
      <c r="AV181" s="787"/>
      <c r="AW181" s="787"/>
      <c r="AX181" s="787"/>
      <c r="AY181" s="787"/>
      <c r="AZ181" s="787"/>
      <c r="BA181" s="787"/>
    </row>
    <row r="182" spans="1:53" x14ac:dyDescent="0.25">
      <c r="A182" s="642"/>
      <c r="B182" s="29"/>
      <c r="C182" s="29"/>
      <c r="D182" s="66"/>
      <c r="E182" s="118"/>
      <c r="F182" s="118"/>
      <c r="G182" s="118"/>
      <c r="H182" s="118"/>
      <c r="I182" s="118"/>
      <c r="J182" s="118"/>
      <c r="K182" s="118"/>
      <c r="L182" s="118"/>
      <c r="M182" s="118"/>
      <c r="N182" s="118"/>
      <c r="O182" s="118"/>
      <c r="P182" s="218"/>
      <c r="Q182" s="173"/>
      <c r="R182" s="173"/>
      <c r="S182" s="173"/>
      <c r="T182" s="173"/>
      <c r="U182" s="173"/>
      <c r="V182" s="173"/>
      <c r="W182" s="173"/>
      <c r="X182" s="173"/>
      <c r="Y182" s="173"/>
      <c r="Z182" s="173"/>
      <c r="AA182" s="173"/>
      <c r="AB182" s="173"/>
      <c r="AC182" s="173"/>
      <c r="AD182" s="173"/>
      <c r="AE182" s="173"/>
      <c r="AF182" s="173"/>
      <c r="AG182" s="173"/>
      <c r="AH182" s="173"/>
      <c r="AI182" s="173"/>
      <c r="AJ182" s="173"/>
      <c r="AK182" s="173"/>
      <c r="AL182" s="173"/>
      <c r="AM182" s="173"/>
      <c r="AN182" s="173"/>
      <c r="AO182" s="173"/>
      <c r="AP182" s="173"/>
      <c r="AQ182" s="173"/>
      <c r="AR182" s="173"/>
      <c r="AS182" s="118"/>
      <c r="AT182" s="118"/>
      <c r="AU182" s="118"/>
      <c r="AV182" s="118"/>
      <c r="AW182" s="118"/>
      <c r="AX182" s="118"/>
      <c r="AY182" s="118"/>
      <c r="AZ182" s="118"/>
      <c r="BA182" s="118"/>
    </row>
    <row r="183" spans="1:53" x14ac:dyDescent="0.25">
      <c r="A183" s="642"/>
      <c r="B183" s="2338" t="s">
        <v>1391</v>
      </c>
      <c r="C183" s="29" t="s">
        <v>1392</v>
      </c>
      <c r="D183" s="66"/>
      <c r="E183" s="118"/>
      <c r="F183" s="118"/>
      <c r="G183" s="118"/>
      <c r="H183" s="118"/>
      <c r="I183" s="119">
        <f>+I155+I163+I180</f>
        <v>26.93437357399975</v>
      </c>
      <c r="J183" s="119">
        <f>+J155+J163+J180</f>
        <v>71.748700489999962</v>
      </c>
      <c r="K183" s="119">
        <f t="shared" ref="K183:Z183" si="58">+K155+K163+K180</f>
        <v>-74.837537413000064</v>
      </c>
      <c r="L183" s="119">
        <f t="shared" si="58"/>
        <v>-39.045296355000019</v>
      </c>
      <c r="M183" s="119">
        <f t="shared" si="58"/>
        <v>-3.9430738299998893</v>
      </c>
      <c r="N183" s="119">
        <f t="shared" si="58"/>
        <v>45.605457432999955</v>
      </c>
      <c r="O183" s="119">
        <f t="shared" si="58"/>
        <v>-29.433462669000022</v>
      </c>
      <c r="P183" s="671">
        <f t="shared" si="58"/>
        <v>-17.202145271999903</v>
      </c>
      <c r="Q183" s="172">
        <f t="shared" ca="1" si="58"/>
        <v>122.66109097076733</v>
      </c>
      <c r="R183" s="172">
        <f t="shared" ca="1" si="58"/>
        <v>-6.7300394664482894</v>
      </c>
      <c r="S183" s="172">
        <f t="shared" ca="1" si="58"/>
        <v>40.906136853400994</v>
      </c>
      <c r="T183" s="172">
        <f t="shared" ca="1" si="58"/>
        <v>23.115606982197761</v>
      </c>
      <c r="U183" s="172">
        <f t="shared" ca="1" si="58"/>
        <v>26.61695111150101</v>
      </c>
      <c r="V183" s="172">
        <f t="shared" ca="1" si="58"/>
        <v>23.357368640400438</v>
      </c>
      <c r="W183" s="172">
        <f t="shared" ca="1" si="58"/>
        <v>44.353422127542473</v>
      </c>
      <c r="X183" s="172">
        <f t="shared" ca="1" si="58"/>
        <v>40.570856482595417</v>
      </c>
      <c r="Y183" s="172">
        <f t="shared" ca="1" si="58"/>
        <v>41.572593208929447</v>
      </c>
      <c r="Z183" s="172">
        <f t="shared" ca="1" si="58"/>
        <v>57.755529436845961</v>
      </c>
      <c r="AA183" s="172"/>
      <c r="AB183" s="173"/>
      <c r="AC183" s="173"/>
      <c r="AD183" s="173"/>
      <c r="AE183" s="173"/>
      <c r="AF183" s="173"/>
      <c r="AG183" s="173"/>
      <c r="AH183" s="173"/>
      <c r="AI183" s="173"/>
      <c r="AJ183" s="173"/>
      <c r="AK183" s="173"/>
      <c r="AL183" s="173"/>
      <c r="AM183" s="173"/>
      <c r="AN183" s="173"/>
      <c r="AO183" s="173"/>
      <c r="AP183" s="173"/>
      <c r="AQ183" s="173"/>
      <c r="AR183" s="173"/>
      <c r="AS183" s="173"/>
      <c r="AT183" s="173"/>
      <c r="AU183" s="173"/>
      <c r="AV183" s="173"/>
      <c r="AW183" s="173"/>
      <c r="AX183" s="173"/>
      <c r="AY183" s="173"/>
      <c r="AZ183" s="173"/>
      <c r="BA183" s="173"/>
    </row>
    <row r="184" spans="1:53" x14ac:dyDescent="0.25">
      <c r="A184" s="642"/>
      <c r="B184" s="2338" t="s">
        <v>1393</v>
      </c>
      <c r="C184" s="29" t="s">
        <v>1394</v>
      </c>
      <c r="D184" s="66"/>
      <c r="E184" s="118"/>
      <c r="F184" s="118"/>
      <c r="G184" s="118"/>
      <c r="H184" s="118"/>
      <c r="I184" s="119">
        <f>IF(ISTEXT('CF Raw'!I$11),'CF Raw'!I53/'Output-FR (show)'!$A$124,'Output-FR (show)'!H59)</f>
        <v>100.572076603</v>
      </c>
      <c r="J184" s="119">
        <f>IF(ISTEXT('CF Raw'!J$11),'CF Raw'!J53/'Output-FR (show)'!$A$124,'Output-FR (show)'!I59)</f>
        <v>138.943070425</v>
      </c>
      <c r="K184" s="119">
        <f>IF(ISTEXT('CF Raw'!K$11),'CF Raw'!K53/'Output-FR (show)'!$A$124,'Output-FR (show)'!J59)</f>
        <v>210.69177091500001</v>
      </c>
      <c r="L184" s="119">
        <f>IF(ISTEXT('CF Raw'!L$11),'CF Raw'!L53/'Output-FR (show)'!$A$124,'Output-FR (show)'!K59)</f>
        <v>135.54888223399999</v>
      </c>
      <c r="M184" s="119">
        <f>IF(ISTEXT('CF Raw'!M$11),'CF Raw'!M53/'Output-FR (show)'!$A$124,'Output-FR (show)'!L59)</f>
        <v>96.499799276000005</v>
      </c>
      <c r="N184" s="119">
        <f>IF(ISTEXT('CF Raw'!N$11),'CF Raw'!N53/'Output-FR (show)'!$A$124,'Output-FR (show)'!M59)</f>
        <v>92.556725446000002</v>
      </c>
      <c r="O184" s="119">
        <f>IF(ISTEXT('CF Raw'!O$11),'CF Raw'!O53/'Output-FR (show)'!$A$124,'Output-FR (show)'!N59)</f>
        <v>138.16217737900001</v>
      </c>
      <c r="P184" s="671">
        <f>IF(ISTEXT('CF Raw'!P$11),'CF Raw'!P53/'Output-FR (show)'!$A$124,'Output-FR (show)'!O59)</f>
        <v>108.72871471000001</v>
      </c>
      <c r="Q184" s="172">
        <f>IF(ISTEXT('CF Raw'!Q$11),'CF Raw'!Q53/'Output-FR (show)'!$A$124,'Output-FR (show)'!P59)</f>
        <v>68.453780408</v>
      </c>
      <c r="R184" s="172">
        <f ca="1">IF(ISTEXT('CF Raw'!R$11),'CF Raw'!R53/'Output-FR (show)'!$A$124,'Output-FR (show)'!Q59)</f>
        <v>191.11594896576673</v>
      </c>
      <c r="S184" s="172">
        <f ca="1">IF(ISTEXT('CF Raw'!S$11),'CF Raw'!S53/'Output-FR (show)'!$A$124,'Output-FR (show)'!R59)</f>
        <v>184.38590949931969</v>
      </c>
      <c r="T184" s="172">
        <f ca="1">IF(ISTEXT('CF Raw'!T$11),'CF Raw'!T53/'Output-FR (show)'!$A$124,'Output-FR (show)'!S59)</f>
        <v>225.29204635272035</v>
      </c>
      <c r="U184" s="172">
        <f ca="1">IF(ISTEXT('CF Raw'!U$11),'CF Raw'!U53/'Output-FR (show)'!$A$124,'Output-FR (show)'!T59)</f>
        <v>248.40765333491822</v>
      </c>
      <c r="V184" s="172">
        <f ca="1">IF(ISTEXT('CF Raw'!V$11),'CF Raw'!V53/'Output-FR (show)'!$A$124,'Output-FR (show)'!U59)</f>
        <v>275.02460444641957</v>
      </c>
      <c r="W184" s="172">
        <f ca="1">IF(ISTEXT('CF Raw'!W$11),'CF Raw'!W53/'Output-FR (show)'!$A$124,'Output-FR (show)'!V59)</f>
        <v>298.38197308682027</v>
      </c>
      <c r="X184" s="172">
        <f ca="1">IF(ISTEXT('CF Raw'!X$11),'CF Raw'!X53/'Output-FR (show)'!$A$124,'Output-FR (show)'!W59)</f>
        <v>342.73539521436214</v>
      </c>
      <c r="Y184" s="172">
        <f ca="1">IF(ISTEXT('CF Raw'!Y$11),'CF Raw'!Y53/'Output-FR (show)'!$A$124,'Output-FR (show)'!X59)</f>
        <v>383.30625169695742</v>
      </c>
      <c r="Z184" s="172">
        <f ca="1">IF(ISTEXT('CF Raw'!Z$11),'CF Raw'!Z53/'Output-FR (show)'!$A$124,'Output-FR (show)'!Y59)</f>
        <v>424.87884490588687</v>
      </c>
      <c r="AA184" s="172"/>
      <c r="AB184" s="173"/>
      <c r="AC184" s="173"/>
      <c r="AD184" s="173"/>
      <c r="AE184" s="173"/>
      <c r="AF184" s="173"/>
      <c r="AG184" s="173"/>
      <c r="AH184" s="173"/>
      <c r="AI184" s="173"/>
      <c r="AJ184" s="173"/>
      <c r="AK184" s="173"/>
      <c r="AL184" s="173"/>
      <c r="AM184" s="173"/>
      <c r="AN184" s="173"/>
      <c r="AO184" s="173"/>
      <c r="AP184" s="173"/>
      <c r="AQ184" s="173"/>
      <c r="AR184" s="173"/>
      <c r="AS184" s="173"/>
      <c r="AT184" s="173"/>
      <c r="AU184" s="173"/>
      <c r="AV184" s="173"/>
      <c r="AW184" s="173"/>
      <c r="AX184" s="173"/>
      <c r="AY184" s="173"/>
      <c r="AZ184" s="173"/>
      <c r="BA184" s="173"/>
    </row>
    <row r="185" spans="1:53" x14ac:dyDescent="0.25">
      <c r="A185" s="642"/>
      <c r="B185" s="2338" t="s">
        <v>1395</v>
      </c>
      <c r="C185" s="29"/>
      <c r="D185" s="66"/>
      <c r="E185" s="118"/>
      <c r="F185" s="118"/>
      <c r="G185" s="118"/>
      <c r="H185" s="118"/>
      <c r="I185" s="119">
        <f>IF(ISTEXT('CF Raw'!I$11),'CF Raw'!I54/'Output-FR (show)'!$A$124,0)</f>
        <v>-8.3636830000000002E-3</v>
      </c>
      <c r="J185" s="119">
        <f>IF(ISTEXT('CF Raw'!J$11),'CF Raw'!J54/'Output-FR (show)'!$A$124,0)</f>
        <v>0</v>
      </c>
      <c r="K185" s="119">
        <f>IF(ISTEXT('CF Raw'!K$11),'CF Raw'!K54/'Output-FR (show)'!$A$124,0)</f>
        <v>-0.30535126800000001</v>
      </c>
      <c r="L185" s="119">
        <f>IF(ISTEXT('CF Raw'!L$11),'CF Raw'!L54/'Output-FR (show)'!$A$124,0)</f>
        <v>-3.7866029999999999E-3</v>
      </c>
      <c r="M185" s="119">
        <f>IF(ISTEXT('CF Raw'!M$11),'CF Raw'!M54/'Output-FR (show)'!$A$124,0)</f>
        <v>0</v>
      </c>
      <c r="N185" s="119">
        <f>IF(ISTEXT('CF Raw'!N$11),'CF Raw'!N54/'Output-FR (show)'!$A$124,0)</f>
        <v>-5.4999999999999999E-6</v>
      </c>
      <c r="O185" s="119">
        <f>IF(ISTEXT('CF Raw'!O$11),'CF Raw'!O54/'Output-FR (show)'!$A$124,0)</f>
        <v>0</v>
      </c>
      <c r="P185" s="671">
        <f>IF(ISTEXT('CF Raw'!P$11),'CF Raw'!P54/'Output-FR (show)'!$A$124,0)</f>
        <v>0</v>
      </c>
      <c r="Q185" s="172">
        <f>IF(ISTEXT('CF Raw'!Q$11),'CF Raw'!Q54/'Output-FR (show)'!$A$124,0)</f>
        <v>0</v>
      </c>
      <c r="R185" s="172">
        <f>IF(ISTEXT('CF Raw'!R$11),'CF Raw'!R54/'Output-FR (show)'!$A$124,0)</f>
        <v>0</v>
      </c>
      <c r="S185" s="172">
        <f>IF(ISTEXT('CF Raw'!S$11),'CF Raw'!S54/'Output-FR (show)'!$A$124,0)</f>
        <v>0</v>
      </c>
      <c r="T185" s="172">
        <f>IF(ISTEXT('CF Raw'!T$11),'CF Raw'!T54/'Output-FR (show)'!$A$124,0)</f>
        <v>0</v>
      </c>
      <c r="U185" s="172">
        <f>IF(ISTEXT('CF Raw'!U$11),'CF Raw'!U54/'Output-FR (show)'!$A$124,0)</f>
        <v>0</v>
      </c>
      <c r="V185" s="172">
        <f>IF(ISTEXT('CF Raw'!V$11),'CF Raw'!V54/'Output-FR (show)'!$A$124,0)</f>
        <v>0</v>
      </c>
      <c r="W185" s="172">
        <f>IF(ISTEXT('CF Raw'!W$11),'CF Raw'!W54/'Output-FR (show)'!$A$124,0)</f>
        <v>0</v>
      </c>
      <c r="X185" s="172">
        <f>IF(ISTEXT('CF Raw'!X$11),'CF Raw'!X54/'Output-FR (show)'!$A$124,0)</f>
        <v>0</v>
      </c>
      <c r="Y185" s="172">
        <f>IF(ISTEXT('CF Raw'!Y$11),'CF Raw'!Y54/'Output-FR (show)'!$A$124,0)</f>
        <v>0</v>
      </c>
      <c r="Z185" s="172">
        <f>IF(ISTEXT('CF Raw'!Z$11),'CF Raw'!Z54/'Output-FR (show)'!$A$124,0)</f>
        <v>0</v>
      </c>
      <c r="AA185" s="172"/>
      <c r="AB185" s="173"/>
      <c r="AC185" s="173"/>
      <c r="AD185" s="173"/>
      <c r="AE185" s="173"/>
      <c r="AF185" s="173"/>
      <c r="AG185" s="173"/>
      <c r="AH185" s="173"/>
      <c r="AI185" s="173"/>
      <c r="AJ185" s="173"/>
      <c r="AK185" s="173"/>
      <c r="AL185" s="173"/>
      <c r="AM185" s="173"/>
      <c r="AN185" s="173"/>
      <c r="AO185" s="173"/>
      <c r="AP185" s="173"/>
      <c r="AQ185" s="173"/>
      <c r="AR185" s="173"/>
      <c r="AS185" s="173"/>
      <c r="AT185" s="173"/>
      <c r="AU185" s="173"/>
      <c r="AV185" s="173"/>
      <c r="AW185" s="173"/>
      <c r="AX185" s="173"/>
      <c r="AY185" s="173"/>
      <c r="AZ185" s="173"/>
      <c r="BA185" s="173"/>
    </row>
    <row r="186" spans="1:53" ht="13.8" thickBot="1" x14ac:dyDescent="0.3">
      <c r="A186" s="780"/>
      <c r="B186" s="2341" t="s">
        <v>1396</v>
      </c>
      <c r="C186" s="791" t="s">
        <v>1397</v>
      </c>
      <c r="D186" s="792"/>
      <c r="E186" s="793"/>
      <c r="F186" s="793"/>
      <c r="G186" s="793"/>
      <c r="H186" s="793"/>
      <c r="I186" s="794">
        <f>+I183+I184+I185</f>
        <v>127.49808649399975</v>
      </c>
      <c r="J186" s="794">
        <f>+J183+J184+J185</f>
        <v>210.69177091499995</v>
      </c>
      <c r="K186" s="794">
        <f t="shared" ref="K186:Z186" si="59">+K183+K184+K185</f>
        <v>135.54888223399993</v>
      </c>
      <c r="L186" s="794">
        <f t="shared" si="59"/>
        <v>96.499799275999976</v>
      </c>
      <c r="M186" s="794">
        <f t="shared" si="59"/>
        <v>92.556725446000115</v>
      </c>
      <c r="N186" s="794">
        <f t="shared" si="59"/>
        <v>138.16217737899996</v>
      </c>
      <c r="O186" s="794">
        <f t="shared" si="59"/>
        <v>108.72871470999999</v>
      </c>
      <c r="P186" s="795">
        <f t="shared" si="59"/>
        <v>91.526569438000109</v>
      </c>
      <c r="Q186" s="796">
        <f t="shared" ca="1" si="59"/>
        <v>191.11487137876733</v>
      </c>
      <c r="R186" s="796">
        <f t="shared" ca="1" si="59"/>
        <v>184.38590949931844</v>
      </c>
      <c r="S186" s="796">
        <f t="shared" ca="1" si="59"/>
        <v>225.29204635272069</v>
      </c>
      <c r="T186" s="796">
        <f t="shared" ca="1" si="59"/>
        <v>248.40765333491811</v>
      </c>
      <c r="U186" s="796">
        <f t="shared" ca="1" si="59"/>
        <v>275.02460444641923</v>
      </c>
      <c r="V186" s="796">
        <f t="shared" ca="1" si="59"/>
        <v>298.38197308682004</v>
      </c>
      <c r="W186" s="796">
        <f t="shared" ca="1" si="59"/>
        <v>342.73539521436271</v>
      </c>
      <c r="X186" s="796">
        <f t="shared" ca="1" si="59"/>
        <v>383.30625169695759</v>
      </c>
      <c r="Y186" s="796">
        <f t="shared" ca="1" si="59"/>
        <v>424.87884490588687</v>
      </c>
      <c r="Z186" s="796">
        <f t="shared" ca="1" si="59"/>
        <v>482.63437434273283</v>
      </c>
      <c r="AA186" s="796"/>
      <c r="AB186" s="376"/>
      <c r="AC186" s="376"/>
      <c r="AD186" s="376"/>
      <c r="AE186" s="376"/>
      <c r="AF186" s="376"/>
      <c r="AG186" s="376"/>
      <c r="AH186" s="376"/>
      <c r="AI186" s="376"/>
      <c r="AJ186" s="376"/>
      <c r="AK186" s="376"/>
      <c r="AL186" s="376"/>
      <c r="AM186" s="376"/>
      <c r="AN186" s="376"/>
      <c r="AO186" s="376"/>
      <c r="AP186" s="376"/>
      <c r="AQ186" s="376"/>
      <c r="AR186" s="376"/>
      <c r="AS186" s="376"/>
      <c r="AT186" s="376"/>
      <c r="AU186" s="376"/>
      <c r="AV186" s="376"/>
      <c r="AW186" s="376"/>
      <c r="AX186" s="376"/>
      <c r="AY186" s="376"/>
      <c r="AZ186" s="376"/>
      <c r="BA186" s="376"/>
    </row>
    <row r="187" spans="1:53" ht="13.8" thickTop="1" x14ac:dyDescent="0.25">
      <c r="A187" s="426"/>
      <c r="B187" s="785" t="s">
        <v>468</v>
      </c>
      <c r="C187" s="797"/>
      <c r="D187" s="428"/>
      <c r="E187" s="542"/>
      <c r="F187" s="542"/>
      <c r="G187" s="542"/>
      <c r="H187" s="542"/>
      <c r="I187" s="543">
        <f>+I186-'Output-FR (show)'!I59</f>
        <v>-2.5579538487363607E-13</v>
      </c>
      <c r="J187" s="543">
        <f>+J186-'Output-FR (show)'!J59</f>
        <v>0</v>
      </c>
      <c r="K187" s="543">
        <f>+K186-'Output-FR (show)'!K59</f>
        <v>0</v>
      </c>
      <c r="L187" s="543">
        <f>+L186-'Output-FR (show)'!L59</f>
        <v>0</v>
      </c>
      <c r="M187" s="543">
        <f>+M186-'Output-FR (show)'!M59</f>
        <v>1.1368683772161603E-13</v>
      </c>
      <c r="N187" s="543">
        <f>+N186-'Output-FR (show)'!N59</f>
        <v>0</v>
      </c>
      <c r="O187" s="543">
        <f>+O186-'Output-FR (show)'!O59</f>
        <v>0</v>
      </c>
      <c r="P187" s="728">
        <f>+P186-'Output-FR (show)'!P59</f>
        <v>23.072789030000109</v>
      </c>
      <c r="Q187" s="1880">
        <f ca="1">+Q186-'Output-FR (show)'!Q59</f>
        <v>-1.0775869994006371E-3</v>
      </c>
      <c r="R187" s="1880">
        <f ca="1">+R186-'Output-FR (show)'!R59</f>
        <v>-1.2505552149377763E-12</v>
      </c>
      <c r="S187" s="1880">
        <f ca="1">+S186-'Output-FR (show)'!S59</f>
        <v>3.4106051316484809E-13</v>
      </c>
      <c r="T187" s="1880">
        <f ca="1">+T186-'Output-FR (show)'!T59</f>
        <v>0</v>
      </c>
      <c r="U187" s="1880">
        <f ca="1">+U186-'Output-FR (show)'!U59</f>
        <v>0</v>
      </c>
      <c r="V187" s="1880">
        <f ca="1">+V186-'Output-FR (show)'!V59</f>
        <v>0</v>
      </c>
      <c r="W187" s="1880">
        <f ca="1">+W186-'Output-FR (show)'!W59</f>
        <v>5.6843418860808015E-13</v>
      </c>
      <c r="X187" s="1880">
        <f ca="1">+X186-'Output-FR (show)'!X59</f>
        <v>0</v>
      </c>
      <c r="Y187" s="1880">
        <f ca="1">+Y186-'Output-FR (show)'!Y59</f>
        <v>0</v>
      </c>
      <c r="Z187" s="1880">
        <f ca="1">+Z186-'Output-FR (show)'!Z59</f>
        <v>1.3073986337985843E-12</v>
      </c>
      <c r="AA187" s="1880"/>
      <c r="AB187" s="1897"/>
      <c r="AC187" s="1897"/>
      <c r="AD187" s="1897"/>
      <c r="AE187" s="1897"/>
      <c r="AF187" s="1897"/>
      <c r="AG187" s="1897"/>
      <c r="AH187" s="1897"/>
      <c r="AI187" s="1897"/>
      <c r="AJ187" s="1897"/>
      <c r="AK187" s="1897"/>
      <c r="AL187" s="1897"/>
      <c r="AM187" s="1897"/>
      <c r="AN187" s="1897"/>
      <c r="AO187" s="1897"/>
      <c r="AP187" s="1897"/>
      <c r="AQ187" s="1897"/>
      <c r="AR187" s="1897"/>
      <c r="AS187" s="798"/>
      <c r="AT187" s="798"/>
      <c r="AU187" s="798"/>
      <c r="AV187" s="798"/>
      <c r="AW187" s="798"/>
      <c r="AX187" s="798"/>
      <c r="AY187" s="798"/>
      <c r="AZ187" s="798"/>
      <c r="BA187" s="798"/>
    </row>
    <row r="188" spans="1:53" x14ac:dyDescent="0.25">
      <c r="M188" s="642"/>
      <c r="P188" s="737"/>
      <c r="Q188" s="733"/>
    </row>
    <row r="189" spans="1:53" x14ac:dyDescent="0.25">
      <c r="M189" s="642"/>
      <c r="P189" s="737"/>
    </row>
    <row r="190" spans="1:53" x14ac:dyDescent="0.25">
      <c r="M190" s="642"/>
      <c r="Q190" s="642">
        <v>191.11594896576673</v>
      </c>
      <c r="R190" s="642">
        <v>184.38590949931969</v>
      </c>
      <c r="S190" s="642">
        <v>225.29204635272035</v>
      </c>
      <c r="T190" s="642">
        <v>248.40765333491822</v>
      </c>
      <c r="U190" s="642">
        <v>275.02460444641957</v>
      </c>
      <c r="V190" s="642">
        <v>298.38197308682027</v>
      </c>
      <c r="W190" s="642">
        <v>342.73539521436214</v>
      </c>
      <c r="X190" s="642">
        <v>383.30625169695742</v>
      </c>
      <c r="Y190" s="642">
        <v>424.87884490588687</v>
      </c>
      <c r="Z190" s="642">
        <v>482.63437434273152</v>
      </c>
    </row>
    <row r="191" spans="1:53" x14ac:dyDescent="0.25">
      <c r="M191" s="642"/>
      <c r="Q191" s="642">
        <v>191.11487137876733</v>
      </c>
      <c r="R191" s="642">
        <v>184.38590949931844</v>
      </c>
      <c r="S191" s="642">
        <v>225.29204635272069</v>
      </c>
      <c r="T191" s="642">
        <v>248.40765333491811</v>
      </c>
      <c r="U191" s="642">
        <v>275.02460444641923</v>
      </c>
      <c r="V191" s="642">
        <v>298.38197308682004</v>
      </c>
      <c r="W191" s="642">
        <v>342.73539521436271</v>
      </c>
      <c r="X191" s="642">
        <v>383.30625169695759</v>
      </c>
      <c r="Y191" s="642">
        <v>424.87884490588687</v>
      </c>
      <c r="Z191" s="642">
        <v>482.63437434273283</v>
      </c>
    </row>
    <row r="192" spans="1:53" x14ac:dyDescent="0.25">
      <c r="M192" s="642"/>
      <c r="Q192" s="642">
        <f>Q190-Q191</f>
        <v>1.0775869994006371E-3</v>
      </c>
      <c r="R192" s="642">
        <f t="shared" ref="R192:Z192" si="60">R190-R191</f>
        <v>1.2505552149377763E-12</v>
      </c>
      <c r="S192" s="642">
        <f t="shared" si="60"/>
        <v>-3.4106051316484809E-13</v>
      </c>
      <c r="T192" s="642">
        <f t="shared" si="60"/>
        <v>0</v>
      </c>
      <c r="U192" s="642">
        <f t="shared" si="60"/>
        <v>0</v>
      </c>
      <c r="V192" s="642">
        <f t="shared" si="60"/>
        <v>0</v>
      </c>
      <c r="W192" s="642">
        <f t="shared" si="60"/>
        <v>-5.6843418860808015E-13</v>
      </c>
      <c r="X192" s="642">
        <f t="shared" si="60"/>
        <v>0</v>
      </c>
      <c r="Y192" s="642">
        <f t="shared" si="60"/>
        <v>0</v>
      </c>
      <c r="Z192" s="642">
        <f t="shared" si="60"/>
        <v>-1.3073986337985843E-12</v>
      </c>
    </row>
    <row r="193" spans="13:13" x14ac:dyDescent="0.25">
      <c r="M193" s="642"/>
    </row>
    <row r="194" spans="13:13" x14ac:dyDescent="0.25">
      <c r="M194" s="642"/>
    </row>
    <row r="195" spans="13:13" x14ac:dyDescent="0.25">
      <c r="M195" s="642"/>
    </row>
    <row r="196" spans="13:13" x14ac:dyDescent="0.25">
      <c r="M196" s="642"/>
    </row>
    <row r="197" spans="13:13" x14ac:dyDescent="0.25">
      <c r="M197" s="642"/>
    </row>
    <row r="198" spans="13:13" x14ac:dyDescent="0.25">
      <c r="M198" s="642"/>
    </row>
    <row r="199" spans="13:13" x14ac:dyDescent="0.25">
      <c r="M199" s="642"/>
    </row>
    <row r="200" spans="13:13" x14ac:dyDescent="0.25">
      <c r="M200" s="642"/>
    </row>
    <row r="201" spans="13:13" x14ac:dyDescent="0.25">
      <c r="M201" s="642"/>
    </row>
    <row r="202" spans="13:13" x14ac:dyDescent="0.25">
      <c r="M202" s="642"/>
    </row>
    <row r="203" spans="13:13" x14ac:dyDescent="0.25">
      <c r="M203" s="642"/>
    </row>
    <row r="204" spans="13:13" x14ac:dyDescent="0.25">
      <c r="M204" s="642"/>
    </row>
    <row r="205" spans="13:13" x14ac:dyDescent="0.25">
      <c r="M205" s="642"/>
    </row>
    <row r="206" spans="13:13" x14ac:dyDescent="0.25">
      <c r="M206" s="642"/>
    </row>
    <row r="207" spans="13:13" x14ac:dyDescent="0.25">
      <c r="M207" s="642"/>
    </row>
    <row r="208" spans="13:13" x14ac:dyDescent="0.25">
      <c r="M208" s="642"/>
    </row>
    <row r="209" spans="13:13" x14ac:dyDescent="0.25">
      <c r="M209" s="642"/>
    </row>
    <row r="210" spans="13:13" x14ac:dyDescent="0.25">
      <c r="M210" s="642"/>
    </row>
    <row r="211" spans="13:13" x14ac:dyDescent="0.25">
      <c r="M211" s="642"/>
    </row>
    <row r="212" spans="13:13" x14ac:dyDescent="0.25">
      <c r="M212" s="642"/>
    </row>
    <row r="213" spans="13:13" x14ac:dyDescent="0.25">
      <c r="M213" s="642"/>
    </row>
    <row r="214" spans="13:13" x14ac:dyDescent="0.25">
      <c r="M214" s="642"/>
    </row>
    <row r="215" spans="13:13" x14ac:dyDescent="0.25">
      <c r="M215" s="642"/>
    </row>
    <row r="216" spans="13:13" x14ac:dyDescent="0.25">
      <c r="M216" s="642"/>
    </row>
    <row r="217" spans="13:13" x14ac:dyDescent="0.25">
      <c r="M217" s="642"/>
    </row>
    <row r="218" spans="13:13" x14ac:dyDescent="0.25">
      <c r="M218" s="642"/>
    </row>
    <row r="219" spans="13:13" x14ac:dyDescent="0.25">
      <c r="M219" s="642"/>
    </row>
    <row r="220" spans="13:13" x14ac:dyDescent="0.25">
      <c r="M220" s="642"/>
    </row>
    <row r="221" spans="13:13" x14ac:dyDescent="0.25">
      <c r="M221" s="642"/>
    </row>
    <row r="222" spans="13:13" x14ac:dyDescent="0.25">
      <c r="M222" s="642"/>
    </row>
    <row r="223" spans="13:13" x14ac:dyDescent="0.25">
      <c r="M223" s="642"/>
    </row>
    <row r="224" spans="13:13" x14ac:dyDescent="0.25">
      <c r="M224" s="642"/>
    </row>
    <row r="225" spans="13:13" x14ac:dyDescent="0.25">
      <c r="M225" s="642"/>
    </row>
    <row r="226" spans="13:13" x14ac:dyDescent="0.25">
      <c r="M226" s="642"/>
    </row>
    <row r="227" spans="13:13" x14ac:dyDescent="0.25">
      <c r="M227" s="642"/>
    </row>
    <row r="228" spans="13:13" x14ac:dyDescent="0.25">
      <c r="M228" s="642"/>
    </row>
    <row r="229" spans="13:13" x14ac:dyDescent="0.25">
      <c r="M229" s="642"/>
    </row>
    <row r="230" spans="13:13" x14ac:dyDescent="0.25">
      <c r="M230" s="642"/>
    </row>
    <row r="231" spans="13:13" x14ac:dyDescent="0.25">
      <c r="M231" s="642"/>
    </row>
    <row r="232" spans="13:13" x14ac:dyDescent="0.25">
      <c r="M232" s="642"/>
    </row>
    <row r="233" spans="13:13" x14ac:dyDescent="0.25">
      <c r="M233" s="642"/>
    </row>
    <row r="234" spans="13:13" x14ac:dyDescent="0.25">
      <c r="M234" s="642"/>
    </row>
    <row r="235" spans="13:13" x14ac:dyDescent="0.25">
      <c r="M235" s="642"/>
    </row>
    <row r="236" spans="13:13" x14ac:dyDescent="0.25">
      <c r="M236" s="642"/>
    </row>
    <row r="237" spans="13:13" x14ac:dyDescent="0.25">
      <c r="M237" s="642"/>
    </row>
    <row r="238" spans="13:13" x14ac:dyDescent="0.25">
      <c r="M238" s="642"/>
    </row>
    <row r="239" spans="13:13" x14ac:dyDescent="0.25">
      <c r="M239" s="642"/>
    </row>
    <row r="240" spans="13:13" x14ac:dyDescent="0.25">
      <c r="M240" s="642"/>
    </row>
    <row r="241" spans="13:13" x14ac:dyDescent="0.25">
      <c r="M241" s="642"/>
    </row>
    <row r="242" spans="13:13" x14ac:dyDescent="0.25">
      <c r="M242" s="642"/>
    </row>
    <row r="243" spans="13:13" x14ac:dyDescent="0.25">
      <c r="M243" s="642"/>
    </row>
    <row r="244" spans="13:13" x14ac:dyDescent="0.25">
      <c r="M244" s="642"/>
    </row>
    <row r="245" spans="13:13" x14ac:dyDescent="0.25">
      <c r="M245" s="642"/>
    </row>
    <row r="246" spans="13:13" x14ac:dyDescent="0.25">
      <c r="M246" s="642"/>
    </row>
    <row r="247" spans="13:13" x14ac:dyDescent="0.25">
      <c r="M247" s="642"/>
    </row>
    <row r="248" spans="13:13" x14ac:dyDescent="0.25">
      <c r="M248" s="642"/>
    </row>
    <row r="249" spans="13:13" x14ac:dyDescent="0.25">
      <c r="M249" s="642"/>
    </row>
    <row r="250" spans="13:13" x14ac:dyDescent="0.25">
      <c r="M250" s="642"/>
    </row>
    <row r="251" spans="13:13" x14ac:dyDescent="0.25">
      <c r="M251" s="642"/>
    </row>
    <row r="252" spans="13:13" x14ac:dyDescent="0.25">
      <c r="M252" s="642"/>
    </row>
    <row r="253" spans="13:13" x14ac:dyDescent="0.25">
      <c r="M253" s="642"/>
    </row>
    <row r="254" spans="13:13" x14ac:dyDescent="0.25">
      <c r="M254" s="642"/>
    </row>
    <row r="255" spans="13:13" x14ac:dyDescent="0.25">
      <c r="M255" s="642"/>
    </row>
    <row r="256" spans="13:13" x14ac:dyDescent="0.25">
      <c r="M256" s="642"/>
    </row>
    <row r="257" spans="13:13" x14ac:dyDescent="0.25">
      <c r="M257" s="642"/>
    </row>
    <row r="258" spans="13:13" x14ac:dyDescent="0.25">
      <c r="M258" s="642"/>
    </row>
    <row r="259" spans="13:13" x14ac:dyDescent="0.25">
      <c r="M259" s="642"/>
    </row>
    <row r="260" spans="13:13" x14ac:dyDescent="0.25">
      <c r="M260" s="642"/>
    </row>
    <row r="261" spans="13:13" x14ac:dyDescent="0.25">
      <c r="M261" s="642"/>
    </row>
    <row r="262" spans="13:13" x14ac:dyDescent="0.25">
      <c r="M262" s="642"/>
    </row>
    <row r="263" spans="13:13" x14ac:dyDescent="0.25">
      <c r="M263" s="642"/>
    </row>
    <row r="264" spans="13:13" x14ac:dyDescent="0.25">
      <c r="M264" s="642"/>
    </row>
    <row r="265" spans="13:13" x14ac:dyDescent="0.25">
      <c r="M265" s="642"/>
    </row>
    <row r="266" spans="13:13" x14ac:dyDescent="0.25">
      <c r="M266" s="642"/>
    </row>
    <row r="267" spans="13:13" x14ac:dyDescent="0.25">
      <c r="M267" s="642"/>
    </row>
    <row r="268" spans="13:13" x14ac:dyDescent="0.25">
      <c r="M268" s="642"/>
    </row>
    <row r="269" spans="13:13" x14ac:dyDescent="0.25">
      <c r="M269" s="642"/>
    </row>
    <row r="270" spans="13:13" x14ac:dyDescent="0.25">
      <c r="M270" s="642"/>
    </row>
    <row r="271" spans="13:13" x14ac:dyDescent="0.25">
      <c r="M271" s="642"/>
    </row>
    <row r="272" spans="13:13" x14ac:dyDescent="0.25">
      <c r="M272" s="642"/>
    </row>
    <row r="273" spans="13:13" x14ac:dyDescent="0.25">
      <c r="M273" s="642"/>
    </row>
    <row r="274" spans="13:13" x14ac:dyDescent="0.25">
      <c r="M274" s="642"/>
    </row>
    <row r="275" spans="13:13" x14ac:dyDescent="0.25">
      <c r="M275" s="642"/>
    </row>
    <row r="276" spans="13:13" x14ac:dyDescent="0.25">
      <c r="M276" s="642"/>
    </row>
    <row r="277" spans="13:13" x14ac:dyDescent="0.25">
      <c r="M277" s="642"/>
    </row>
    <row r="278" spans="13:13" x14ac:dyDescent="0.25">
      <c r="M278" s="642"/>
    </row>
    <row r="279" spans="13:13" x14ac:dyDescent="0.25">
      <c r="M279" s="642"/>
    </row>
    <row r="280" spans="13:13" x14ac:dyDescent="0.25">
      <c r="M280" s="642"/>
    </row>
    <row r="281" spans="13:13" x14ac:dyDescent="0.25">
      <c r="M281" s="642"/>
    </row>
    <row r="282" spans="13:13" x14ac:dyDescent="0.25">
      <c r="M282" s="642"/>
    </row>
    <row r="283" spans="13:13" x14ac:dyDescent="0.25">
      <c r="M283" s="642"/>
    </row>
    <row r="284" spans="13:13" x14ac:dyDescent="0.25">
      <c r="M284" s="642"/>
    </row>
    <row r="285" spans="13:13" x14ac:dyDescent="0.25">
      <c r="M285" s="642"/>
    </row>
  </sheetData>
  <mergeCells count="6">
    <mergeCell ref="B2:B3"/>
    <mergeCell ref="C2:C3"/>
    <mergeCell ref="B56:B57"/>
    <mergeCell ref="C56:C57"/>
    <mergeCell ref="B125:B126"/>
    <mergeCell ref="C125:C126"/>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F04B-6E91-4AC7-AD09-5B1DB92BEB8A}">
  <dimension ref="A1:BC369"/>
  <sheetViews>
    <sheetView topLeftCell="A157" zoomScale="80" zoomScaleNormal="80" workbookViewId="0">
      <selection activeCell="K187" sqref="K187"/>
    </sheetView>
  </sheetViews>
  <sheetFormatPr defaultColWidth="9.109375" defaultRowHeight="13.2" x14ac:dyDescent="0.25"/>
  <cols>
    <col min="1" max="1" width="7.5546875" style="262" customWidth="1"/>
    <col min="2" max="2" width="31.33203125" style="518" customWidth="1"/>
    <col min="3" max="3" width="39.88671875" style="518" customWidth="1"/>
    <col min="4" max="4" width="0.33203125" style="642" customWidth="1"/>
    <col min="5" max="5" width="0.21875" style="642" hidden="1" customWidth="1"/>
    <col min="6" max="6" width="0.33203125" style="642" hidden="1" customWidth="1"/>
    <col min="7" max="7" width="0.109375" style="642" hidden="1" customWidth="1"/>
    <col min="8" max="8" width="13" style="642" hidden="1" customWidth="1"/>
    <col min="9" max="9" width="13.44140625" style="642" hidden="1" customWidth="1"/>
    <col min="10" max="12" width="10.44140625" style="642" customWidth="1"/>
    <col min="13" max="13" width="10.44140625" style="737" customWidth="1"/>
    <col min="14" max="15" width="10.44140625" style="642" customWidth="1"/>
    <col min="16" max="24" width="9.109375" style="642"/>
    <col min="25" max="25" width="12" style="642" customWidth="1"/>
    <col min="26" max="26" width="17.5546875" style="642" customWidth="1"/>
    <col min="27" max="51" width="12.109375" style="642" customWidth="1"/>
    <col min="52" max="52" width="17.77734375" style="642" customWidth="1"/>
    <col min="53" max="53" width="29.77734375" style="642" customWidth="1"/>
    <col min="54" max="54" width="24.21875" style="642" customWidth="1"/>
    <col min="55" max="55" width="59" style="642" customWidth="1"/>
    <col min="56" max="16384" width="9.109375" style="642"/>
  </cols>
  <sheetData>
    <row r="1" spans="1:55" x14ac:dyDescent="0.25">
      <c r="D1" s="29"/>
      <c r="E1" s="29"/>
      <c r="F1" s="103"/>
      <c r="G1" s="103"/>
      <c r="H1" s="103"/>
      <c r="I1" s="103"/>
      <c r="J1" s="103"/>
      <c r="K1" s="103"/>
      <c r="L1" s="103"/>
      <c r="M1" s="103"/>
      <c r="N1" s="639"/>
      <c r="O1" s="639"/>
      <c r="P1" s="640"/>
      <c r="Q1" s="641">
        <v>1</v>
      </c>
      <c r="R1" s="641">
        <v>2</v>
      </c>
      <c r="S1" s="641">
        <v>3</v>
      </c>
      <c r="T1" s="641">
        <v>4</v>
      </c>
      <c r="U1" s="641">
        <v>5</v>
      </c>
      <c r="V1" s="641">
        <v>6</v>
      </c>
      <c r="W1" s="641">
        <v>7</v>
      </c>
      <c r="X1" s="641">
        <v>8</v>
      </c>
      <c r="Y1" s="641">
        <v>9</v>
      </c>
      <c r="Z1" s="641">
        <v>10</v>
      </c>
      <c r="AA1" s="641">
        <v>11</v>
      </c>
      <c r="AB1" s="641">
        <v>15</v>
      </c>
      <c r="AC1" s="641">
        <v>16</v>
      </c>
      <c r="AD1" s="641">
        <v>17</v>
      </c>
      <c r="AE1" s="641">
        <v>18</v>
      </c>
      <c r="AF1" s="641">
        <v>19</v>
      </c>
      <c r="AG1" s="641">
        <v>20</v>
      </c>
      <c r="AH1" s="641">
        <v>21</v>
      </c>
      <c r="AI1" s="641">
        <v>22</v>
      </c>
      <c r="AJ1" s="641">
        <v>23</v>
      </c>
      <c r="AK1" s="641">
        <v>24</v>
      </c>
      <c r="AL1" s="641">
        <v>25</v>
      </c>
      <c r="AM1" s="641">
        <v>26</v>
      </c>
      <c r="AN1" s="641">
        <v>27</v>
      </c>
      <c r="AO1" s="641">
        <v>28</v>
      </c>
      <c r="AP1" s="641">
        <v>29</v>
      </c>
      <c r="AQ1" s="641">
        <v>30</v>
      </c>
      <c r="AR1" s="641">
        <v>31</v>
      </c>
      <c r="AS1" s="641">
        <v>32</v>
      </c>
      <c r="AT1" s="641">
        <v>33</v>
      </c>
      <c r="AU1" s="641">
        <v>34</v>
      </c>
      <c r="AV1" s="641">
        <v>35</v>
      </c>
      <c r="AW1" s="641">
        <v>36</v>
      </c>
      <c r="AX1" s="641">
        <v>37</v>
      </c>
      <c r="AY1" s="641">
        <v>38</v>
      </c>
      <c r="AZ1" s="641">
        <v>39</v>
      </c>
      <c r="BA1" s="641">
        <v>40</v>
      </c>
      <c r="BB1" s="103"/>
      <c r="BC1" s="103"/>
    </row>
    <row r="2" spans="1:55" ht="15" customHeight="1" x14ac:dyDescent="0.25">
      <c r="B2" s="2376" t="s">
        <v>1251</v>
      </c>
      <c r="C2" s="2378" t="s">
        <v>398</v>
      </c>
      <c r="D2" s="42"/>
      <c r="E2" s="42"/>
      <c r="F2" s="643" t="str">
        <f t="shared" ref="F2:I2" ca="1" si="0">IF(TODAY()&lt;F3,"Proj","")</f>
        <v/>
      </c>
      <c r="G2" s="643" t="str">
        <f t="shared" ca="1" si="0"/>
        <v/>
      </c>
      <c r="H2" s="643" t="str">
        <f t="shared" ca="1" si="0"/>
        <v/>
      </c>
      <c r="I2" s="643" t="str">
        <f t="shared" ca="1" si="0"/>
        <v/>
      </c>
      <c r="J2" s="643" t="str">
        <f ca="1">IF(TODAY()&lt;J3,"Proj","")</f>
        <v/>
      </c>
      <c r="K2" s="643" t="str">
        <f t="shared" ref="K2:BA2" ca="1" si="1">IF(TODAY()&lt;K3,"Proj","")</f>
        <v/>
      </c>
      <c r="L2" s="643" t="str">
        <f t="shared" ca="1" si="1"/>
        <v/>
      </c>
      <c r="M2" s="643" t="str">
        <f t="shared" ca="1" si="1"/>
        <v/>
      </c>
      <c r="N2" s="643" t="str">
        <f t="shared" ca="1" si="1"/>
        <v/>
      </c>
      <c r="O2" s="643" t="str">
        <f t="shared" ca="1" si="1"/>
        <v/>
      </c>
      <c r="P2" s="644" t="str">
        <f t="shared" ca="1" si="1"/>
        <v/>
      </c>
      <c r="Q2" s="645" t="str">
        <f t="shared" ca="1" si="1"/>
        <v/>
      </c>
      <c r="R2" s="645" t="str">
        <f t="shared" ca="1" si="1"/>
        <v/>
      </c>
      <c r="S2" s="645" t="str">
        <f t="shared" ca="1" si="1"/>
        <v/>
      </c>
      <c r="T2" s="645" t="str">
        <f t="shared" ca="1" si="1"/>
        <v>Proj</v>
      </c>
      <c r="U2" s="645" t="str">
        <f t="shared" ca="1" si="1"/>
        <v>Proj</v>
      </c>
      <c r="V2" s="645" t="str">
        <f t="shared" ca="1" si="1"/>
        <v>Proj</v>
      </c>
      <c r="W2" s="645" t="str">
        <f t="shared" ca="1" si="1"/>
        <v>Proj</v>
      </c>
      <c r="X2" s="645" t="str">
        <f t="shared" ca="1" si="1"/>
        <v>Proj</v>
      </c>
      <c r="Y2" s="645" t="str">
        <f t="shared" ca="1" si="1"/>
        <v>Proj</v>
      </c>
      <c r="Z2" s="645" t="str">
        <f t="shared" ca="1" si="1"/>
        <v>Proj</v>
      </c>
      <c r="AA2" s="645" t="str">
        <f t="shared" ca="1" si="1"/>
        <v>Proj</v>
      </c>
      <c r="AB2" s="645" t="str">
        <f t="shared" ca="1" si="1"/>
        <v>Proj</v>
      </c>
      <c r="AC2" s="645" t="str">
        <f t="shared" ca="1" si="1"/>
        <v>Proj</v>
      </c>
      <c r="AD2" s="645" t="str">
        <f t="shared" ca="1" si="1"/>
        <v>Proj</v>
      </c>
      <c r="AE2" s="645" t="str">
        <f t="shared" ca="1" si="1"/>
        <v>Proj</v>
      </c>
      <c r="AF2" s="645" t="str">
        <f t="shared" ca="1" si="1"/>
        <v>Proj</v>
      </c>
      <c r="AG2" s="645" t="str">
        <f t="shared" ca="1" si="1"/>
        <v>Proj</v>
      </c>
      <c r="AH2" s="645" t="str">
        <f t="shared" ca="1" si="1"/>
        <v>Proj</v>
      </c>
      <c r="AI2" s="645" t="str">
        <f t="shared" ca="1" si="1"/>
        <v>Proj</v>
      </c>
      <c r="AJ2" s="645" t="str">
        <f t="shared" ca="1" si="1"/>
        <v>Proj</v>
      </c>
      <c r="AK2" s="645" t="str">
        <f t="shared" ca="1" si="1"/>
        <v>Proj</v>
      </c>
      <c r="AL2" s="645" t="str">
        <f t="shared" ca="1" si="1"/>
        <v>Proj</v>
      </c>
      <c r="AM2" s="645" t="str">
        <f t="shared" ca="1" si="1"/>
        <v>Proj</v>
      </c>
      <c r="AN2" s="645" t="str">
        <f t="shared" ca="1" si="1"/>
        <v>Proj</v>
      </c>
      <c r="AO2" s="645" t="str">
        <f t="shared" ca="1" si="1"/>
        <v>Proj</v>
      </c>
      <c r="AP2" s="645" t="str">
        <f t="shared" ca="1" si="1"/>
        <v>Proj</v>
      </c>
      <c r="AQ2" s="645" t="str">
        <f t="shared" ca="1" si="1"/>
        <v>Proj</v>
      </c>
      <c r="AR2" s="645" t="str">
        <f t="shared" ca="1" si="1"/>
        <v>Proj</v>
      </c>
      <c r="AS2" s="645" t="str">
        <f t="shared" ca="1" si="1"/>
        <v>Proj</v>
      </c>
      <c r="AT2" s="645" t="str">
        <f t="shared" ca="1" si="1"/>
        <v>Proj</v>
      </c>
      <c r="AU2" s="645" t="str">
        <f t="shared" ca="1" si="1"/>
        <v>Proj</v>
      </c>
      <c r="AV2" s="645" t="str">
        <f t="shared" ca="1" si="1"/>
        <v>Proj</v>
      </c>
      <c r="AW2" s="645" t="str">
        <f t="shared" ca="1" si="1"/>
        <v>Proj</v>
      </c>
      <c r="AX2" s="645" t="str">
        <f t="shared" ca="1" si="1"/>
        <v>Proj</v>
      </c>
      <c r="AY2" s="645" t="str">
        <f t="shared" ca="1" si="1"/>
        <v>Proj</v>
      </c>
      <c r="AZ2" s="645" t="str">
        <f t="shared" ca="1" si="1"/>
        <v>Proj</v>
      </c>
      <c r="BA2" s="645" t="str">
        <f t="shared" ca="1" si="1"/>
        <v>Proj</v>
      </c>
      <c r="BB2" s="643"/>
      <c r="BC2" s="646"/>
    </row>
    <row r="3" spans="1:55" ht="13.8" thickBot="1" x14ac:dyDescent="0.3">
      <c r="B3" s="2377"/>
      <c r="C3" s="2379"/>
      <c r="D3" s="1373">
        <v>40178</v>
      </c>
      <c r="E3" s="648">
        <f t="shared" ref="E3:BA3" si="2">DATE(YEAR(D3),MONTH(D3)+13,0)</f>
        <v>40543</v>
      </c>
      <c r="F3" s="648">
        <f t="shared" si="2"/>
        <v>40908</v>
      </c>
      <c r="G3" s="648">
        <f t="shared" si="2"/>
        <v>41274</v>
      </c>
      <c r="H3" s="648">
        <f t="shared" si="2"/>
        <v>41639</v>
      </c>
      <c r="I3" s="648">
        <f t="shared" si="2"/>
        <v>42004</v>
      </c>
      <c r="J3" s="648">
        <f t="shared" si="2"/>
        <v>42369</v>
      </c>
      <c r="K3" s="648">
        <f t="shared" si="2"/>
        <v>42735</v>
      </c>
      <c r="L3" s="648">
        <f t="shared" si="2"/>
        <v>43100</v>
      </c>
      <c r="M3" s="648">
        <f t="shared" si="2"/>
        <v>43465</v>
      </c>
      <c r="N3" s="648">
        <f t="shared" si="2"/>
        <v>43830</v>
      </c>
      <c r="O3" s="648">
        <f t="shared" si="2"/>
        <v>44196</v>
      </c>
      <c r="P3" s="649">
        <f t="shared" si="2"/>
        <v>44561</v>
      </c>
      <c r="Q3" s="650">
        <f t="shared" si="2"/>
        <v>44926</v>
      </c>
      <c r="R3" s="650">
        <f t="shared" si="2"/>
        <v>45291</v>
      </c>
      <c r="S3" s="650">
        <f t="shared" si="2"/>
        <v>45657</v>
      </c>
      <c r="T3" s="650">
        <f t="shared" si="2"/>
        <v>46022</v>
      </c>
      <c r="U3" s="650">
        <f t="shared" si="2"/>
        <v>46387</v>
      </c>
      <c r="V3" s="650">
        <f t="shared" si="2"/>
        <v>46752</v>
      </c>
      <c r="W3" s="650">
        <f t="shared" si="2"/>
        <v>47118</v>
      </c>
      <c r="X3" s="650">
        <f t="shared" si="2"/>
        <v>47483</v>
      </c>
      <c r="Y3" s="650">
        <f t="shared" si="2"/>
        <v>47848</v>
      </c>
      <c r="Z3" s="650">
        <f t="shared" si="2"/>
        <v>48213</v>
      </c>
      <c r="AA3" s="650">
        <f t="shared" si="2"/>
        <v>48579</v>
      </c>
      <c r="AB3" s="650">
        <f t="shared" si="2"/>
        <v>48944</v>
      </c>
      <c r="AC3" s="650">
        <f t="shared" si="2"/>
        <v>49309</v>
      </c>
      <c r="AD3" s="650">
        <f t="shared" si="2"/>
        <v>49674</v>
      </c>
      <c r="AE3" s="650">
        <f t="shared" si="2"/>
        <v>50040</v>
      </c>
      <c r="AF3" s="650">
        <f t="shared" si="2"/>
        <v>50405</v>
      </c>
      <c r="AG3" s="650">
        <f t="shared" si="2"/>
        <v>50770</v>
      </c>
      <c r="AH3" s="650">
        <f t="shared" si="2"/>
        <v>51135</v>
      </c>
      <c r="AI3" s="650">
        <f t="shared" si="2"/>
        <v>51501</v>
      </c>
      <c r="AJ3" s="650">
        <f t="shared" si="2"/>
        <v>51866</v>
      </c>
      <c r="AK3" s="650">
        <f t="shared" si="2"/>
        <v>52231</v>
      </c>
      <c r="AL3" s="650">
        <f t="shared" si="2"/>
        <v>52596</v>
      </c>
      <c r="AM3" s="650">
        <f t="shared" si="2"/>
        <v>52962</v>
      </c>
      <c r="AN3" s="650">
        <f t="shared" si="2"/>
        <v>53327</v>
      </c>
      <c r="AO3" s="650">
        <f t="shared" si="2"/>
        <v>53692</v>
      </c>
      <c r="AP3" s="650">
        <f t="shared" si="2"/>
        <v>54057</v>
      </c>
      <c r="AQ3" s="650">
        <f t="shared" si="2"/>
        <v>54423</v>
      </c>
      <c r="AR3" s="650">
        <f t="shared" si="2"/>
        <v>54788</v>
      </c>
      <c r="AS3" s="650">
        <f t="shared" si="2"/>
        <v>55153</v>
      </c>
      <c r="AT3" s="650">
        <f t="shared" si="2"/>
        <v>55518</v>
      </c>
      <c r="AU3" s="650">
        <f t="shared" si="2"/>
        <v>55884</v>
      </c>
      <c r="AV3" s="650">
        <f t="shared" si="2"/>
        <v>56249</v>
      </c>
      <c r="AW3" s="650">
        <f t="shared" si="2"/>
        <v>56614</v>
      </c>
      <c r="AX3" s="650">
        <f t="shared" si="2"/>
        <v>56979</v>
      </c>
      <c r="AY3" s="650">
        <f t="shared" si="2"/>
        <v>57345</v>
      </c>
      <c r="AZ3" s="650">
        <f t="shared" si="2"/>
        <v>57710</v>
      </c>
      <c r="BA3" s="650">
        <f t="shared" si="2"/>
        <v>58075</v>
      </c>
      <c r="BB3" s="651"/>
      <c r="BC3" s="652"/>
    </row>
    <row r="4" spans="1:55" ht="13.8" thickTop="1" x14ac:dyDescent="0.25">
      <c r="B4" s="653"/>
      <c r="C4" s="653"/>
      <c r="D4" s="654"/>
      <c r="E4" s="364"/>
      <c r="F4" s="364"/>
      <c r="G4" s="364"/>
      <c r="H4" s="364"/>
      <c r="I4" s="364"/>
      <c r="J4" s="364"/>
      <c r="K4" s="364"/>
      <c r="L4" s="364"/>
      <c r="M4" s="364"/>
      <c r="N4" s="364"/>
      <c r="O4" s="364"/>
      <c r="P4" s="740"/>
      <c r="Q4" s="364"/>
      <c r="R4" s="364"/>
      <c r="S4" s="364"/>
      <c r="T4" s="364"/>
      <c r="U4" s="364"/>
      <c r="V4" s="364"/>
      <c r="W4" s="364"/>
      <c r="X4" s="364"/>
      <c r="Y4" s="364"/>
      <c r="Z4" s="364"/>
      <c r="AA4" s="2236"/>
      <c r="AB4" s="364"/>
      <c r="AC4" s="364"/>
      <c r="AD4" s="364"/>
      <c r="AE4" s="364"/>
      <c r="AF4" s="364"/>
      <c r="AG4" s="364"/>
      <c r="AH4" s="364"/>
      <c r="AI4" s="364"/>
      <c r="AJ4" s="364"/>
      <c r="AK4" s="364"/>
      <c r="AL4" s="364"/>
      <c r="AM4" s="364"/>
      <c r="AN4" s="364"/>
      <c r="AO4" s="364"/>
      <c r="AP4" s="364"/>
      <c r="AQ4" s="364"/>
      <c r="AR4" s="364"/>
      <c r="AS4" s="364"/>
      <c r="AT4" s="364"/>
      <c r="AU4" s="364"/>
      <c r="AV4" s="364"/>
      <c r="AW4" s="364"/>
      <c r="AX4" s="364"/>
      <c r="AY4" s="364"/>
      <c r="AZ4" s="364"/>
      <c r="BA4" s="364"/>
      <c r="BB4" s="364"/>
      <c r="BC4" s="364"/>
    </row>
    <row r="5" spans="1:55" s="124" customFormat="1" x14ac:dyDescent="0.25">
      <c r="A5" s="115">
        <v>1</v>
      </c>
      <c r="B5" s="123" t="s">
        <v>324</v>
      </c>
      <c r="C5" s="123" t="s">
        <v>402</v>
      </c>
      <c r="D5" s="118"/>
      <c r="E5" s="118"/>
      <c r="F5" s="118"/>
      <c r="G5" s="118"/>
      <c r="H5" s="118"/>
      <c r="I5" s="118"/>
      <c r="J5" s="119">
        <f>Input!J7</f>
        <v>1225.068036933</v>
      </c>
      <c r="K5" s="119">
        <f>Input!K7</f>
        <v>1384.901834538</v>
      </c>
      <c r="L5" s="119">
        <f>Input!L7</f>
        <v>1388.227398407</v>
      </c>
      <c r="M5" s="119">
        <f>Input!M7</f>
        <v>1401.0243162510001</v>
      </c>
      <c r="N5" s="119">
        <f>Input!N7</f>
        <v>1261.729021484</v>
      </c>
      <c r="O5" s="119">
        <f>Input!O7</f>
        <v>1256.952371543</v>
      </c>
      <c r="P5" s="671">
        <f>Input!P7</f>
        <v>1558.5043332830001</v>
      </c>
      <c r="Q5" s="172">
        <f>Input!Q7</f>
        <v>1674.6241956129609</v>
      </c>
      <c r="R5" s="172">
        <f>Input!R7</f>
        <v>1747.0633585486698</v>
      </c>
      <c r="S5" s="172">
        <f>Input!S7</f>
        <v>2205.6779275070485</v>
      </c>
      <c r="T5" s="172">
        <f>Input!T7</f>
        <v>2352.6624514638038</v>
      </c>
      <c r="U5" s="172">
        <f>Input!U7</f>
        <v>2500.2090223576433</v>
      </c>
      <c r="V5" s="172">
        <f>Input!V7</f>
        <v>2621.935344537902</v>
      </c>
      <c r="W5" s="172">
        <f>Input!W7</f>
        <v>2773.8208160693039</v>
      </c>
      <c r="X5" s="172">
        <f>Input!X7</f>
        <v>2880.957655097322</v>
      </c>
      <c r="Y5" s="172">
        <f>Input!Y7</f>
        <v>2996.9379229805013</v>
      </c>
      <c r="Z5" s="172">
        <f>Input!Z7</f>
        <v>3122.6339329848565</v>
      </c>
      <c r="AA5" s="172"/>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row>
    <row r="6" spans="1:55" s="124" customFormat="1" x14ac:dyDescent="0.25">
      <c r="A6" s="115">
        <v>2</v>
      </c>
      <c r="B6" s="123" t="s">
        <v>32</v>
      </c>
      <c r="C6" s="123" t="s">
        <v>405</v>
      </c>
      <c r="D6" s="118"/>
      <c r="E6" s="118"/>
      <c r="F6" s="118"/>
      <c r="G6" s="118"/>
      <c r="H6" s="118"/>
      <c r="I6" s="118"/>
      <c r="J6" s="119">
        <f>+Input!J11</f>
        <v>773.07692048900003</v>
      </c>
      <c r="K6" s="119">
        <f>+Input!K11</f>
        <v>875.70243685100002</v>
      </c>
      <c r="L6" s="119">
        <f>+Input!L11</f>
        <v>897.55493153600003</v>
      </c>
      <c r="M6" s="119">
        <f>+Input!M11</f>
        <v>972.89627893099998</v>
      </c>
      <c r="N6" s="119">
        <f>+Input!N11</f>
        <v>846.93308036400003</v>
      </c>
      <c r="O6" s="119">
        <f>+Input!O11</f>
        <v>765.81309361800004</v>
      </c>
      <c r="P6" s="671">
        <f>+Input!P11</f>
        <v>935.938713151</v>
      </c>
      <c r="Q6" s="172">
        <f>+Input!Q11</f>
        <v>1012.6251940072838</v>
      </c>
      <c r="R6" s="172">
        <f>+Input!R11</f>
        <v>1068.8092083292872</v>
      </c>
      <c r="S6" s="172">
        <f>+Input!S11</f>
        <v>1296.3681791200668</v>
      </c>
      <c r="T6" s="172">
        <f>+Input!T11</f>
        <v>1357.3298826322605</v>
      </c>
      <c r="U6" s="172">
        <f>+Input!U11</f>
        <v>1410.7837820808772</v>
      </c>
      <c r="V6" s="172">
        <f>+Input!V11</f>
        <v>1465.7026623117556</v>
      </c>
      <c r="W6" s="172">
        <f>+Input!W11</f>
        <v>1532.2327524787643</v>
      </c>
      <c r="X6" s="172">
        <f>+Input!X11</f>
        <v>1590.3549921054873</v>
      </c>
      <c r="Y6" s="172">
        <f>+Input!Y11</f>
        <v>1653.0812476685103</v>
      </c>
      <c r="Z6" s="172">
        <f>+Input!Z11</f>
        <v>1720.8580712685739</v>
      </c>
      <c r="AA6" s="172"/>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18"/>
    </row>
    <row r="7" spans="1:55" s="124" customFormat="1" x14ac:dyDescent="0.25">
      <c r="A7" s="115"/>
      <c r="B7" s="140" t="s">
        <v>1252</v>
      </c>
      <c r="C7" s="140" t="s">
        <v>408</v>
      </c>
      <c r="D7" s="267"/>
      <c r="E7" s="267"/>
      <c r="F7" s="267"/>
      <c r="G7" s="267"/>
      <c r="H7" s="267"/>
      <c r="I7" s="267"/>
      <c r="J7" s="656">
        <f>Input!J15</f>
        <v>451.991116444</v>
      </c>
      <c r="K7" s="656">
        <f>Input!K15</f>
        <v>509.19939768699999</v>
      </c>
      <c r="L7" s="656">
        <f>Input!L15</f>
        <v>490.67246687099998</v>
      </c>
      <c r="M7" s="656">
        <f>Input!M15</f>
        <v>428.12803732000009</v>
      </c>
      <c r="N7" s="656">
        <f>Input!N15</f>
        <v>414.79594111999995</v>
      </c>
      <c r="O7" s="656">
        <f>Input!O15</f>
        <v>491.13927792499999</v>
      </c>
      <c r="P7" s="684">
        <f>Input!P15</f>
        <v>622.56562013200005</v>
      </c>
      <c r="Q7" s="657">
        <f>Input!Q15</f>
        <v>661.99900160567711</v>
      </c>
      <c r="R7" s="657">
        <f>Input!R15</f>
        <v>678.25415021938261</v>
      </c>
      <c r="S7" s="657">
        <f>Input!S15</f>
        <v>909.30974838698171</v>
      </c>
      <c r="T7" s="657">
        <f>Input!T15</f>
        <v>995.33256883154331</v>
      </c>
      <c r="U7" s="657">
        <f>Input!U15</f>
        <v>1089.4252402767661</v>
      </c>
      <c r="V7" s="657">
        <f>Input!V15</f>
        <v>1156.2326822261464</v>
      </c>
      <c r="W7" s="657">
        <f>Input!W15</f>
        <v>1241.5880635905396</v>
      </c>
      <c r="X7" s="657">
        <f>Input!X15</f>
        <v>1290.6026629918347</v>
      </c>
      <c r="Y7" s="657">
        <f>Input!Y15</f>
        <v>1343.856675311991</v>
      </c>
      <c r="Z7" s="657">
        <f>Input!Z15</f>
        <v>1401.7758617162826</v>
      </c>
      <c r="AA7" s="657"/>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row>
    <row r="8" spans="1:55" s="665" customFormat="1" x14ac:dyDescent="0.25">
      <c r="A8" s="658"/>
      <c r="B8" s="659" t="s">
        <v>1253</v>
      </c>
      <c r="C8" s="659" t="s">
        <v>407</v>
      </c>
      <c r="D8" s="660"/>
      <c r="E8" s="660"/>
      <c r="F8" s="660"/>
      <c r="G8" s="660"/>
      <c r="H8" s="660"/>
      <c r="I8" s="660"/>
      <c r="J8" s="661">
        <f>J7/J$5</f>
        <v>0.36895184823822136</v>
      </c>
      <c r="K8" s="661">
        <f t="shared" ref="K8:Z8" si="3">K7/K$5</f>
        <v>0.36767905492512232</v>
      </c>
      <c r="L8" s="661">
        <f t="shared" si="3"/>
        <v>0.35345251608925876</v>
      </c>
      <c r="M8" s="661">
        <f t="shared" si="3"/>
        <v>0.30558216039078295</v>
      </c>
      <c r="N8" s="661">
        <f t="shared" si="3"/>
        <v>0.3287520014655223</v>
      </c>
      <c r="O8" s="661">
        <f t="shared" si="3"/>
        <v>0.39073817675533001</v>
      </c>
      <c r="P8" s="674">
        <f t="shared" si="3"/>
        <v>0.39946351565193361</v>
      </c>
      <c r="Q8" s="662">
        <f t="shared" si="3"/>
        <v>0.39531197706322779</v>
      </c>
      <c r="R8" s="662">
        <f t="shared" si="3"/>
        <v>0.38822527351430786</v>
      </c>
      <c r="S8" s="662">
        <f t="shared" si="3"/>
        <v>0.41225862445598416</v>
      </c>
      <c r="T8" s="662">
        <f t="shared" si="3"/>
        <v>0.4230664574139214</v>
      </c>
      <c r="U8" s="662">
        <f t="shared" si="3"/>
        <v>0.43573366487953136</v>
      </c>
      <c r="V8" s="662">
        <f t="shared" si="3"/>
        <v>0.44098443717723496</v>
      </c>
      <c r="W8" s="662">
        <f t="shared" si="3"/>
        <v>0.44760932515819674</v>
      </c>
      <c r="X8" s="662">
        <f t="shared" si="3"/>
        <v>0.44797696373924545</v>
      </c>
      <c r="Y8" s="662">
        <f t="shared" si="3"/>
        <v>0.44840991366798305</v>
      </c>
      <c r="Z8" s="662">
        <f t="shared" si="3"/>
        <v>0.44890816272413853</v>
      </c>
      <c r="AA8" s="662"/>
      <c r="AB8" s="663"/>
      <c r="AC8" s="663"/>
      <c r="AD8" s="663"/>
      <c r="AE8" s="663"/>
      <c r="AF8" s="663"/>
      <c r="AG8" s="663"/>
      <c r="AH8" s="663"/>
      <c r="AI8" s="663"/>
      <c r="AJ8" s="663"/>
      <c r="AK8" s="663"/>
      <c r="AL8" s="663"/>
      <c r="AM8" s="663"/>
      <c r="AN8" s="663"/>
      <c r="AO8" s="663"/>
      <c r="AP8" s="663"/>
      <c r="AQ8" s="663"/>
      <c r="AR8" s="663"/>
      <c r="AS8" s="663"/>
      <c r="AT8" s="663"/>
      <c r="AU8" s="663"/>
      <c r="AV8" s="663"/>
      <c r="AW8" s="663"/>
      <c r="AX8" s="663"/>
      <c r="AY8" s="663"/>
      <c r="AZ8" s="663"/>
      <c r="BA8" s="663"/>
      <c r="BB8" s="664"/>
      <c r="BC8" s="664"/>
    </row>
    <row r="9" spans="1:55" s="29" customFormat="1" x14ac:dyDescent="0.25">
      <c r="A9" s="115"/>
      <c r="B9" s="103"/>
      <c r="C9" s="103"/>
      <c r="D9" s="66"/>
      <c r="E9" s="66"/>
      <c r="F9" s="66"/>
      <c r="G9" s="66"/>
      <c r="H9" s="66"/>
      <c r="I9" s="66"/>
      <c r="J9" s="66"/>
      <c r="K9" s="66"/>
      <c r="L9" s="66"/>
      <c r="M9" s="66"/>
      <c r="N9" s="66"/>
      <c r="O9" s="66"/>
      <c r="P9" s="303"/>
      <c r="Q9" s="208"/>
      <c r="R9" s="208"/>
      <c r="S9" s="208"/>
      <c r="T9" s="208"/>
      <c r="U9" s="208"/>
      <c r="V9" s="208"/>
      <c r="W9" s="208"/>
      <c r="X9" s="208"/>
      <c r="Y9" s="208"/>
      <c r="Z9" s="208"/>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112"/>
      <c r="BC9" s="112"/>
    </row>
    <row r="10" spans="1:55" s="124" customFormat="1" x14ac:dyDescent="0.25">
      <c r="A10" s="115"/>
      <c r="B10" s="123" t="s">
        <v>1254</v>
      </c>
      <c r="C10" s="666" t="s">
        <v>410</v>
      </c>
      <c r="D10" s="469"/>
      <c r="E10" s="469"/>
      <c r="F10" s="469"/>
      <c r="G10" s="469"/>
      <c r="H10" s="469"/>
      <c r="I10" s="469"/>
      <c r="J10" s="667">
        <f>Input!J19</f>
        <v>324.11408480799997</v>
      </c>
      <c r="K10" s="667">
        <f>Input!K19</f>
        <v>351.19045200300002</v>
      </c>
      <c r="L10" s="667">
        <f>Input!L19</f>
        <v>303.73434159300001</v>
      </c>
      <c r="M10" s="667">
        <f>Input!M19</f>
        <v>241.571069018</v>
      </c>
      <c r="N10" s="667">
        <f>Input!N19</f>
        <v>254.04638620999998</v>
      </c>
      <c r="O10" s="667">
        <f>Input!O19</f>
        <v>309.35620358699998</v>
      </c>
      <c r="P10" s="693">
        <f>Input!P19</f>
        <v>405.43709983100001</v>
      </c>
      <c r="Q10" s="668">
        <f>Input!Q19</f>
        <v>388.64818126208149</v>
      </c>
      <c r="R10" s="668">
        <f>Input!R19</f>
        <v>405.45992266702751</v>
      </c>
      <c r="S10" s="668">
        <f>Input!S19</f>
        <v>511.89557467355212</v>
      </c>
      <c r="T10" s="668">
        <f>Input!T19</f>
        <v>546.00786569330319</v>
      </c>
      <c r="U10" s="668">
        <f>Input!U19</f>
        <v>580.25059703539875</v>
      </c>
      <c r="V10" s="668">
        <f>Input!V19</f>
        <v>608.50094350179711</v>
      </c>
      <c r="W10" s="668">
        <f>Input!W19</f>
        <v>643.75065052588934</v>
      </c>
      <c r="X10" s="668">
        <f>Input!X19</f>
        <v>668.61505756329427</v>
      </c>
      <c r="Y10" s="668">
        <f>Input!Y19</f>
        <v>695.53185495173034</v>
      </c>
      <c r="Z10" s="668">
        <f>Input!Z19</f>
        <v>724.70348988216438</v>
      </c>
      <c r="AA10" s="668"/>
      <c r="AB10" s="470"/>
      <c r="AC10" s="470"/>
      <c r="AD10" s="470"/>
      <c r="AE10" s="470"/>
      <c r="AF10" s="470"/>
      <c r="AG10" s="470"/>
      <c r="AH10" s="470"/>
      <c r="AI10" s="470"/>
      <c r="AJ10" s="470"/>
      <c r="AK10" s="470"/>
      <c r="AL10" s="470"/>
      <c r="AM10" s="470"/>
      <c r="AN10" s="470"/>
      <c r="AO10" s="470"/>
      <c r="AP10" s="470"/>
      <c r="AQ10" s="470"/>
      <c r="AR10" s="470"/>
      <c r="AS10" s="470"/>
      <c r="AT10" s="470"/>
      <c r="AU10" s="470"/>
      <c r="AV10" s="470"/>
      <c r="AW10" s="470"/>
      <c r="AX10" s="470"/>
      <c r="AY10" s="470"/>
      <c r="AZ10" s="470"/>
      <c r="BA10" s="470"/>
    </row>
    <row r="11" spans="1:55" s="124" customFormat="1" x14ac:dyDescent="0.25">
      <c r="A11" s="115"/>
      <c r="B11" s="123"/>
      <c r="C11" s="669" t="s">
        <v>416</v>
      </c>
      <c r="D11" s="469"/>
      <c r="E11" s="469"/>
      <c r="F11" s="469"/>
      <c r="G11" s="469"/>
      <c r="H11" s="469"/>
      <c r="I11" s="469"/>
      <c r="J11" s="469"/>
      <c r="K11" s="469"/>
      <c r="L11" s="469"/>
      <c r="M11" s="469"/>
      <c r="N11" s="469"/>
      <c r="O11" s="469"/>
      <c r="P11" s="670"/>
      <c r="Q11" s="470"/>
      <c r="R11" s="470"/>
      <c r="S11" s="470"/>
      <c r="T11" s="470"/>
      <c r="U11" s="470"/>
      <c r="V11" s="470"/>
      <c r="W11" s="470"/>
      <c r="X11" s="470"/>
      <c r="Y11" s="470"/>
      <c r="Z11" s="470"/>
      <c r="AA11" s="470"/>
      <c r="AB11" s="470"/>
      <c r="AC11" s="470"/>
      <c r="AD11" s="470"/>
      <c r="AE11" s="470"/>
      <c r="AF11" s="470"/>
      <c r="AG11" s="470"/>
      <c r="AH11" s="470"/>
      <c r="AI11" s="470"/>
      <c r="AJ11" s="470"/>
      <c r="AK11" s="470"/>
      <c r="AL11" s="470"/>
      <c r="AM11" s="470"/>
      <c r="AN11" s="470"/>
      <c r="AO11" s="470"/>
      <c r="AP11" s="470"/>
      <c r="AQ11" s="470"/>
      <c r="AR11" s="470"/>
      <c r="AS11" s="470"/>
      <c r="AT11" s="470"/>
      <c r="AU11" s="470"/>
      <c r="AV11" s="470"/>
      <c r="AW11" s="470"/>
      <c r="AX11" s="470"/>
      <c r="AY11" s="470"/>
      <c r="AZ11" s="470"/>
      <c r="BA11" s="470"/>
    </row>
    <row r="12" spans="1:55" s="124" customFormat="1" x14ac:dyDescent="0.25">
      <c r="A12" s="115"/>
      <c r="B12" s="140" t="s">
        <v>419</v>
      </c>
      <c r="C12" s="123" t="s">
        <v>419</v>
      </c>
      <c r="D12" s="118"/>
      <c r="E12" s="118"/>
      <c r="F12" s="118"/>
      <c r="G12" s="118"/>
      <c r="H12" s="118"/>
      <c r="I12" s="118"/>
      <c r="J12" s="119">
        <f>Input!J35</f>
        <v>167.09401340400001</v>
      </c>
      <c r="K12" s="119">
        <f>Input!K35</f>
        <v>191.80277707599998</v>
      </c>
      <c r="L12" s="119">
        <f>Input!L35</f>
        <v>223.75196760799997</v>
      </c>
      <c r="M12" s="119">
        <f>Input!M35</f>
        <v>223.07388376400007</v>
      </c>
      <c r="N12" s="119">
        <f>Input!N35</f>
        <v>188.69457661899997</v>
      </c>
      <c r="O12" s="119">
        <f>Input!O35</f>
        <v>213.59206486799999</v>
      </c>
      <c r="P12" s="671">
        <f>Input!P35</f>
        <v>257.80264870500002</v>
      </c>
      <c r="Q12" s="172">
        <f>Input!Q35</f>
        <v>375.06371231883986</v>
      </c>
      <c r="R12" s="172">
        <f>Input!R35</f>
        <v>406.38749260380672</v>
      </c>
      <c r="S12" s="172">
        <f>Input!S35</f>
        <v>538.15270169095936</v>
      </c>
      <c r="T12" s="172">
        <f>Input!T35</f>
        <v>549.23597791525174</v>
      </c>
      <c r="U12" s="172">
        <f>Input!U35</f>
        <v>607.59090702304798</v>
      </c>
      <c r="V12" s="172">
        <f>Input!V35</f>
        <v>655.01109494336447</v>
      </c>
      <c r="W12" s="172">
        <f>Input!W35</f>
        <v>714.79064406556051</v>
      </c>
      <c r="X12" s="172">
        <f>Input!X35</f>
        <v>747.32805297489028</v>
      </c>
      <c r="Y12" s="172">
        <f>Input!Y35</f>
        <v>782.40762967183957</v>
      </c>
      <c r="Z12" s="172">
        <f>Input!Z35</f>
        <v>820.28519040945832</v>
      </c>
      <c r="AA12" s="172"/>
      <c r="AB12" s="173"/>
      <c r="AC12" s="173"/>
      <c r="AD12" s="173"/>
      <c r="AE12" s="173"/>
      <c r="AF12" s="173"/>
      <c r="AG12" s="173"/>
      <c r="AH12" s="173"/>
      <c r="AI12" s="173"/>
      <c r="AJ12" s="173"/>
      <c r="AK12" s="173"/>
      <c r="AL12" s="173"/>
      <c r="AM12" s="173"/>
      <c r="AN12" s="173"/>
      <c r="AO12" s="173"/>
      <c r="AP12" s="173"/>
      <c r="AQ12" s="173"/>
      <c r="AR12" s="173"/>
      <c r="AS12" s="173"/>
      <c r="AT12" s="173"/>
      <c r="AU12" s="173"/>
      <c r="AV12" s="173"/>
      <c r="AW12" s="173"/>
      <c r="AX12" s="173"/>
      <c r="AY12" s="173"/>
      <c r="AZ12" s="173"/>
      <c r="BA12" s="173"/>
    </row>
    <row r="13" spans="1:55" s="675" customFormat="1" x14ac:dyDescent="0.25">
      <c r="A13" s="658"/>
      <c r="B13" s="672"/>
      <c r="C13" s="672" t="s">
        <v>418</v>
      </c>
      <c r="D13" s="673"/>
      <c r="E13" s="673"/>
      <c r="F13" s="673"/>
      <c r="G13" s="673"/>
      <c r="H13" s="673"/>
      <c r="I13" s="673"/>
      <c r="J13" s="661">
        <f>J12/J$5</f>
        <v>0.13639570078273008</v>
      </c>
      <c r="K13" s="661">
        <f t="shared" ref="K13:Z13" si="4">K12/K$5</f>
        <v>0.13849557585428784</v>
      </c>
      <c r="L13" s="661">
        <f t="shared" si="4"/>
        <v>0.16117818151749261</v>
      </c>
      <c r="M13" s="661">
        <f t="shared" si="4"/>
        <v>0.15922199292081049</v>
      </c>
      <c r="N13" s="661">
        <f t="shared" si="4"/>
        <v>0.14955237884364761</v>
      </c>
      <c r="O13" s="661">
        <f t="shared" si="4"/>
        <v>0.16992852689064128</v>
      </c>
      <c r="P13" s="674">
        <f t="shared" si="4"/>
        <v>0.1654167031810152</v>
      </c>
      <c r="Q13" s="662">
        <f t="shared" si="4"/>
        <v>0.22396888406449644</v>
      </c>
      <c r="R13" s="662">
        <f t="shared" si="4"/>
        <v>0.23261176568971328</v>
      </c>
      <c r="S13" s="662">
        <f t="shared" si="4"/>
        <v>0.24398516890414848</v>
      </c>
      <c r="T13" s="662">
        <f t="shared" si="4"/>
        <v>0.23345294501279706</v>
      </c>
      <c r="U13" s="662">
        <f t="shared" si="4"/>
        <v>0.24301604449459302</v>
      </c>
      <c r="V13" s="662">
        <f t="shared" si="4"/>
        <v>0.24981969761684023</v>
      </c>
      <c r="W13" s="662">
        <f t="shared" si="4"/>
        <v>0.25769171531363311</v>
      </c>
      <c r="X13" s="662">
        <f t="shared" si="4"/>
        <v>0.25940265093887493</v>
      </c>
      <c r="Y13" s="662">
        <f t="shared" si="4"/>
        <v>0.26106901436707874</v>
      </c>
      <c r="Z13" s="662">
        <f t="shared" si="4"/>
        <v>0.26269015453417749</v>
      </c>
      <c r="AA13" s="662"/>
      <c r="AB13" s="663"/>
      <c r="AC13" s="663"/>
      <c r="AD13" s="663"/>
      <c r="AE13" s="663"/>
      <c r="AF13" s="663"/>
      <c r="AG13" s="663"/>
      <c r="AH13" s="663"/>
      <c r="AI13" s="663"/>
      <c r="AJ13" s="663"/>
      <c r="AK13" s="663"/>
      <c r="AL13" s="663"/>
      <c r="AM13" s="663"/>
      <c r="AN13" s="663"/>
      <c r="AO13" s="663"/>
      <c r="AP13" s="663"/>
      <c r="AQ13" s="663"/>
      <c r="AR13" s="663"/>
      <c r="AS13" s="663"/>
      <c r="AT13" s="663"/>
      <c r="AU13" s="663"/>
      <c r="AV13" s="663"/>
      <c r="AW13" s="663"/>
      <c r="AX13" s="663"/>
      <c r="AY13" s="663"/>
      <c r="AZ13" s="663"/>
      <c r="BA13" s="663"/>
    </row>
    <row r="14" spans="1:55" s="29" customFormat="1" x14ac:dyDescent="0.25">
      <c r="A14" s="115"/>
      <c r="B14" s="103"/>
      <c r="C14" s="103"/>
      <c r="D14" s="66"/>
      <c r="E14" s="66"/>
      <c r="F14" s="66"/>
      <c r="G14" s="66"/>
      <c r="H14" s="66"/>
      <c r="I14" s="66"/>
      <c r="J14" s="66"/>
      <c r="K14" s="66"/>
      <c r="L14" s="66"/>
      <c r="M14" s="66"/>
      <c r="N14" s="66"/>
      <c r="O14" s="66"/>
      <c r="P14" s="303"/>
      <c r="Q14" s="208"/>
      <c r="R14" s="208"/>
      <c r="S14" s="208"/>
      <c r="T14" s="208"/>
      <c r="U14" s="208"/>
      <c r="V14" s="208"/>
      <c r="W14" s="208"/>
      <c r="X14" s="208"/>
      <c r="Y14" s="208"/>
      <c r="Z14" s="208"/>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112"/>
      <c r="BC14" s="112"/>
    </row>
    <row r="15" spans="1:55" s="124" customFormat="1" x14ac:dyDescent="0.25">
      <c r="A15" s="115">
        <v>5</v>
      </c>
      <c r="B15" s="123" t="s">
        <v>1255</v>
      </c>
      <c r="C15" s="123" t="s">
        <v>422</v>
      </c>
      <c r="D15" s="118"/>
      <c r="E15" s="118"/>
      <c r="F15" s="118"/>
      <c r="G15" s="118"/>
      <c r="H15" s="118"/>
      <c r="I15" s="118"/>
      <c r="J15" s="119">
        <f>+Input!J40</f>
        <v>39.216981767999997</v>
      </c>
      <c r="K15" s="119">
        <f>+Input!K40</f>
        <v>33.793831392000001</v>
      </c>
      <c r="L15" s="119">
        <f>+Input!L40</f>
        <v>36.81384233</v>
      </c>
      <c r="M15" s="119">
        <f>+Input!M40</f>
        <v>36.516915462</v>
      </c>
      <c r="N15" s="119">
        <f>+Input!N40</f>
        <v>27.945021708999999</v>
      </c>
      <c r="O15" s="119">
        <f>+Input!O40</f>
        <v>31.808990529999999</v>
      </c>
      <c r="P15" s="671">
        <f>+Input!P40</f>
        <v>40.674128404000001</v>
      </c>
      <c r="Q15" s="172">
        <f>+Input!Q40</f>
        <v>101.71289197524426</v>
      </c>
      <c r="R15" s="172">
        <f>+Input!R40</f>
        <v>133.59326505145162</v>
      </c>
      <c r="S15" s="172">
        <f>+Input!S40</f>
        <v>140.73852797752977</v>
      </c>
      <c r="T15" s="172">
        <f>+Input!T40</f>
        <v>99.91127477701157</v>
      </c>
      <c r="U15" s="172">
        <f>+Input!U40</f>
        <v>98.416263781680655</v>
      </c>
      <c r="V15" s="172">
        <f>+Input!V40</f>
        <v>107.27935621901526</v>
      </c>
      <c r="W15" s="172">
        <f>+Input!W40</f>
        <v>116.95323100091025</v>
      </c>
      <c r="X15" s="172">
        <f>+Input!X40</f>
        <v>125.34044754634992</v>
      </c>
      <c r="Y15" s="172">
        <f>+Input!Y40</f>
        <v>134.08280931157887</v>
      </c>
      <c r="Z15" s="172">
        <f>+Input!Z40</f>
        <v>143.21281857534004</v>
      </c>
      <c r="AA15" s="172"/>
      <c r="AB15" s="173"/>
      <c r="AC15" s="173"/>
      <c r="AD15" s="173"/>
      <c r="AE15" s="173"/>
      <c r="AF15" s="173"/>
      <c r="AG15" s="173"/>
      <c r="AH15" s="173"/>
      <c r="AI15" s="173"/>
      <c r="AJ15" s="173"/>
      <c r="AK15" s="173"/>
      <c r="AL15" s="173"/>
      <c r="AM15" s="173"/>
      <c r="AN15" s="173"/>
      <c r="AO15" s="173"/>
      <c r="AP15" s="173"/>
      <c r="AQ15" s="173"/>
      <c r="AR15" s="173"/>
      <c r="AS15" s="173"/>
      <c r="AT15" s="173"/>
      <c r="AU15" s="173"/>
      <c r="AV15" s="173"/>
      <c r="AW15" s="173"/>
      <c r="AX15" s="173"/>
      <c r="AY15" s="173"/>
      <c r="AZ15" s="173"/>
      <c r="BA15" s="173"/>
    </row>
    <row r="16" spans="1:55" s="677" customFormat="1" x14ac:dyDescent="0.25">
      <c r="A16" s="676"/>
      <c r="C16" s="678" t="s">
        <v>423</v>
      </c>
      <c r="D16" s="679"/>
      <c r="E16" s="679"/>
      <c r="F16" s="679"/>
      <c r="G16" s="679"/>
      <c r="H16" s="679"/>
      <c r="I16" s="679"/>
      <c r="J16" s="679"/>
      <c r="K16" s="679"/>
      <c r="L16" s="679"/>
      <c r="M16" s="679"/>
      <c r="N16" s="679"/>
      <c r="O16" s="679"/>
      <c r="P16" s="680"/>
      <c r="Q16" s="681"/>
      <c r="R16" s="681"/>
      <c r="S16" s="681"/>
      <c r="T16" s="681"/>
      <c r="U16" s="681"/>
      <c r="V16" s="681"/>
      <c r="W16" s="681"/>
      <c r="X16" s="681"/>
      <c r="Y16" s="681"/>
      <c r="Z16" s="681"/>
      <c r="AA16" s="681"/>
      <c r="AB16" s="681"/>
      <c r="AC16" s="681"/>
      <c r="AD16" s="681"/>
      <c r="AE16" s="681"/>
      <c r="AF16" s="681"/>
      <c r="AG16" s="681"/>
      <c r="AH16" s="681"/>
      <c r="AI16" s="681"/>
      <c r="AJ16" s="681"/>
      <c r="AK16" s="681"/>
      <c r="AL16" s="681"/>
      <c r="AM16" s="681"/>
      <c r="AN16" s="681"/>
      <c r="AO16" s="681"/>
      <c r="AP16" s="681"/>
      <c r="AQ16" s="681"/>
      <c r="AR16" s="681"/>
      <c r="AS16" s="681"/>
      <c r="AT16" s="681"/>
      <c r="AU16" s="681"/>
      <c r="AV16" s="681"/>
      <c r="AW16" s="681"/>
      <c r="AX16" s="681"/>
      <c r="AY16" s="681"/>
      <c r="AZ16" s="681"/>
      <c r="BA16" s="681"/>
      <c r="BB16" s="682"/>
      <c r="BC16" s="682"/>
    </row>
    <row r="17" spans="1:55" s="677" customFormat="1" x14ac:dyDescent="0.25">
      <c r="A17" s="676"/>
      <c r="B17" s="683"/>
      <c r="C17" s="678" t="s">
        <v>424</v>
      </c>
      <c r="D17" s="679"/>
      <c r="E17" s="679"/>
      <c r="F17" s="679"/>
      <c r="G17" s="679"/>
      <c r="H17" s="679"/>
      <c r="I17" s="679"/>
      <c r="J17" s="679"/>
      <c r="K17" s="679"/>
      <c r="L17" s="679"/>
      <c r="M17" s="679"/>
      <c r="N17" s="679"/>
      <c r="O17" s="679"/>
      <c r="P17" s="680"/>
      <c r="Q17" s="681"/>
      <c r="R17" s="681"/>
      <c r="S17" s="681"/>
      <c r="T17" s="681"/>
      <c r="U17" s="681"/>
      <c r="V17" s="681"/>
      <c r="W17" s="681"/>
      <c r="X17" s="681"/>
      <c r="Y17" s="681"/>
      <c r="Z17" s="681"/>
      <c r="AA17" s="681"/>
      <c r="AB17" s="681"/>
      <c r="AC17" s="681"/>
      <c r="AD17" s="681"/>
      <c r="AE17" s="681"/>
      <c r="AF17" s="681"/>
      <c r="AG17" s="681"/>
      <c r="AH17" s="681"/>
      <c r="AI17" s="681"/>
      <c r="AJ17" s="681"/>
      <c r="AK17" s="681"/>
      <c r="AL17" s="681"/>
      <c r="AM17" s="681"/>
      <c r="AN17" s="681"/>
      <c r="AO17" s="681"/>
      <c r="AP17" s="681"/>
      <c r="AQ17" s="681"/>
      <c r="AR17" s="681"/>
      <c r="AS17" s="681"/>
      <c r="AT17" s="681"/>
      <c r="AU17" s="681"/>
      <c r="AV17" s="681"/>
      <c r="AW17" s="681"/>
      <c r="AX17" s="681"/>
      <c r="AY17" s="681"/>
      <c r="AZ17" s="681"/>
      <c r="BA17" s="681"/>
      <c r="BB17" s="682"/>
      <c r="BC17" s="682"/>
    </row>
    <row r="18" spans="1:55" s="124" customFormat="1" x14ac:dyDescent="0.25">
      <c r="A18" s="115"/>
      <c r="B18" s="140" t="s">
        <v>427</v>
      </c>
      <c r="C18" s="140" t="s">
        <v>427</v>
      </c>
      <c r="D18" s="267"/>
      <c r="E18" s="267"/>
      <c r="F18" s="267"/>
      <c r="G18" s="267"/>
      <c r="H18" s="267"/>
      <c r="I18" s="267"/>
      <c r="J18" s="656">
        <f>Input!J47</f>
        <v>127.87703163600001</v>
      </c>
      <c r="K18" s="656">
        <f>Input!K47</f>
        <v>158.00894568399997</v>
      </c>
      <c r="L18" s="656">
        <f>Input!L47</f>
        <v>186.93812527799997</v>
      </c>
      <c r="M18" s="656">
        <f>Input!M47</f>
        <v>186.55696830200009</v>
      </c>
      <c r="N18" s="656">
        <f>Input!N47</f>
        <v>160.74955490999997</v>
      </c>
      <c r="O18" s="656">
        <f>Input!O47</f>
        <v>181.78307433800001</v>
      </c>
      <c r="P18" s="684">
        <f>Input!P47</f>
        <v>217.12852030100004</v>
      </c>
      <c r="Q18" s="657">
        <f>Input!Q47</f>
        <v>273.35082034359561</v>
      </c>
      <c r="R18" s="657">
        <f>Input!R47</f>
        <v>272.7942275523551</v>
      </c>
      <c r="S18" s="657">
        <f>Input!S47</f>
        <v>397.41417371342959</v>
      </c>
      <c r="T18" s="657">
        <f>Input!T47</f>
        <v>449.32470313824018</v>
      </c>
      <c r="U18" s="657">
        <f>Input!U47</f>
        <v>509.17464324136733</v>
      </c>
      <c r="V18" s="657">
        <f>Input!V47</f>
        <v>547.73173872434927</v>
      </c>
      <c r="W18" s="657">
        <f>Input!W47</f>
        <v>597.83741306465026</v>
      </c>
      <c r="X18" s="657">
        <f>Input!X47</f>
        <v>621.98760542854041</v>
      </c>
      <c r="Y18" s="657">
        <f>Input!Y47</f>
        <v>648.32482036026067</v>
      </c>
      <c r="Z18" s="657">
        <f>Input!Z47</f>
        <v>677.07237183411826</v>
      </c>
      <c r="AA18" s="657"/>
      <c r="AB18" s="268"/>
      <c r="AC18" s="268"/>
      <c r="AD18" s="268"/>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row>
    <row r="19" spans="1:55" s="665" customFormat="1" x14ac:dyDescent="0.25">
      <c r="A19" s="658"/>
      <c r="B19" s="685"/>
      <c r="C19" s="685" t="s">
        <v>426</v>
      </c>
      <c r="D19" s="686"/>
      <c r="E19" s="686"/>
      <c r="F19" s="686"/>
      <c r="G19" s="686"/>
      <c r="H19" s="686"/>
      <c r="I19" s="686"/>
      <c r="J19" s="661">
        <f>J18/J$5</f>
        <v>0.10438361607747482</v>
      </c>
      <c r="K19" s="661">
        <f t="shared" ref="K19:Z19" si="5">K18/K$5</f>
        <v>0.11409396806576647</v>
      </c>
      <c r="L19" s="661">
        <f t="shared" si="5"/>
        <v>0.13465958494444979</v>
      </c>
      <c r="M19" s="661">
        <f t="shared" si="5"/>
        <v>0.13315755204107216</v>
      </c>
      <c r="N19" s="661">
        <f t="shared" si="5"/>
        <v>0.12740418281013474</v>
      </c>
      <c r="O19" s="661">
        <f t="shared" si="5"/>
        <v>0.14462208628863807</v>
      </c>
      <c r="P19" s="674">
        <f t="shared" si="5"/>
        <v>0.13931852203684114</v>
      </c>
      <c r="Q19" s="662">
        <f t="shared" si="5"/>
        <v>0.16323114228236821</v>
      </c>
      <c r="R19" s="662">
        <f t="shared" si="5"/>
        <v>0.15614443873344824</v>
      </c>
      <c r="S19" s="662">
        <f t="shared" si="5"/>
        <v>0.18017778967512454</v>
      </c>
      <c r="T19" s="662">
        <f t="shared" si="5"/>
        <v>0.19098562263306185</v>
      </c>
      <c r="U19" s="662">
        <f t="shared" si="5"/>
        <v>0.20365283009867174</v>
      </c>
      <c r="V19" s="662">
        <f t="shared" si="5"/>
        <v>0.20890360239637534</v>
      </c>
      <c r="W19" s="662">
        <f t="shared" si="5"/>
        <v>0.2155284903773371</v>
      </c>
      <c r="X19" s="662">
        <f t="shared" si="5"/>
        <v>0.21589612895838586</v>
      </c>
      <c r="Y19" s="662">
        <f t="shared" si="5"/>
        <v>0.21632907888712341</v>
      </c>
      <c r="Z19" s="662">
        <f t="shared" si="5"/>
        <v>0.21682732794327889</v>
      </c>
      <c r="AA19" s="662"/>
      <c r="AB19" s="663"/>
      <c r="AC19" s="663"/>
      <c r="AD19" s="663"/>
      <c r="AE19" s="663"/>
      <c r="AF19" s="663"/>
      <c r="AG19" s="663"/>
      <c r="AH19" s="663"/>
      <c r="AI19" s="663"/>
      <c r="AJ19" s="663"/>
      <c r="AK19" s="663"/>
      <c r="AL19" s="663"/>
      <c r="AM19" s="663"/>
      <c r="AN19" s="663"/>
      <c r="AO19" s="663"/>
      <c r="AP19" s="663"/>
      <c r="AQ19" s="663"/>
      <c r="AR19" s="663"/>
      <c r="AS19" s="663"/>
      <c r="AT19" s="663"/>
      <c r="AU19" s="663"/>
      <c r="AV19" s="663"/>
      <c r="AW19" s="663"/>
      <c r="AX19" s="663"/>
      <c r="AY19" s="663"/>
      <c r="AZ19" s="663"/>
      <c r="BA19" s="663"/>
    </row>
    <row r="20" spans="1:55" s="124" customFormat="1" x14ac:dyDescent="0.25">
      <c r="A20" s="115"/>
      <c r="B20" s="123"/>
      <c r="C20" s="123"/>
      <c r="D20" s="118"/>
      <c r="E20" s="118"/>
      <c r="F20" s="118"/>
      <c r="G20" s="118"/>
      <c r="H20" s="118"/>
      <c r="I20" s="118"/>
      <c r="J20" s="118"/>
      <c r="K20" s="118"/>
      <c r="L20" s="118"/>
      <c r="M20" s="118"/>
      <c r="N20" s="118"/>
      <c r="O20" s="118"/>
      <c r="P20" s="218"/>
      <c r="Q20" s="173"/>
      <c r="R20" s="173"/>
      <c r="S20" s="173"/>
      <c r="T20" s="173"/>
      <c r="U20" s="173"/>
      <c r="V20" s="173"/>
      <c r="W20" s="173"/>
      <c r="X20" s="173"/>
      <c r="Y20" s="173"/>
      <c r="Z20" s="173"/>
      <c r="AA20" s="173"/>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row>
    <row r="21" spans="1:55" s="124" customFormat="1" x14ac:dyDescent="0.25">
      <c r="A21" s="115">
        <v>6</v>
      </c>
      <c r="B21" s="123" t="s">
        <v>344</v>
      </c>
      <c r="C21" s="123" t="s">
        <v>441</v>
      </c>
      <c r="D21" s="118"/>
      <c r="E21" s="118"/>
      <c r="F21" s="118"/>
      <c r="G21" s="118"/>
      <c r="H21" s="118"/>
      <c r="I21" s="118"/>
      <c r="J21" s="119">
        <f>Input!J66</f>
        <v>17.714871417000001</v>
      </c>
      <c r="K21" s="119">
        <f>Input!K66</f>
        <v>16.213594465</v>
      </c>
      <c r="L21" s="119">
        <f>Input!L66</f>
        <v>18.773405464</v>
      </c>
      <c r="M21" s="119">
        <f>Input!M66</f>
        <v>16.074493083</v>
      </c>
      <c r="N21" s="119">
        <f>Input!N66</f>
        <v>13.251147259</v>
      </c>
      <c r="O21" s="119">
        <f>Input!O66</f>
        <v>7.751782188</v>
      </c>
      <c r="P21" s="671">
        <f>Input!P66</f>
        <v>6.3201838529999996</v>
      </c>
      <c r="Q21" s="172">
        <f ca="1">Input!Q66</f>
        <v>17.147038332660816</v>
      </c>
      <c r="R21" s="172">
        <f ca="1">Input!R66</f>
        <v>22.538510309889645</v>
      </c>
      <c r="S21" s="172">
        <f ca="1">Input!S66</f>
        <v>25.72823050976745</v>
      </c>
      <c r="T21" s="172">
        <f ca="1">Input!T66</f>
        <v>32.164055639101129</v>
      </c>
      <c r="U21" s="172">
        <f ca="1">Input!U66</f>
        <v>40.591249862676456</v>
      </c>
      <c r="V21" s="172">
        <f ca="1">Input!V66</f>
        <v>52.437401326562984</v>
      </c>
      <c r="W21" s="172">
        <f ca="1">Input!W66</f>
        <v>64.008195179952637</v>
      </c>
      <c r="X21" s="172">
        <f ca="1">Input!X66</f>
        <v>72.94463897556561</v>
      </c>
      <c r="Y21" s="172">
        <f ca="1">Input!Y66</f>
        <v>85.079387646910135</v>
      </c>
      <c r="Z21" s="172">
        <f ca="1">Input!Z66</f>
        <v>97.600234564623094</v>
      </c>
      <c r="AA21" s="172"/>
      <c r="AB21" s="173"/>
      <c r="AC21" s="173"/>
      <c r="AD21" s="173"/>
      <c r="AE21" s="173"/>
      <c r="AF21" s="173"/>
      <c r="AG21" s="173"/>
      <c r="AH21" s="173"/>
      <c r="AI21" s="173"/>
      <c r="AJ21" s="173"/>
      <c r="AK21" s="173"/>
      <c r="AL21" s="173"/>
      <c r="AM21" s="173"/>
      <c r="AN21" s="173"/>
      <c r="AO21" s="173"/>
      <c r="AP21" s="173"/>
      <c r="AQ21" s="173"/>
      <c r="AR21" s="173"/>
      <c r="AS21" s="173"/>
      <c r="AT21" s="173"/>
      <c r="AU21" s="173"/>
      <c r="AV21" s="173"/>
      <c r="AW21" s="173"/>
      <c r="AX21" s="173"/>
      <c r="AY21" s="173"/>
      <c r="AZ21" s="173"/>
      <c r="BA21" s="173"/>
    </row>
    <row r="22" spans="1:55" s="124" customFormat="1" x14ac:dyDescent="0.25">
      <c r="A22" s="115">
        <v>7</v>
      </c>
      <c r="B22" s="123" t="s">
        <v>38</v>
      </c>
      <c r="C22" s="123" t="s">
        <v>454</v>
      </c>
      <c r="D22" s="118"/>
      <c r="E22" s="118"/>
      <c r="F22" s="118"/>
      <c r="G22" s="118"/>
      <c r="H22" s="118"/>
      <c r="I22" s="118"/>
      <c r="J22" s="119">
        <f>Input!J77</f>
        <v>15.816122703</v>
      </c>
      <c r="K22" s="119">
        <f>Input!K77</f>
        <v>9.1025276989999995</v>
      </c>
      <c r="L22" s="119">
        <f>Input!L77</f>
        <v>10.81134303</v>
      </c>
      <c r="M22" s="119">
        <f>Input!M77</f>
        <v>12.200034045000001</v>
      </c>
      <c r="N22" s="119">
        <f>Input!N77</f>
        <v>14.622931346</v>
      </c>
      <c r="O22" s="119">
        <f>Input!O77</f>
        <v>14.325530898</v>
      </c>
      <c r="P22" s="671">
        <f>Input!P77</f>
        <v>8.6470170460000002</v>
      </c>
      <c r="Q22" s="172">
        <f ca="1">Input!Q77</f>
        <v>20.120894729406555</v>
      </c>
      <c r="R22" s="172">
        <f ca="1">Input!R77</f>
        <v>29.465539293990329</v>
      </c>
      <c r="S22" s="172">
        <f ca="1">Input!S77</f>
        <v>32.724693406458059</v>
      </c>
      <c r="T22" s="172">
        <f ca="1">Input!T77</f>
        <v>29.014919358833119</v>
      </c>
      <c r="U22" s="172">
        <f ca="1">Input!U77</f>
        <v>25.237263873631399</v>
      </c>
      <c r="V22" s="172">
        <f ca="1">Input!V77</f>
        <v>21.790137894049515</v>
      </c>
      <c r="W22" s="172">
        <f ca="1">Input!W77</f>
        <v>19.193749452861223</v>
      </c>
      <c r="X22" s="172">
        <f ca="1">Input!X77</f>
        <v>19.091307431490439</v>
      </c>
      <c r="Y22" s="172">
        <f ca="1">Input!Y77</f>
        <v>19.72910553235301</v>
      </c>
      <c r="Z22" s="172">
        <f ca="1">Input!Z77</f>
        <v>20.540316885102435</v>
      </c>
      <c r="AA22" s="172"/>
      <c r="AB22" s="173"/>
      <c r="AC22" s="173"/>
      <c r="AD22" s="173"/>
      <c r="AE22" s="173"/>
      <c r="AF22" s="173"/>
      <c r="AG22" s="173"/>
      <c r="AH22" s="173"/>
      <c r="AI22" s="173"/>
      <c r="AJ22" s="173"/>
      <c r="AK22" s="173"/>
      <c r="AL22" s="173"/>
      <c r="AM22" s="173"/>
      <c r="AN22" s="173"/>
      <c r="AO22" s="173"/>
      <c r="AP22" s="173"/>
      <c r="AQ22" s="173"/>
      <c r="AR22" s="173"/>
      <c r="AS22" s="173"/>
      <c r="AT22" s="173"/>
      <c r="AU22" s="173"/>
      <c r="AV22" s="173"/>
      <c r="AW22" s="173"/>
      <c r="AX22" s="173"/>
      <c r="AY22" s="173"/>
      <c r="AZ22" s="173"/>
      <c r="BA22" s="173"/>
    </row>
    <row r="23" spans="1:55" s="692" customFormat="1" x14ac:dyDescent="0.25">
      <c r="A23" s="282"/>
      <c r="B23" s="687" t="s">
        <v>1256</v>
      </c>
      <c r="C23" s="288"/>
      <c r="D23" s="285"/>
      <c r="E23" s="285"/>
      <c r="F23" s="285"/>
      <c r="G23" s="285"/>
      <c r="H23" s="285"/>
      <c r="I23" s="285"/>
      <c r="J23" s="688">
        <f>Input!J69</f>
        <v>5.45</v>
      </c>
      <c r="K23" s="688">
        <f>Input!K69</f>
        <v>4.4980130369999998</v>
      </c>
      <c r="L23" s="688">
        <f>Input!L69</f>
        <v>6.8281941420000001</v>
      </c>
      <c r="M23" s="688">
        <f>Input!M69</f>
        <v>8.3658396649999993</v>
      </c>
      <c r="N23" s="688">
        <f>Input!N69</f>
        <v>10.314154786</v>
      </c>
      <c r="O23" s="688">
        <f>Input!O69</f>
        <v>6.5888547370000001</v>
      </c>
      <c r="P23" s="689">
        <f>Input!P69</f>
        <v>1.3245273529999999</v>
      </c>
      <c r="Q23" s="690">
        <f ca="1">Input!Q69</f>
        <v>12.916923249096442</v>
      </c>
      <c r="R23" s="690">
        <f ca="1">Input!R69</f>
        <v>22.838884529150331</v>
      </c>
      <c r="S23" s="690">
        <f ca="1">Input!S69</f>
        <v>24.366173368748793</v>
      </c>
      <c r="T23" s="690">
        <f ca="1">Input!T69</f>
        <v>19.843671313066856</v>
      </c>
      <c r="U23" s="690">
        <f ca="1">Input!U69</f>
        <v>15.160595635021753</v>
      </c>
      <c r="V23" s="690">
        <f ca="1">Input!V69</f>
        <v>11.043318682656746</v>
      </c>
      <c r="W23" s="690">
        <f ca="1">Input!W69</f>
        <v>8.2279871133458933</v>
      </c>
      <c r="X23" s="690">
        <f ca="1">Input!X69</f>
        <v>7.8933156905878956</v>
      </c>
      <c r="Y23" s="690">
        <f ca="1">Input!Y69</f>
        <v>8.1675499886462966</v>
      </c>
      <c r="Z23" s="690">
        <f ca="1">Input!Z69</f>
        <v>8.4450135190520097</v>
      </c>
      <c r="AA23" s="690"/>
      <c r="AB23" s="691"/>
      <c r="AC23" s="691"/>
      <c r="AD23" s="691"/>
      <c r="AE23" s="691"/>
      <c r="AF23" s="691"/>
      <c r="AG23" s="691"/>
      <c r="AH23" s="691"/>
      <c r="AI23" s="691"/>
      <c r="AJ23" s="691"/>
      <c r="AK23" s="691"/>
      <c r="AL23" s="691"/>
      <c r="AM23" s="691"/>
      <c r="AN23" s="691"/>
      <c r="AO23" s="691"/>
      <c r="AP23" s="691"/>
      <c r="AQ23" s="691"/>
      <c r="AR23" s="691"/>
      <c r="AS23" s="691"/>
      <c r="AT23" s="691"/>
      <c r="AU23" s="691"/>
      <c r="AV23" s="691"/>
      <c r="AW23" s="691"/>
      <c r="AX23" s="691"/>
      <c r="AY23" s="691"/>
      <c r="AZ23" s="691"/>
      <c r="BA23" s="691"/>
    </row>
    <row r="24" spans="1:55" s="692" customFormat="1" x14ac:dyDescent="0.25">
      <c r="A24" s="282">
        <v>8</v>
      </c>
      <c r="B24" s="2342" t="s">
        <v>1257</v>
      </c>
      <c r="C24" s="123" t="s">
        <v>457</v>
      </c>
      <c r="D24" s="118"/>
      <c r="E24" s="118"/>
      <c r="F24" s="118"/>
      <c r="G24" s="118"/>
      <c r="H24" s="118"/>
      <c r="I24" s="118"/>
      <c r="J24" s="119">
        <f>Input!J82</f>
        <v>0</v>
      </c>
      <c r="K24" s="119">
        <f>Input!K82</f>
        <v>10.724382085</v>
      </c>
      <c r="L24" s="119">
        <f>Input!L82</f>
        <v>8.0301361270000005</v>
      </c>
      <c r="M24" s="119">
        <f>Input!M82</f>
        <v>10.57976874</v>
      </c>
      <c r="N24" s="119">
        <f>Input!N82</f>
        <v>14.439489521</v>
      </c>
      <c r="O24" s="119">
        <f>Input!O82</f>
        <v>15.238404243</v>
      </c>
      <c r="P24" s="671">
        <f>Input!P82</f>
        <v>16.083128633000001</v>
      </c>
      <c r="Q24" s="172">
        <f>Input!Q82</f>
        <v>18.916049658050063</v>
      </c>
      <c r="R24" s="172">
        <f>Input!R82</f>
        <v>19.734300586747469</v>
      </c>
      <c r="S24" s="172">
        <f>Input!S82</f>
        <v>24.914672387804931</v>
      </c>
      <c r="T24" s="172">
        <f>Input!T82</f>
        <v>26.574965223304741</v>
      </c>
      <c r="U24" s="172">
        <f>Input!U82</f>
        <v>28.241606771429087</v>
      </c>
      <c r="V24" s="172">
        <f>Input!V82</f>
        <v>29.616590580384958</v>
      </c>
      <c r="W24" s="172">
        <f>Input!W82</f>
        <v>31.332243041009249</v>
      </c>
      <c r="X24" s="172">
        <f>Input!X82</f>
        <v>32.542428450111565</v>
      </c>
      <c r="Y24" s="172">
        <f>Input!Y82</f>
        <v>33.852506563385894</v>
      </c>
      <c r="Z24" s="172">
        <f>Input!Z82</f>
        <v>35.272330768297039</v>
      </c>
      <c r="AA24" s="172"/>
      <c r="AB24" s="173"/>
      <c r="AC24" s="173"/>
      <c r="AD24" s="173"/>
      <c r="AE24" s="173"/>
      <c r="AF24" s="173"/>
      <c r="AG24" s="173"/>
      <c r="AH24" s="173"/>
      <c r="AI24" s="173"/>
      <c r="AJ24" s="173"/>
      <c r="AK24" s="173"/>
      <c r="AL24" s="173"/>
      <c r="AM24" s="173"/>
      <c r="AN24" s="173"/>
      <c r="AO24" s="173"/>
      <c r="AP24" s="173"/>
      <c r="AQ24" s="173"/>
      <c r="AR24" s="173"/>
      <c r="AS24" s="173"/>
      <c r="AT24" s="173"/>
      <c r="AU24" s="173"/>
      <c r="AV24" s="173"/>
      <c r="AW24" s="173"/>
      <c r="AX24" s="173"/>
      <c r="AY24" s="173"/>
      <c r="AZ24" s="173"/>
      <c r="BA24" s="173"/>
    </row>
    <row r="25" spans="1:55" s="124" customFormat="1" x14ac:dyDescent="0.25">
      <c r="A25" s="115">
        <v>9</v>
      </c>
      <c r="B25" s="123" t="s">
        <v>1258</v>
      </c>
      <c r="C25" s="669" t="s">
        <v>1259</v>
      </c>
      <c r="D25" s="469"/>
      <c r="E25" s="469"/>
      <c r="F25" s="469"/>
      <c r="G25" s="469"/>
      <c r="H25" s="469"/>
      <c r="I25" s="469"/>
      <c r="J25" s="667"/>
      <c r="K25" s="667"/>
      <c r="L25" s="667"/>
      <c r="M25" s="667"/>
      <c r="N25" s="667"/>
      <c r="O25" s="667"/>
      <c r="P25" s="693"/>
      <c r="Q25" s="668"/>
      <c r="R25" s="668"/>
      <c r="S25" s="668"/>
      <c r="T25" s="668"/>
      <c r="U25" s="668"/>
      <c r="V25" s="668"/>
      <c r="W25" s="668"/>
      <c r="X25" s="668"/>
      <c r="Y25" s="668"/>
      <c r="Z25" s="668"/>
      <c r="AA25" s="668"/>
      <c r="AB25" s="470"/>
      <c r="AC25" s="470"/>
      <c r="AD25" s="470"/>
      <c r="AE25" s="470"/>
      <c r="AF25" s="470"/>
      <c r="AG25" s="470"/>
      <c r="AH25" s="470"/>
      <c r="AI25" s="470"/>
      <c r="AJ25" s="470"/>
      <c r="AK25" s="470"/>
      <c r="AL25" s="470"/>
      <c r="AM25" s="470"/>
      <c r="AN25" s="470"/>
      <c r="AO25" s="470"/>
      <c r="AP25" s="470"/>
      <c r="AQ25" s="470"/>
      <c r="AR25" s="470"/>
      <c r="AS25" s="470"/>
      <c r="AT25" s="470"/>
      <c r="AU25" s="470"/>
      <c r="AV25" s="470"/>
      <c r="AW25" s="470"/>
      <c r="AX25" s="470"/>
      <c r="AY25" s="470"/>
      <c r="AZ25" s="470"/>
      <c r="BA25" s="470"/>
    </row>
    <row r="26" spans="1:55" s="701" customFormat="1" x14ac:dyDescent="0.25">
      <c r="A26" s="676"/>
      <c r="B26" s="694"/>
      <c r="C26" s="695" t="s">
        <v>431</v>
      </c>
      <c r="D26" s="696"/>
      <c r="E26" s="696"/>
      <c r="F26" s="696"/>
      <c r="G26" s="696"/>
      <c r="H26" s="696"/>
      <c r="I26" s="696"/>
      <c r="J26" s="697">
        <f>Input!J52</f>
        <v>144.14160363799999</v>
      </c>
      <c r="K26" s="697">
        <f>Input!K52</f>
        <v>0.22343835200000001</v>
      </c>
      <c r="L26" s="697">
        <f>Input!L52</f>
        <v>0.68875094599999998</v>
      </c>
      <c r="M26" s="697">
        <f>Input!M52</f>
        <v>0.23141077800000001</v>
      </c>
      <c r="N26" s="697">
        <f>Input!N52</f>
        <v>0.34645156399999999</v>
      </c>
      <c r="O26" s="697">
        <f>Input!O52</f>
        <v>2.8734187769999999</v>
      </c>
      <c r="P26" s="2246">
        <f>Input!P52</f>
        <v>1.8696857170000001</v>
      </c>
      <c r="Q26" s="699">
        <f>Input!Q52</f>
        <v>1.0388593556666668</v>
      </c>
      <c r="R26" s="699">
        <f>Input!R52</f>
        <v>1.1747628562777779</v>
      </c>
      <c r="S26" s="699">
        <f>Input!S52</f>
        <v>1.2557648413240741</v>
      </c>
      <c r="T26" s="699">
        <f>Input!T52</f>
        <v>1.4264905185447532</v>
      </c>
      <c r="U26" s="699">
        <f>Input!U52</f>
        <v>1.6064970109688785</v>
      </c>
      <c r="V26" s="699">
        <f>Input!V52</f>
        <v>1.395343383297025</v>
      </c>
      <c r="W26" s="699">
        <f>Input!W52</f>
        <v>1.3162863276798624</v>
      </c>
      <c r="X26" s="699">
        <f>Input!X52</f>
        <v>1.3625241563487285</v>
      </c>
      <c r="Y26" s="699">
        <f>Input!Y52</f>
        <v>1.3938177063605537</v>
      </c>
      <c r="Z26" s="699">
        <f>Input!Z52</f>
        <v>1.4168265171999668</v>
      </c>
      <c r="AA26" s="699"/>
      <c r="AB26" s="700"/>
      <c r="AC26" s="700"/>
      <c r="AD26" s="700"/>
      <c r="AE26" s="700"/>
      <c r="AF26" s="700"/>
      <c r="AG26" s="700"/>
      <c r="AH26" s="700"/>
      <c r="AI26" s="700"/>
      <c r="AJ26" s="700"/>
      <c r="AK26" s="700"/>
      <c r="AL26" s="700"/>
      <c r="AM26" s="700"/>
      <c r="AN26" s="700"/>
      <c r="AO26" s="700"/>
      <c r="AP26" s="700"/>
      <c r="AQ26" s="700"/>
      <c r="AR26" s="700"/>
      <c r="AS26" s="700"/>
      <c r="AT26" s="700"/>
      <c r="AU26" s="700"/>
      <c r="AV26" s="700"/>
      <c r="AW26" s="700"/>
      <c r="AX26" s="700"/>
      <c r="AY26" s="700"/>
      <c r="AZ26" s="700"/>
      <c r="BA26" s="700"/>
    </row>
    <row r="27" spans="1:55" s="701" customFormat="1" x14ac:dyDescent="0.25">
      <c r="A27" s="676"/>
      <c r="B27" s="694"/>
      <c r="C27" s="702" t="s">
        <v>433</v>
      </c>
      <c r="D27" s="703"/>
      <c r="E27" s="703"/>
      <c r="F27" s="703"/>
      <c r="G27" s="703"/>
      <c r="H27" s="703"/>
      <c r="I27" s="703"/>
      <c r="J27" s="704">
        <f>Input!J56</f>
        <v>6.1872556000000002E-2</v>
      </c>
      <c r="K27" s="704">
        <f>Input!K56</f>
        <v>0.186788596</v>
      </c>
      <c r="L27" s="704">
        <f>Input!L56</f>
        <v>2.2626146999999999E-2</v>
      </c>
      <c r="M27" s="704">
        <f>Input!M56</f>
        <v>0.21626276</v>
      </c>
      <c r="N27" s="704">
        <f>Input!N56</f>
        <v>0.15042520600000001</v>
      </c>
      <c r="O27" s="704">
        <f>Input!O56</f>
        <v>0.12983325100000001</v>
      </c>
      <c r="P27" s="705">
        <f>Input!P56</f>
        <v>-0.30660156799999999</v>
      </c>
      <c r="Q27" s="706">
        <f>Input!Q56</f>
        <v>0.12796808600000001</v>
      </c>
      <c r="R27" s="706">
        <f>Input!R56</f>
        <v>0.12796808600000001</v>
      </c>
      <c r="S27" s="706">
        <f>Input!S56</f>
        <v>0.12796808600000001</v>
      </c>
      <c r="T27" s="706">
        <f>Input!T56</f>
        <v>0.12796808600000001</v>
      </c>
      <c r="U27" s="706">
        <f>Input!U56</f>
        <v>0.12796808600000001</v>
      </c>
      <c r="V27" s="706">
        <f>Input!V56</f>
        <v>0.12796808600000001</v>
      </c>
      <c r="W27" s="706">
        <f>Input!W56</f>
        <v>0.12796808600000001</v>
      </c>
      <c r="X27" s="706">
        <f>Input!X56</f>
        <v>0.12796808600000001</v>
      </c>
      <c r="Y27" s="706">
        <f>Input!Y56</f>
        <v>0.12796808600000001</v>
      </c>
      <c r="Z27" s="706">
        <f>Input!Z56</f>
        <v>0.12796808600000001</v>
      </c>
      <c r="AA27" s="706"/>
      <c r="AB27" s="707"/>
      <c r="AC27" s="707"/>
      <c r="AD27" s="707"/>
      <c r="AE27" s="707"/>
      <c r="AF27" s="707"/>
      <c r="AG27" s="707"/>
      <c r="AH27" s="707"/>
      <c r="AI27" s="707"/>
      <c r="AJ27" s="707"/>
      <c r="AK27" s="707"/>
      <c r="AL27" s="707"/>
      <c r="AM27" s="707"/>
      <c r="AN27" s="707"/>
      <c r="AO27" s="707"/>
      <c r="AP27" s="707"/>
      <c r="AQ27" s="707"/>
      <c r="AR27" s="707"/>
      <c r="AS27" s="707"/>
      <c r="AT27" s="707"/>
      <c r="AU27" s="707"/>
      <c r="AV27" s="707"/>
      <c r="AW27" s="707"/>
      <c r="AX27" s="707"/>
      <c r="AY27" s="707"/>
      <c r="AZ27" s="707"/>
      <c r="BA27" s="707"/>
    </row>
    <row r="28" spans="1:55" s="124" customFormat="1" x14ac:dyDescent="0.25">
      <c r="A28" s="115"/>
      <c r="B28" s="140" t="s">
        <v>460</v>
      </c>
      <c r="C28" s="123" t="s">
        <v>1260</v>
      </c>
      <c r="D28" s="118"/>
      <c r="E28" s="118"/>
      <c r="F28" s="118"/>
      <c r="G28" s="118"/>
      <c r="H28" s="118"/>
      <c r="I28" s="118"/>
      <c r="J28" s="119">
        <f>Input!J86</f>
        <v>273.85551143199996</v>
      </c>
      <c r="K28" s="119">
        <f>Input!K86</f>
        <v>175.88104429099994</v>
      </c>
      <c r="L28" s="119">
        <f>Input!L86</f>
        <v>203.59644863799997</v>
      </c>
      <c r="M28" s="119">
        <f>Input!M86</f>
        <v>201.02634409800007</v>
      </c>
      <c r="N28" s="119">
        <f>Input!N86</f>
        <v>174.01328670199999</v>
      </c>
      <c r="O28" s="119">
        <f>Input!O86</f>
        <v>193.19131539699998</v>
      </c>
      <c r="P28" s="671">
        <f>Input!P86</f>
        <v>233.06110302600004</v>
      </c>
      <c r="Q28" s="172">
        <f ca="1">Input!Q86</f>
        <v>290.2039048745666</v>
      </c>
      <c r="R28" s="172">
        <f ca="1">Input!R86</f>
        <v>286.64829392527963</v>
      </c>
      <c r="S28" s="172">
        <f ca="1">Input!S86</f>
        <v>416.46017995986801</v>
      </c>
      <c r="T28" s="172">
        <f ca="1">Input!T86</f>
        <v>480.34732707435768</v>
      </c>
      <c r="U28" s="172">
        <f ca="1">Input!U86</f>
        <v>554.2487649268104</v>
      </c>
      <c r="V28" s="172">
        <f ca="1">Input!V86</f>
        <v>609.26296803454466</v>
      </c>
      <c r="W28" s="172">
        <f ca="1">Input!W86</f>
        <v>675.17242007443087</v>
      </c>
      <c r="X28" s="172">
        <f ca="1">Input!X86</f>
        <v>709.61792149307576</v>
      </c>
      <c r="Y28" s="172">
        <f ca="1">Input!Y86</f>
        <v>748.79345865856419</v>
      </c>
      <c r="Z28" s="172">
        <f ca="1">Input!Z86</f>
        <v>790.69347871313585</v>
      </c>
      <c r="AA28" s="172"/>
      <c r="AB28" s="173"/>
      <c r="AC28" s="173"/>
      <c r="AD28" s="173"/>
      <c r="AE28" s="173"/>
      <c r="AF28" s="173"/>
      <c r="AG28" s="173"/>
      <c r="AH28" s="173"/>
      <c r="AI28" s="173"/>
      <c r="AJ28" s="173"/>
      <c r="AK28" s="173"/>
      <c r="AL28" s="173"/>
      <c r="AM28" s="173"/>
      <c r="AN28" s="173"/>
      <c r="AO28" s="173"/>
      <c r="AP28" s="173"/>
      <c r="AQ28" s="173"/>
      <c r="AR28" s="173"/>
      <c r="AS28" s="173"/>
      <c r="AT28" s="173"/>
      <c r="AU28" s="173"/>
      <c r="AV28" s="173"/>
      <c r="AW28" s="173"/>
      <c r="AX28" s="173"/>
      <c r="AY28" s="173"/>
      <c r="AZ28" s="173"/>
      <c r="BA28" s="173"/>
    </row>
    <row r="29" spans="1:55" s="709" customFormat="1" x14ac:dyDescent="0.25">
      <c r="A29" s="658"/>
      <c r="B29" s="659" t="s">
        <v>1923</v>
      </c>
      <c r="C29" s="708" t="s">
        <v>459</v>
      </c>
      <c r="D29" s="673"/>
      <c r="E29" s="673"/>
      <c r="F29" s="673"/>
      <c r="G29" s="673"/>
      <c r="H29" s="673"/>
      <c r="I29" s="673"/>
      <c r="J29" s="661">
        <f>J28/J$5</f>
        <v>0.22354310387332171</v>
      </c>
      <c r="K29" s="661">
        <f t="shared" ref="K29:Z29" si="6">K28/K$5</f>
        <v>0.12699892505353885</v>
      </c>
      <c r="L29" s="661">
        <f t="shared" si="6"/>
        <v>0.14665929290232149</v>
      </c>
      <c r="M29" s="661">
        <f t="shared" si="6"/>
        <v>0.14348526415010862</v>
      </c>
      <c r="N29" s="661">
        <f t="shared" si="6"/>
        <v>0.13791652861985521</v>
      </c>
      <c r="O29" s="661">
        <f t="shared" si="6"/>
        <v>0.15369819873114496</v>
      </c>
      <c r="P29" s="674">
        <f t="shared" si="6"/>
        <v>0.14954151749777636</v>
      </c>
      <c r="Q29" s="662">
        <f t="shared" ca="1" si="6"/>
        <v>0.17329494320864244</v>
      </c>
      <c r="R29" s="662">
        <f t="shared" ca="1" si="6"/>
        <v>0.16407435513008853</v>
      </c>
      <c r="S29" s="662">
        <f t="shared" ca="1" si="6"/>
        <v>0.18881277940273408</v>
      </c>
      <c r="T29" s="662">
        <f t="shared" ca="1" si="6"/>
        <v>0.20417179981577477</v>
      </c>
      <c r="U29" s="662">
        <f t="shared" ca="1" si="6"/>
        <v>0.22168097145900456</v>
      </c>
      <c r="V29" s="662">
        <f t="shared" ca="1" si="6"/>
        <v>0.23237146915303628</v>
      </c>
      <c r="W29" s="662">
        <f t="shared" ca="1" si="6"/>
        <v>0.24340880858742597</v>
      </c>
      <c r="X29" s="662">
        <f t="shared" ca="1" si="6"/>
        <v>0.24631320777573318</v>
      </c>
      <c r="Y29" s="662">
        <f t="shared" ca="1" si="6"/>
        <v>0.24985284243521383</v>
      </c>
      <c r="Z29" s="662">
        <f t="shared" ca="1" si="6"/>
        <v>0.25321363172318107</v>
      </c>
      <c r="AA29" s="662"/>
      <c r="AB29" s="663"/>
      <c r="AC29" s="663"/>
      <c r="AD29" s="663"/>
      <c r="AE29" s="663"/>
      <c r="AF29" s="663"/>
      <c r="AG29" s="663"/>
      <c r="AH29" s="663"/>
      <c r="AI29" s="663"/>
      <c r="AJ29" s="663"/>
      <c r="AK29" s="663"/>
      <c r="AL29" s="663"/>
      <c r="AM29" s="663"/>
      <c r="AN29" s="663"/>
      <c r="AO29" s="663"/>
      <c r="AP29" s="663"/>
      <c r="AQ29" s="663"/>
      <c r="AR29" s="663"/>
      <c r="AS29" s="663"/>
      <c r="AT29" s="663"/>
      <c r="AU29" s="663"/>
      <c r="AV29" s="663"/>
      <c r="AW29" s="663"/>
      <c r="AX29" s="663"/>
      <c r="AY29" s="663"/>
      <c r="AZ29" s="663"/>
      <c r="BA29" s="663"/>
      <c r="BB29" s="675"/>
      <c r="BC29" s="675"/>
    </row>
    <row r="30" spans="1:55" s="29" customFormat="1" x14ac:dyDescent="0.25">
      <c r="A30" s="115"/>
      <c r="B30" s="103"/>
      <c r="C30" s="103"/>
      <c r="D30" s="66"/>
      <c r="E30" s="66"/>
      <c r="F30" s="66"/>
      <c r="G30" s="66"/>
      <c r="H30" s="66"/>
      <c r="I30" s="66"/>
      <c r="J30" s="66"/>
      <c r="K30" s="66"/>
      <c r="L30" s="66"/>
      <c r="M30" s="66"/>
      <c r="N30" s="66"/>
      <c r="O30" s="66"/>
      <c r="P30" s="303"/>
      <c r="Q30" s="208"/>
      <c r="R30" s="208"/>
      <c r="S30" s="208"/>
      <c r="T30" s="208"/>
      <c r="U30" s="208"/>
      <c r="V30" s="208"/>
      <c r="W30" s="208"/>
      <c r="X30" s="208"/>
      <c r="Y30" s="208"/>
      <c r="Z30" s="208"/>
      <c r="AA30" s="208"/>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112"/>
      <c r="BC30" s="112"/>
    </row>
    <row r="31" spans="1:55" s="124" customFormat="1" x14ac:dyDescent="0.25">
      <c r="A31" s="115">
        <v>10</v>
      </c>
      <c r="B31" s="669" t="s">
        <v>1261</v>
      </c>
      <c r="C31" s="669" t="s">
        <v>463</v>
      </c>
      <c r="D31" s="469"/>
      <c r="E31" s="469"/>
      <c r="F31" s="469"/>
      <c r="G31" s="469"/>
      <c r="H31" s="469"/>
      <c r="I31" s="469"/>
      <c r="J31" s="667">
        <f>Input!J90</f>
        <v>59.090007555</v>
      </c>
      <c r="K31" s="667">
        <f>Input!K90</f>
        <v>34.389506357000002</v>
      </c>
      <c r="L31" s="667">
        <f>Input!L90</f>
        <v>39.205654510999999</v>
      </c>
      <c r="M31" s="667">
        <f>Input!M90</f>
        <v>38.021545803999999</v>
      </c>
      <c r="N31" s="667">
        <f>Input!N90</f>
        <v>31.785869465000001</v>
      </c>
      <c r="O31" s="667">
        <f>Input!O90</f>
        <v>35.331750581000001</v>
      </c>
      <c r="P31" s="693">
        <f>Input!P90</f>
        <v>48.661827508000002</v>
      </c>
      <c r="Q31" s="668">
        <f ca="1">Input!Q90</f>
        <v>60.592918242469587</v>
      </c>
      <c r="R31" s="668">
        <f ca="1">Input!R90</f>
        <v>59.850526979177332</v>
      </c>
      <c r="S31" s="668">
        <f ca="1">Input!S90</f>
        <v>86.954507543444166</v>
      </c>
      <c r="T31" s="668">
        <f ca="1">Input!T90</f>
        <v>100.29377905850556</v>
      </c>
      <c r="U31" s="668">
        <f ca="1">Input!U90</f>
        <v>115.72397729698234</v>
      </c>
      <c r="V31" s="668">
        <f ca="1">Input!V90</f>
        <v>127.21062876889265</v>
      </c>
      <c r="W31" s="668">
        <f ca="1">Input!W90</f>
        <v>140.97214600479941</v>
      </c>
      <c r="X31" s="668">
        <f ca="1">Input!X90</f>
        <v>148.16417001351473</v>
      </c>
      <c r="Y31" s="668">
        <f ca="1">Input!Y90</f>
        <v>156.3437984771609</v>
      </c>
      <c r="Z31" s="668">
        <f ca="1">Input!Z90</f>
        <v>165.09228341095891</v>
      </c>
      <c r="AA31" s="668"/>
      <c r="AB31" s="470"/>
      <c r="AC31" s="470"/>
      <c r="AD31" s="470"/>
      <c r="AE31" s="470"/>
      <c r="AF31" s="470"/>
      <c r="AG31" s="470"/>
      <c r="AH31" s="470"/>
      <c r="AI31" s="470"/>
      <c r="AJ31" s="470"/>
      <c r="AK31" s="470"/>
      <c r="AL31" s="470"/>
      <c r="AM31" s="470"/>
      <c r="AN31" s="470"/>
      <c r="AO31" s="470"/>
      <c r="AP31" s="470"/>
      <c r="AQ31" s="470"/>
      <c r="AR31" s="470"/>
      <c r="AS31" s="470"/>
      <c r="AT31" s="470"/>
      <c r="AU31" s="470"/>
      <c r="AV31" s="470"/>
      <c r="AW31" s="470"/>
      <c r="AX31" s="470"/>
      <c r="AY31" s="470"/>
      <c r="AZ31" s="470"/>
      <c r="BA31" s="470"/>
    </row>
    <row r="32" spans="1:55" s="124" customFormat="1" x14ac:dyDescent="0.25">
      <c r="A32" s="115"/>
      <c r="B32" s="140" t="s">
        <v>371</v>
      </c>
      <c r="C32" s="140" t="s">
        <v>1262</v>
      </c>
      <c r="D32" s="267"/>
      <c r="E32" s="267"/>
      <c r="F32" s="267"/>
      <c r="G32" s="267"/>
      <c r="H32" s="267"/>
      <c r="I32" s="267"/>
      <c r="J32" s="656">
        <f>Input!J94</f>
        <v>214.76550387699996</v>
      </c>
      <c r="K32" s="656">
        <f>Input!K94</f>
        <v>141.49153793399995</v>
      </c>
      <c r="L32" s="656">
        <f>Input!L94</f>
        <v>164.39079412699996</v>
      </c>
      <c r="M32" s="656">
        <f>Input!M94</f>
        <v>163.00479829400007</v>
      </c>
      <c r="N32" s="656">
        <f>Input!N94</f>
        <v>142.227417237</v>
      </c>
      <c r="O32" s="656">
        <f>Input!O94</f>
        <v>157.85956481599999</v>
      </c>
      <c r="P32" s="684">
        <f>Input!P94</f>
        <v>184.39927551800002</v>
      </c>
      <c r="Q32" s="657">
        <f ca="1">Input!Q94</f>
        <v>229.61098663209702</v>
      </c>
      <c r="R32" s="657">
        <f ca="1">Input!R94</f>
        <v>226.79776694610229</v>
      </c>
      <c r="S32" s="657">
        <f ca="1">Input!S94</f>
        <v>329.50567241642386</v>
      </c>
      <c r="T32" s="657">
        <f ca="1">Input!T94</f>
        <v>380.05354801585213</v>
      </c>
      <c r="U32" s="657">
        <f ca="1">Input!U94</f>
        <v>438.52478762982804</v>
      </c>
      <c r="V32" s="657">
        <f ca="1">Input!V94</f>
        <v>482.05233926565199</v>
      </c>
      <c r="W32" s="657">
        <f ca="1">Input!W94</f>
        <v>534.2002740696314</v>
      </c>
      <c r="X32" s="657">
        <f ca="1">Input!X94</f>
        <v>561.45375147956099</v>
      </c>
      <c r="Y32" s="657">
        <f ca="1">Input!Y94</f>
        <v>592.44966018140326</v>
      </c>
      <c r="Z32" s="657">
        <f ca="1">Input!Z94</f>
        <v>625.60119530217696</v>
      </c>
      <c r="AA32" s="657"/>
      <c r="AB32" s="268"/>
      <c r="AC32" s="268"/>
      <c r="AD32" s="268"/>
      <c r="AE32" s="268"/>
      <c r="AF32" s="268"/>
      <c r="AG32" s="268"/>
      <c r="AH32" s="268"/>
      <c r="AI32" s="268"/>
      <c r="AJ32" s="268"/>
      <c r="AK32" s="268"/>
      <c r="AL32" s="268"/>
      <c r="AM32" s="268"/>
      <c r="AN32" s="268"/>
      <c r="AO32" s="268"/>
      <c r="AP32" s="268"/>
      <c r="AQ32" s="268"/>
      <c r="AR32" s="268"/>
      <c r="AS32" s="268"/>
      <c r="AT32" s="268"/>
      <c r="AU32" s="268"/>
      <c r="AV32" s="268"/>
      <c r="AW32" s="268"/>
      <c r="AX32" s="268"/>
      <c r="AY32" s="268"/>
      <c r="AZ32" s="268"/>
      <c r="BA32" s="268"/>
    </row>
    <row r="33" spans="1:55" s="124" customFormat="1" x14ac:dyDescent="0.25">
      <c r="A33" s="115"/>
      <c r="B33" s="659" t="s">
        <v>1263</v>
      </c>
      <c r="C33" s="708" t="s">
        <v>1264</v>
      </c>
      <c r="D33" s="673"/>
      <c r="E33" s="673"/>
      <c r="F33" s="673"/>
      <c r="G33" s="673"/>
      <c r="H33" s="673"/>
      <c r="I33" s="673"/>
      <c r="J33" s="661">
        <f>J32/J$5</f>
        <v>0.17530904194894578</v>
      </c>
      <c r="K33" s="661">
        <f t="shared" ref="K33:Z33" si="7">K32/K$5</f>
        <v>0.10216719655166115</v>
      </c>
      <c r="L33" s="661">
        <f t="shared" si="7"/>
        <v>0.11841777097587865</v>
      </c>
      <c r="M33" s="661">
        <f t="shared" si="7"/>
        <v>0.11634687307225651</v>
      </c>
      <c r="N33" s="661">
        <f t="shared" si="7"/>
        <v>0.11272421797012901</v>
      </c>
      <c r="O33" s="661">
        <f t="shared" si="7"/>
        <v>0.12558913797363375</v>
      </c>
      <c r="P33" s="674">
        <f t="shared" si="7"/>
        <v>0.118318102542302</v>
      </c>
      <c r="Q33" s="662">
        <f t="shared" ca="1" si="7"/>
        <v>0.13711194859934098</v>
      </c>
      <c r="R33" s="662">
        <f t="shared" ca="1" si="7"/>
        <v>0.12981656666104485</v>
      </c>
      <c r="S33" s="662">
        <f t="shared" ca="1" si="7"/>
        <v>0.14938974920461087</v>
      </c>
      <c r="T33" s="662">
        <f t="shared" ca="1" si="7"/>
        <v>0.16154189385705819</v>
      </c>
      <c r="U33" s="662">
        <f t="shared" ca="1" si="7"/>
        <v>0.17539525044042462</v>
      </c>
      <c r="V33" s="662">
        <f t="shared" ca="1" si="7"/>
        <v>0.18385363325982793</v>
      </c>
      <c r="W33" s="662">
        <f t="shared" ca="1" si="7"/>
        <v>0.19258643924470586</v>
      </c>
      <c r="X33" s="662">
        <f t="shared" ca="1" si="7"/>
        <v>0.19488441646692459</v>
      </c>
      <c r="Y33" s="662">
        <f t="shared" ca="1" si="7"/>
        <v>0.19768499562119821</v>
      </c>
      <c r="Z33" s="662">
        <f t="shared" ca="1" si="7"/>
        <v>0.20034407129630422</v>
      </c>
      <c r="AA33" s="662"/>
      <c r="AB33" s="663"/>
      <c r="AC33" s="663"/>
      <c r="AD33" s="663"/>
      <c r="AE33" s="663"/>
      <c r="AF33" s="663"/>
      <c r="AG33" s="663"/>
      <c r="AH33" s="663"/>
      <c r="AI33" s="663"/>
      <c r="AJ33" s="663"/>
      <c r="AK33" s="663"/>
      <c r="AL33" s="663"/>
      <c r="AM33" s="663"/>
      <c r="AN33" s="663"/>
      <c r="AO33" s="663"/>
      <c r="AP33" s="663"/>
      <c r="AQ33" s="663"/>
      <c r="AR33" s="663"/>
      <c r="AS33" s="663"/>
      <c r="AT33" s="663"/>
      <c r="AU33" s="663"/>
      <c r="AV33" s="663"/>
      <c r="AW33" s="663"/>
      <c r="AX33" s="663"/>
      <c r="AY33" s="663"/>
      <c r="AZ33" s="663"/>
      <c r="BA33" s="663"/>
    </row>
    <row r="34" spans="1:55" s="124" customFormat="1" x14ac:dyDescent="0.25">
      <c r="A34" s="115"/>
      <c r="B34" s="123" t="s">
        <v>1265</v>
      </c>
      <c r="C34" s="123" t="s">
        <v>471</v>
      </c>
      <c r="D34" s="118"/>
      <c r="E34" s="118"/>
      <c r="F34" s="118"/>
      <c r="G34" s="118"/>
      <c r="H34" s="118"/>
      <c r="I34" s="118"/>
      <c r="J34" s="119">
        <f>Input!J100</f>
        <v>0</v>
      </c>
      <c r="K34" s="119">
        <f>Input!K100</f>
        <v>0</v>
      </c>
      <c r="L34" s="119">
        <f>Input!L100</f>
        <v>0</v>
      </c>
      <c r="M34" s="119">
        <f>Input!M100</f>
        <v>0</v>
      </c>
      <c r="N34" s="119">
        <f>Input!N100</f>
        <v>0</v>
      </c>
      <c r="O34" s="119">
        <f>Input!O100</f>
        <v>0</v>
      </c>
      <c r="P34" s="671">
        <f>Input!P100</f>
        <v>0</v>
      </c>
      <c r="Q34" s="172">
        <f ca="1">Input!Q100</f>
        <v>0</v>
      </c>
      <c r="R34" s="172">
        <f ca="1">Input!R100</f>
        <v>0</v>
      </c>
      <c r="S34" s="172">
        <f ca="1">Input!S100</f>
        <v>0</v>
      </c>
      <c r="T34" s="172">
        <f ca="1">Input!T100</f>
        <v>0</v>
      </c>
      <c r="U34" s="172">
        <f ca="1">Input!U100</f>
        <v>0</v>
      </c>
      <c r="V34" s="172">
        <f ca="1">Input!V100</f>
        <v>0</v>
      </c>
      <c r="W34" s="172">
        <f ca="1">Input!W100</f>
        <v>0</v>
      </c>
      <c r="X34" s="172">
        <f ca="1">Input!X100</f>
        <v>0</v>
      </c>
      <c r="Y34" s="172">
        <f ca="1">Input!Y100</f>
        <v>0</v>
      </c>
      <c r="Z34" s="172">
        <f ca="1">Input!Z100</f>
        <v>0</v>
      </c>
      <c r="AA34" s="172"/>
      <c r="AB34" s="173"/>
      <c r="AC34" s="173"/>
      <c r="AD34" s="173"/>
      <c r="AE34" s="173"/>
      <c r="AF34" s="173"/>
      <c r="AG34" s="173"/>
      <c r="AH34" s="173"/>
      <c r="AI34" s="173"/>
      <c r="AJ34" s="173"/>
      <c r="AK34" s="173"/>
      <c r="AL34" s="173"/>
      <c r="AM34" s="173"/>
      <c r="AN34" s="173"/>
      <c r="AO34" s="173"/>
      <c r="AP34" s="173"/>
      <c r="AQ34" s="173"/>
      <c r="AR34" s="173"/>
      <c r="AS34" s="173"/>
      <c r="AT34" s="173"/>
      <c r="AU34" s="173"/>
      <c r="AV34" s="173"/>
      <c r="AW34" s="173"/>
      <c r="AX34" s="173"/>
      <c r="AY34" s="173"/>
      <c r="AZ34" s="173"/>
      <c r="BA34" s="173"/>
    </row>
    <row r="35" spans="1:55" s="124" customFormat="1" x14ac:dyDescent="0.25">
      <c r="A35" s="115"/>
      <c r="B35" s="123" t="s">
        <v>1266</v>
      </c>
      <c r="C35" s="123" t="s">
        <v>476</v>
      </c>
      <c r="D35" s="118"/>
      <c r="E35" s="118"/>
      <c r="F35" s="118"/>
      <c r="G35" s="118"/>
      <c r="H35" s="118"/>
      <c r="I35" s="118"/>
      <c r="J35" s="119">
        <f>Input!J106</f>
        <v>214.76550387699999</v>
      </c>
      <c r="K35" s="119">
        <f>Input!K106</f>
        <v>141.49153793400001</v>
      </c>
      <c r="L35" s="119">
        <f>Input!L106</f>
        <v>164.39079412699999</v>
      </c>
      <c r="M35" s="119">
        <f>Input!M106</f>
        <v>163.00479829400001</v>
      </c>
      <c r="N35" s="119">
        <f>Input!N106</f>
        <v>142.227417237</v>
      </c>
      <c r="O35" s="119">
        <f>Input!O106</f>
        <v>157.85956481599999</v>
      </c>
      <c r="P35" s="671">
        <f>Input!P106</f>
        <v>184.4</v>
      </c>
      <c r="Q35" s="172">
        <f ca="1">Input!Q106</f>
        <v>229.61098663209702</v>
      </c>
      <c r="R35" s="172">
        <f ca="1">Input!R106</f>
        <v>226.79776694610229</v>
      </c>
      <c r="S35" s="172">
        <f ca="1">Input!S106</f>
        <v>329.50567241642386</v>
      </c>
      <c r="T35" s="172">
        <f ca="1">Input!T106</f>
        <v>380.05354801585207</v>
      </c>
      <c r="U35" s="172">
        <f ca="1">Input!U106</f>
        <v>438.52478762982804</v>
      </c>
      <c r="V35" s="172">
        <f ca="1">Input!V106</f>
        <v>482.05233926565199</v>
      </c>
      <c r="W35" s="172">
        <f ca="1">Input!W106</f>
        <v>534.2002740696314</v>
      </c>
      <c r="X35" s="172">
        <f ca="1">Input!X106</f>
        <v>561.45375147956099</v>
      </c>
      <c r="Y35" s="172">
        <f ca="1">Input!Y106</f>
        <v>592.44966018140326</v>
      </c>
      <c r="Z35" s="172">
        <f ca="1">Input!Z106</f>
        <v>625.60119530217696</v>
      </c>
      <c r="AA35" s="172"/>
      <c r="AB35" s="173"/>
      <c r="AC35" s="173"/>
      <c r="AD35" s="173"/>
      <c r="AE35" s="173"/>
      <c r="AF35" s="173"/>
      <c r="AG35" s="173"/>
      <c r="AH35" s="173"/>
      <c r="AI35" s="173"/>
      <c r="AJ35" s="173"/>
      <c r="AK35" s="173"/>
      <c r="AL35" s="173"/>
      <c r="AM35" s="173"/>
      <c r="AN35" s="173"/>
      <c r="AO35" s="173"/>
      <c r="AP35" s="173"/>
      <c r="AQ35" s="173"/>
      <c r="AR35" s="173"/>
      <c r="AS35" s="173"/>
      <c r="AT35" s="173"/>
      <c r="AU35" s="173"/>
      <c r="AV35" s="173"/>
      <c r="AW35" s="173"/>
      <c r="AX35" s="173"/>
      <c r="AY35" s="173"/>
      <c r="AZ35" s="173"/>
      <c r="BA35" s="173"/>
    </row>
    <row r="36" spans="1:55" s="124" customFormat="1" x14ac:dyDescent="0.25">
      <c r="A36" s="115"/>
      <c r="B36" s="123"/>
      <c r="C36" s="123"/>
      <c r="D36" s="118"/>
      <c r="E36" s="118"/>
      <c r="F36" s="118"/>
      <c r="G36" s="118"/>
      <c r="H36" s="118"/>
      <c r="I36" s="118"/>
      <c r="J36" s="118"/>
      <c r="K36" s="118"/>
      <c r="L36" s="118"/>
      <c r="M36" s="118"/>
      <c r="N36" s="118"/>
      <c r="O36" s="118"/>
      <c r="P36" s="218"/>
      <c r="Q36" s="173"/>
      <c r="R36" s="173"/>
      <c r="S36" s="173"/>
      <c r="T36" s="173"/>
      <c r="U36" s="173"/>
      <c r="V36" s="173"/>
      <c r="W36" s="173"/>
      <c r="X36" s="173"/>
      <c r="Y36" s="173"/>
      <c r="Z36" s="173"/>
      <c r="AA36" s="173"/>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row>
    <row r="37" spans="1:55" s="124" customFormat="1" x14ac:dyDescent="0.25">
      <c r="A37" s="115"/>
      <c r="B37" s="123" t="s">
        <v>1267</v>
      </c>
      <c r="C37" s="123" t="s">
        <v>1268</v>
      </c>
      <c r="D37" s="118"/>
      <c r="E37" s="118"/>
      <c r="F37" s="118"/>
      <c r="G37" s="118"/>
      <c r="H37" s="118"/>
      <c r="I37" s="118"/>
      <c r="J37" s="119">
        <f>Input!J118</f>
        <v>30</v>
      </c>
      <c r="K37" s="119">
        <f>Input!K118</f>
        <v>19.100000000000001</v>
      </c>
      <c r="L37" s="119">
        <f>Input!L118</f>
        <v>22.037990225000001</v>
      </c>
      <c r="M37" s="119">
        <f>Input!M118</f>
        <v>22.820674062000002</v>
      </c>
      <c r="N37" s="119">
        <f>Input!N118</f>
        <v>17.067290068000002</v>
      </c>
      <c r="O37" s="119">
        <f>Input!O118</f>
        <v>18.943147778</v>
      </c>
      <c r="P37" s="671">
        <f>Input!P118</f>
        <v>25.815898572520005</v>
      </c>
      <c r="Q37" s="172">
        <f ca="1">Input!Q118</f>
        <v>30.463986956335713</v>
      </c>
      <c r="R37" s="172">
        <f ca="1">Input!R118</f>
        <v>29.863593778030303</v>
      </c>
      <c r="S37" s="172">
        <f ca="1">Input!S118</f>
        <v>43.231592255088081</v>
      </c>
      <c r="T37" s="172">
        <f ca="1">Input!T118</f>
        <v>49.708416211466798</v>
      </c>
      <c r="U37" s="172">
        <f ca="1">Input!U118</f>
        <v>56.779281888075801</v>
      </c>
      <c r="V37" s="172">
        <f ca="1">Input!V118</f>
        <v>63.067833252756309</v>
      </c>
      <c r="W37" s="172">
        <f ca="1">Input!W118</f>
        <v>70.717078393246027</v>
      </c>
      <c r="X37" s="172">
        <f ca="1">Input!X118</f>
        <v>73.713684148849225</v>
      </c>
      <c r="Y37" s="172">
        <f ca="1">Input!Y118</f>
        <v>77.665874579060045</v>
      </c>
      <c r="Z37" s="172">
        <f ca="1">Input!Z118</f>
        <v>81.959768741772962</v>
      </c>
      <c r="AA37" s="172"/>
      <c r="AB37" s="173"/>
      <c r="AC37" s="173"/>
      <c r="AD37" s="173"/>
      <c r="AE37" s="173"/>
      <c r="AF37" s="173"/>
      <c r="AG37" s="173"/>
      <c r="AH37" s="173"/>
      <c r="AI37" s="173"/>
      <c r="AJ37" s="173"/>
      <c r="AK37" s="173"/>
      <c r="AL37" s="173"/>
      <c r="AM37" s="173"/>
      <c r="AN37" s="173"/>
      <c r="AO37" s="173"/>
      <c r="AP37" s="173"/>
      <c r="AQ37" s="173"/>
      <c r="AR37" s="173"/>
      <c r="AS37" s="173"/>
      <c r="AT37" s="173"/>
      <c r="AU37" s="173"/>
      <c r="AV37" s="173"/>
      <c r="AW37" s="173"/>
      <c r="AX37" s="173"/>
      <c r="AY37" s="173"/>
      <c r="AZ37" s="173"/>
      <c r="BA37" s="173"/>
    </row>
    <row r="38" spans="1:55" s="124" customFormat="1" x14ac:dyDescent="0.25">
      <c r="A38" s="115"/>
      <c r="B38" s="123" t="s">
        <v>1269</v>
      </c>
      <c r="C38" s="123" t="s">
        <v>486</v>
      </c>
      <c r="D38" s="118"/>
      <c r="E38" s="118"/>
      <c r="F38" s="118"/>
      <c r="G38" s="118"/>
      <c r="H38" s="118"/>
      <c r="I38" s="118"/>
      <c r="J38" s="119">
        <f>Input!J121</f>
        <v>0</v>
      </c>
      <c r="K38" s="119">
        <f>Input!K121</f>
        <v>0</v>
      </c>
      <c r="L38" s="119">
        <f>Input!L121</f>
        <v>0</v>
      </c>
      <c r="M38" s="119">
        <f>Input!M121</f>
        <v>0</v>
      </c>
      <c r="N38" s="119">
        <f>Input!N121</f>
        <v>0</v>
      </c>
      <c r="O38" s="119">
        <f>Input!O121</f>
        <v>0</v>
      </c>
      <c r="P38" s="671">
        <f>Input!P121</f>
        <v>0</v>
      </c>
      <c r="Q38" s="172">
        <f>Input!Q121</f>
        <v>0</v>
      </c>
      <c r="R38" s="172">
        <f>Input!R121</f>
        <v>0</v>
      </c>
      <c r="S38" s="172">
        <f>Input!S121</f>
        <v>0</v>
      </c>
      <c r="T38" s="172">
        <f>Input!T121</f>
        <v>0</v>
      </c>
      <c r="U38" s="172">
        <f>Input!U121</f>
        <v>0</v>
      </c>
      <c r="V38" s="172">
        <f>Input!V121</f>
        <v>0</v>
      </c>
      <c r="W38" s="172">
        <f>Input!W121</f>
        <v>0</v>
      </c>
      <c r="X38" s="172">
        <f>Input!X121</f>
        <v>0</v>
      </c>
      <c r="Y38" s="172">
        <f>Input!Y121</f>
        <v>0</v>
      </c>
      <c r="Z38" s="172">
        <f>Input!Z121</f>
        <v>0</v>
      </c>
      <c r="AA38" s="172"/>
      <c r="AB38" s="173"/>
      <c r="AC38" s="173"/>
      <c r="AD38" s="173"/>
      <c r="AE38" s="173"/>
      <c r="AF38" s="173"/>
      <c r="AG38" s="173"/>
      <c r="AH38" s="173"/>
      <c r="AI38" s="173"/>
      <c r="AJ38" s="173"/>
      <c r="AK38" s="173"/>
      <c r="AL38" s="173"/>
      <c r="AM38" s="173"/>
      <c r="AN38" s="173"/>
      <c r="AO38" s="173"/>
      <c r="AP38" s="173"/>
      <c r="AQ38" s="173"/>
      <c r="AR38" s="173"/>
      <c r="AS38" s="173"/>
      <c r="AT38" s="173"/>
      <c r="AU38" s="173"/>
      <c r="AV38" s="173"/>
      <c r="AW38" s="173"/>
      <c r="AX38" s="173"/>
      <c r="AY38" s="173"/>
      <c r="AZ38" s="173"/>
      <c r="BA38" s="173"/>
    </row>
    <row r="39" spans="1:55" s="124" customFormat="1" x14ac:dyDescent="0.25">
      <c r="A39" s="115"/>
      <c r="B39" s="123" t="s">
        <v>1270</v>
      </c>
      <c r="C39" s="123" t="s">
        <v>489</v>
      </c>
      <c r="D39" s="118"/>
      <c r="E39" s="118"/>
      <c r="F39" s="118"/>
      <c r="G39" s="118"/>
      <c r="H39" s="118"/>
      <c r="I39" s="118"/>
      <c r="J39" s="119">
        <f>Input!J125</f>
        <v>0</v>
      </c>
      <c r="K39" s="119">
        <f>Input!K125</f>
        <v>0</v>
      </c>
      <c r="L39" s="119">
        <f>Input!L125</f>
        <v>0</v>
      </c>
      <c r="M39" s="119">
        <f>Input!M125</f>
        <v>0</v>
      </c>
      <c r="N39" s="119">
        <f>Input!N125</f>
        <v>0</v>
      </c>
      <c r="O39" s="119">
        <f>Input!O125</f>
        <v>0</v>
      </c>
      <c r="P39" s="671">
        <f>Input!P125</f>
        <v>0</v>
      </c>
      <c r="Q39" s="172">
        <f>Input!Q125</f>
        <v>0</v>
      </c>
      <c r="R39" s="172">
        <f>Input!R125</f>
        <v>0</v>
      </c>
      <c r="S39" s="172">
        <f>Input!S125</f>
        <v>0</v>
      </c>
      <c r="T39" s="172">
        <f>Input!T125</f>
        <v>0</v>
      </c>
      <c r="U39" s="172">
        <f>Input!U125</f>
        <v>0</v>
      </c>
      <c r="V39" s="172">
        <f>Input!V125</f>
        <v>0</v>
      </c>
      <c r="W39" s="172">
        <f>Input!W125</f>
        <v>0</v>
      </c>
      <c r="X39" s="172">
        <f>Input!X125</f>
        <v>0</v>
      </c>
      <c r="Y39" s="172">
        <f>Input!Y125</f>
        <v>0</v>
      </c>
      <c r="Z39" s="172">
        <f>Input!Z125</f>
        <v>0</v>
      </c>
      <c r="AA39" s="172"/>
      <c r="AB39" s="173"/>
      <c r="AC39" s="173"/>
      <c r="AD39" s="173"/>
      <c r="AE39" s="173"/>
      <c r="AF39" s="173"/>
      <c r="AG39" s="173"/>
      <c r="AH39" s="173"/>
      <c r="AI39" s="173"/>
      <c r="AJ39" s="173"/>
      <c r="AK39" s="173"/>
      <c r="AL39" s="173"/>
      <c r="AM39" s="173"/>
      <c r="AN39" s="173"/>
      <c r="AO39" s="173"/>
      <c r="AP39" s="173"/>
      <c r="AQ39" s="173"/>
      <c r="AR39" s="173"/>
      <c r="AS39" s="173"/>
      <c r="AT39" s="173"/>
      <c r="AU39" s="173"/>
      <c r="AV39" s="173"/>
      <c r="AW39" s="173"/>
      <c r="AX39" s="173"/>
      <c r="AY39" s="173"/>
      <c r="AZ39" s="173"/>
      <c r="BA39" s="173"/>
      <c r="BC39" s="2245"/>
    </row>
    <row r="40" spans="1:55" s="124" customFormat="1" x14ac:dyDescent="0.25">
      <c r="A40" s="115"/>
      <c r="B40" s="140" t="s">
        <v>1271</v>
      </c>
      <c r="C40" s="140" t="s">
        <v>491</v>
      </c>
      <c r="D40" s="267"/>
      <c r="E40" s="267"/>
      <c r="F40" s="267"/>
      <c r="G40" s="267"/>
      <c r="H40" s="267"/>
      <c r="I40" s="267"/>
      <c r="J40" s="656">
        <f>J35-J37-J38-J39</f>
        <v>184.76550387699999</v>
      </c>
      <c r="K40" s="656">
        <f t="shared" ref="K40:Z40" si="8">K35-K37-K38-K39</f>
        <v>122.39153793400001</v>
      </c>
      <c r="L40" s="656">
        <f t="shared" si="8"/>
        <v>142.35280390200001</v>
      </c>
      <c r="M40" s="656">
        <f t="shared" si="8"/>
        <v>140.18412423200002</v>
      </c>
      <c r="N40" s="656">
        <f t="shared" si="8"/>
        <v>125.16012716899999</v>
      </c>
      <c r="O40" s="656">
        <f t="shared" si="8"/>
        <v>138.91641703799999</v>
      </c>
      <c r="P40" s="684">
        <f t="shared" si="8"/>
        <v>158.58410142747999</v>
      </c>
      <c r="Q40" s="657">
        <f t="shared" ca="1" si="8"/>
        <v>199.14699967576132</v>
      </c>
      <c r="R40" s="657">
        <f t="shared" ca="1" si="8"/>
        <v>196.93417316807199</v>
      </c>
      <c r="S40" s="657">
        <f t="shared" ca="1" si="8"/>
        <v>286.2740801613358</v>
      </c>
      <c r="T40" s="657">
        <f t="shared" ca="1" si="8"/>
        <v>330.34513180438529</v>
      </c>
      <c r="U40" s="657">
        <f t="shared" ca="1" si="8"/>
        <v>381.74550574175225</v>
      </c>
      <c r="V40" s="657">
        <f t="shared" ca="1" si="8"/>
        <v>418.98450601289568</v>
      </c>
      <c r="W40" s="657">
        <f t="shared" ca="1" si="8"/>
        <v>463.48319567638538</v>
      </c>
      <c r="X40" s="657">
        <f t="shared" ca="1" si="8"/>
        <v>487.74006733071178</v>
      </c>
      <c r="Y40" s="657">
        <f t="shared" ca="1" si="8"/>
        <v>514.78378560234319</v>
      </c>
      <c r="Z40" s="657">
        <f t="shared" ca="1" si="8"/>
        <v>543.64142656040394</v>
      </c>
      <c r="AA40" s="657"/>
      <c r="AB40" s="268"/>
      <c r="AC40" s="268"/>
      <c r="AD40" s="268"/>
      <c r="AE40" s="268"/>
      <c r="AF40" s="268"/>
      <c r="AG40" s="268"/>
      <c r="AH40" s="268"/>
      <c r="AI40" s="268"/>
      <c r="AJ40" s="268"/>
      <c r="AK40" s="268"/>
      <c r="AL40" s="268"/>
      <c r="AM40" s="268"/>
      <c r="AN40" s="268"/>
      <c r="AO40" s="268"/>
      <c r="AP40" s="268"/>
      <c r="AQ40" s="268"/>
      <c r="AR40" s="268"/>
      <c r="AS40" s="268"/>
      <c r="AT40" s="268"/>
      <c r="AU40" s="268"/>
      <c r="AV40" s="268"/>
      <c r="AW40" s="268"/>
      <c r="AX40" s="268"/>
      <c r="AY40" s="268"/>
      <c r="AZ40" s="268"/>
      <c r="BA40" s="268"/>
    </row>
    <row r="41" spans="1:55" s="124" customFormat="1" x14ac:dyDescent="0.25">
      <c r="A41" s="115"/>
      <c r="B41" s="123"/>
      <c r="C41" s="123"/>
      <c r="D41" s="118"/>
      <c r="E41" s="118"/>
      <c r="F41" s="118"/>
      <c r="G41" s="118"/>
      <c r="H41" s="118"/>
      <c r="I41" s="118"/>
      <c r="J41" s="118"/>
      <c r="K41" s="118"/>
      <c r="L41" s="118"/>
      <c r="M41" s="118"/>
      <c r="N41" s="118"/>
      <c r="O41" s="118"/>
      <c r="P41" s="218"/>
      <c r="Q41" s="173"/>
      <c r="R41" s="173"/>
      <c r="S41" s="173"/>
      <c r="T41" s="173"/>
      <c r="U41" s="173"/>
      <c r="V41" s="173"/>
      <c r="W41" s="173"/>
      <c r="X41" s="173"/>
      <c r="Y41" s="173"/>
      <c r="Z41" s="173"/>
      <c r="AA41" s="173"/>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row>
    <row r="42" spans="1:55" s="124" customFormat="1" x14ac:dyDescent="0.25">
      <c r="A42" s="115"/>
      <c r="B42" s="123" t="s">
        <v>1272</v>
      </c>
      <c r="C42" s="123" t="s">
        <v>495</v>
      </c>
      <c r="D42" s="118"/>
      <c r="E42" s="118"/>
      <c r="F42" s="118"/>
      <c r="G42" s="118"/>
      <c r="H42" s="118"/>
      <c r="I42" s="118"/>
      <c r="J42" s="119">
        <f>Input!J133</f>
        <v>62.8</v>
      </c>
      <c r="K42" s="119">
        <f>Input!K133</f>
        <v>78.599999999999994</v>
      </c>
      <c r="L42" s="119">
        <f>Input!L133</f>
        <v>78.5685</v>
      </c>
      <c r="M42" s="119">
        <f>Input!M133</f>
        <v>78.568372499999995</v>
      </c>
      <c r="N42" s="119">
        <f>Input!N133</f>
        <v>78.5685</v>
      </c>
      <c r="O42" s="119">
        <f>Input!O133</f>
        <v>78.5685</v>
      </c>
      <c r="P42" s="671">
        <f>Input!P133</f>
        <v>0.46600000000000003</v>
      </c>
      <c r="Q42" s="172">
        <f>Input!Q133</f>
        <v>28.786179500000003</v>
      </c>
      <c r="R42" s="172">
        <f>Input!R133</f>
        <v>28.786179500000003</v>
      </c>
      <c r="S42" s="172">
        <f>Input!S133</f>
        <v>57.572359000000006</v>
      </c>
      <c r="T42" s="172">
        <f>Input!T133</f>
        <v>115.14471800000001</v>
      </c>
      <c r="U42" s="172">
        <f>Input!U133</f>
        <v>115.14471800000001</v>
      </c>
      <c r="V42" s="172">
        <f>Input!V133</f>
        <v>143.93089749999999</v>
      </c>
      <c r="W42" s="172">
        <f>Input!W133</f>
        <v>201.50325649999999</v>
      </c>
      <c r="X42" s="172">
        <f>Input!X133</f>
        <v>201.50325649999999</v>
      </c>
      <c r="Y42" s="172">
        <f>Input!Y133</f>
        <v>287.86179499999997</v>
      </c>
      <c r="Z42" s="172">
        <f>Input!Z133</f>
        <v>316.64797450000003</v>
      </c>
      <c r="AA42" s="172"/>
      <c r="AB42" s="173"/>
      <c r="AC42" s="173"/>
      <c r="AD42" s="173"/>
      <c r="AE42" s="173"/>
      <c r="AF42" s="173"/>
      <c r="AG42" s="173"/>
      <c r="AH42" s="173"/>
      <c r="AI42" s="173"/>
      <c r="AJ42" s="173"/>
      <c r="AK42" s="173"/>
      <c r="AL42" s="173"/>
      <c r="AM42" s="173"/>
      <c r="AN42" s="173"/>
      <c r="AO42" s="173"/>
      <c r="AP42" s="173"/>
      <c r="AQ42" s="173"/>
      <c r="AR42" s="173"/>
      <c r="AS42" s="173"/>
      <c r="AT42" s="173"/>
      <c r="AU42" s="173"/>
      <c r="AV42" s="173"/>
      <c r="AW42" s="173"/>
      <c r="AX42" s="173"/>
      <c r="AY42" s="173"/>
      <c r="AZ42" s="173"/>
      <c r="BA42" s="173"/>
    </row>
    <row r="43" spans="1:55" s="124" customFormat="1" ht="13.8" thickBot="1" x14ac:dyDescent="0.3">
      <c r="A43" s="115"/>
      <c r="B43" s="722" t="s">
        <v>1273</v>
      </c>
      <c r="C43" s="722" t="s">
        <v>497</v>
      </c>
      <c r="D43" s="723"/>
      <c r="E43" s="723"/>
      <c r="F43" s="723"/>
      <c r="G43" s="723"/>
      <c r="H43" s="723"/>
      <c r="I43" s="723"/>
      <c r="J43" s="724">
        <f>Input!J136</f>
        <v>121.96550387699999</v>
      </c>
      <c r="K43" s="724">
        <f>Input!K136</f>
        <v>43.791537934000019</v>
      </c>
      <c r="L43" s="724">
        <f>Input!L136</f>
        <v>63.784303902000005</v>
      </c>
      <c r="M43" s="724">
        <f>Input!M136</f>
        <v>61.615751732000021</v>
      </c>
      <c r="N43" s="724">
        <f>Input!N136</f>
        <v>46.591627168999992</v>
      </c>
      <c r="O43" s="724">
        <f>Input!O136</f>
        <v>60.347917037999991</v>
      </c>
      <c r="P43" s="725">
        <f>Input!P136</f>
        <v>158.11810142747998</v>
      </c>
      <c r="Q43" s="726">
        <f ca="1">Input!Q136</f>
        <v>170.36082017576132</v>
      </c>
      <c r="R43" s="726">
        <f ca="1">Input!R136</f>
        <v>168.14799366807199</v>
      </c>
      <c r="S43" s="726">
        <f ca="1">Input!S136</f>
        <v>228.7017211613358</v>
      </c>
      <c r="T43" s="726">
        <f ca="1">Input!T136</f>
        <v>215.20041380438528</v>
      </c>
      <c r="U43" s="726">
        <f ca="1">Input!U136</f>
        <v>266.60078774175224</v>
      </c>
      <c r="V43" s="726">
        <f ca="1">Input!V136</f>
        <v>275.05360851289572</v>
      </c>
      <c r="W43" s="726">
        <f ca="1">Input!W136</f>
        <v>261.97993917638541</v>
      </c>
      <c r="X43" s="726">
        <f ca="1">Input!X136</f>
        <v>286.23681083071176</v>
      </c>
      <c r="Y43" s="726">
        <f ca="1">Input!Y136</f>
        <v>226.92199060234321</v>
      </c>
      <c r="Z43" s="726">
        <f ca="1">Input!Z136</f>
        <v>226.99345206040391</v>
      </c>
      <c r="AA43" s="726"/>
      <c r="AB43" s="727"/>
      <c r="AC43" s="727"/>
      <c r="AD43" s="727"/>
      <c r="AE43" s="727"/>
      <c r="AF43" s="727"/>
      <c r="AG43" s="727"/>
      <c r="AH43" s="727"/>
      <c r="AI43" s="727"/>
      <c r="AJ43" s="727"/>
      <c r="AK43" s="727"/>
      <c r="AL43" s="727"/>
      <c r="AM43" s="727"/>
      <c r="AN43" s="727"/>
      <c r="AO43" s="727"/>
      <c r="AP43" s="727"/>
      <c r="AQ43" s="727"/>
      <c r="AR43" s="727"/>
      <c r="AS43" s="727"/>
      <c r="AT43" s="727"/>
      <c r="AU43" s="727"/>
      <c r="AV43" s="727"/>
      <c r="AW43" s="727"/>
      <c r="AX43" s="727"/>
      <c r="AY43" s="727"/>
      <c r="AZ43" s="727"/>
      <c r="BA43" s="727"/>
    </row>
    <row r="44" spans="1:55" s="729" customFormat="1" ht="13.8" thickTop="1" x14ac:dyDescent="0.25">
      <c r="A44" s="676"/>
      <c r="B44" s="458" t="s">
        <v>1274</v>
      </c>
      <c r="C44" s="458"/>
      <c r="D44" s="542"/>
      <c r="E44" s="542"/>
      <c r="F44" s="542"/>
      <c r="G44" s="542"/>
      <c r="H44" s="542"/>
      <c r="I44" s="542"/>
      <c r="J44" s="543">
        <f>J32-Input!J94</f>
        <v>0</v>
      </c>
      <c r="K44" s="543">
        <f>K32-Input!K94</f>
        <v>0</v>
      </c>
      <c r="L44" s="543">
        <f>L32-Input!L94</f>
        <v>0</v>
      </c>
      <c r="M44" s="543">
        <f>M32-Input!M94</f>
        <v>0</v>
      </c>
      <c r="N44" s="543">
        <f>N32-Input!N94</f>
        <v>0</v>
      </c>
      <c r="O44" s="543">
        <f>O32-Input!O94</f>
        <v>0</v>
      </c>
      <c r="P44" s="745">
        <f>P32-Input!P94</f>
        <v>0</v>
      </c>
      <c r="Q44" s="1880">
        <f ca="1">Q32-Input!Q94</f>
        <v>0</v>
      </c>
      <c r="R44" s="1880">
        <f ca="1">R32-Input!R94</f>
        <v>0</v>
      </c>
      <c r="S44" s="1880">
        <f ca="1">S32-Input!S94</f>
        <v>0</v>
      </c>
      <c r="T44" s="1880">
        <f ca="1">T32-Input!T94</f>
        <v>0</v>
      </c>
      <c r="U44" s="1880">
        <f ca="1">U32-Input!U94</f>
        <v>0</v>
      </c>
      <c r="V44" s="1880">
        <f ca="1">V32-Input!V94</f>
        <v>0</v>
      </c>
      <c r="W44" s="1880">
        <f ca="1">W32-Input!W94</f>
        <v>0</v>
      </c>
      <c r="X44" s="1880">
        <f ca="1">X32-Input!X94</f>
        <v>0</v>
      </c>
      <c r="Y44" s="1880">
        <f ca="1">Y32-Input!Y94</f>
        <v>0</v>
      </c>
      <c r="Z44" s="1880">
        <f ca="1">Z32-Input!Z94</f>
        <v>0</v>
      </c>
      <c r="AA44" s="1880"/>
      <c r="AB44" s="542"/>
      <c r="AC44" s="542"/>
      <c r="AD44" s="542"/>
      <c r="AE44" s="542"/>
      <c r="AF44" s="542"/>
      <c r="AG44" s="542"/>
      <c r="AH44" s="542"/>
      <c r="AI44" s="542"/>
      <c r="AJ44" s="542"/>
      <c r="AK44" s="542"/>
      <c r="AL44" s="542"/>
      <c r="AM44" s="542"/>
      <c r="AN44" s="542"/>
      <c r="AO44" s="542"/>
      <c r="AP44" s="542"/>
      <c r="AQ44" s="542"/>
      <c r="AR44" s="542"/>
      <c r="AS44" s="542"/>
      <c r="AT44" s="542"/>
      <c r="AU44" s="542"/>
      <c r="AV44" s="542"/>
      <c r="AW44" s="542"/>
      <c r="AX44" s="542"/>
      <c r="AY44" s="542"/>
      <c r="AZ44" s="542"/>
      <c r="BA44" s="542"/>
    </row>
    <row r="45" spans="1:55" s="734" customFormat="1" x14ac:dyDescent="0.25">
      <c r="A45" s="658"/>
      <c r="B45" s="730"/>
      <c r="C45" s="730"/>
      <c r="D45" s="731"/>
      <c r="E45" s="731"/>
      <c r="F45" s="731"/>
      <c r="G45" s="731"/>
      <c r="H45" s="731"/>
      <c r="I45" s="731"/>
      <c r="J45" s="731"/>
      <c r="K45" s="731"/>
      <c r="L45" s="731"/>
      <c r="M45" s="731"/>
      <c r="N45" s="731"/>
      <c r="O45" s="731"/>
      <c r="P45" s="732"/>
      <c r="Q45" s="731"/>
      <c r="R45" s="731"/>
      <c r="S45" s="731"/>
      <c r="T45" s="731"/>
      <c r="U45" s="731"/>
      <c r="V45" s="731"/>
      <c r="W45" s="731"/>
      <c r="X45" s="731"/>
      <c r="Y45" s="731"/>
      <c r="Z45" s="731"/>
      <c r="AA45" s="731"/>
      <c r="AB45" s="731"/>
      <c r="AC45" s="731"/>
      <c r="AD45" s="731"/>
      <c r="AE45" s="731"/>
      <c r="AF45" s="731"/>
      <c r="AG45" s="731"/>
      <c r="AH45" s="731"/>
      <c r="AI45" s="731"/>
      <c r="AJ45" s="731"/>
      <c r="AK45" s="731"/>
      <c r="AL45" s="731"/>
      <c r="AM45" s="731"/>
      <c r="AN45" s="731"/>
      <c r="AO45" s="731"/>
      <c r="AP45" s="731"/>
      <c r="AQ45" s="731"/>
      <c r="AR45" s="731"/>
      <c r="AS45" s="731"/>
      <c r="AT45" s="731"/>
      <c r="AU45" s="731"/>
      <c r="AV45" s="731"/>
      <c r="AW45" s="731"/>
      <c r="AX45" s="731"/>
      <c r="AY45" s="731"/>
      <c r="AZ45" s="731"/>
      <c r="BA45" s="731"/>
    </row>
    <row r="46" spans="1:55" s="734" customFormat="1" x14ac:dyDescent="0.25">
      <c r="A46" s="658"/>
      <c r="B46" s="730"/>
      <c r="C46" s="730"/>
      <c r="D46" s="731"/>
      <c r="E46" s="731"/>
      <c r="F46" s="731"/>
      <c r="G46" s="731"/>
      <c r="H46" s="731"/>
      <c r="I46" s="731"/>
      <c r="J46" s="731"/>
      <c r="K46" s="731"/>
      <c r="L46" s="731"/>
      <c r="M46" s="731"/>
      <c r="N46" s="731"/>
      <c r="O46" s="731"/>
      <c r="P46" s="732"/>
      <c r="Q46" s="731"/>
      <c r="R46" s="731"/>
      <c r="S46" s="731"/>
      <c r="T46" s="731"/>
      <c r="U46" s="731"/>
      <c r="V46" s="731"/>
      <c r="W46" s="731"/>
      <c r="X46" s="731"/>
      <c r="Y46" s="731"/>
      <c r="Z46" s="731"/>
      <c r="AA46" s="731"/>
      <c r="AB46" s="731"/>
      <c r="AC46" s="731"/>
      <c r="AD46" s="731"/>
      <c r="AE46" s="731"/>
      <c r="AF46" s="731"/>
      <c r="AG46" s="731"/>
      <c r="AH46" s="731"/>
      <c r="AI46" s="731"/>
      <c r="AJ46" s="731"/>
      <c r="AK46" s="731"/>
      <c r="AL46" s="731"/>
      <c r="AM46" s="731"/>
      <c r="AN46" s="731"/>
      <c r="AO46" s="731"/>
      <c r="AP46" s="731"/>
      <c r="AQ46" s="731"/>
      <c r="AR46" s="731"/>
      <c r="AS46" s="731"/>
      <c r="AT46" s="731"/>
      <c r="AU46" s="731"/>
      <c r="AV46" s="731"/>
      <c r="AW46" s="731"/>
      <c r="AX46" s="731"/>
      <c r="AY46" s="731"/>
      <c r="AZ46" s="731"/>
      <c r="BA46" s="731"/>
    </row>
    <row r="47" spans="1:55" s="734" customFormat="1" x14ac:dyDescent="0.25">
      <c r="A47" s="658"/>
      <c r="B47" s="730"/>
      <c r="C47" s="730"/>
      <c r="D47" s="731"/>
      <c r="E47" s="731"/>
      <c r="F47" s="731"/>
      <c r="G47" s="731"/>
      <c r="H47" s="731"/>
      <c r="I47" s="731"/>
      <c r="J47" s="731"/>
      <c r="K47" s="731"/>
      <c r="L47" s="731"/>
      <c r="M47" s="731"/>
      <c r="N47" s="731"/>
      <c r="O47" s="731"/>
      <c r="P47" s="732"/>
      <c r="Q47" s="731"/>
      <c r="R47" s="731"/>
      <c r="S47" s="731"/>
      <c r="T47" s="731"/>
      <c r="U47" s="731"/>
      <c r="V47" s="731"/>
      <c r="W47" s="731"/>
      <c r="X47" s="731"/>
      <c r="Y47" s="731"/>
      <c r="Z47" s="731"/>
      <c r="AA47" s="731"/>
      <c r="AB47" s="731"/>
      <c r="AC47" s="731"/>
      <c r="AD47" s="731"/>
      <c r="AE47" s="731"/>
      <c r="AF47" s="731"/>
      <c r="AG47" s="731"/>
      <c r="AH47" s="731"/>
      <c r="AI47" s="731"/>
      <c r="AJ47" s="731"/>
      <c r="AK47" s="731"/>
      <c r="AL47" s="731"/>
      <c r="AM47" s="731"/>
      <c r="AN47" s="731"/>
      <c r="AO47" s="731"/>
      <c r="AP47" s="731"/>
      <c r="AQ47" s="731"/>
      <c r="AR47" s="731"/>
      <c r="AS47" s="731"/>
      <c r="AT47" s="731"/>
      <c r="AU47" s="731"/>
      <c r="AV47" s="731"/>
      <c r="AW47" s="731"/>
      <c r="AX47" s="731"/>
      <c r="AY47" s="731"/>
      <c r="AZ47" s="731"/>
      <c r="BA47" s="731"/>
    </row>
    <row r="48" spans="1:55" s="734" customFormat="1" x14ac:dyDescent="0.25">
      <c r="A48" s="658"/>
      <c r="B48" s="730"/>
      <c r="C48" s="730"/>
      <c r="D48" s="731"/>
      <c r="E48" s="731"/>
      <c r="F48" s="731"/>
      <c r="G48" s="731"/>
      <c r="H48" s="731"/>
      <c r="I48" s="731"/>
      <c r="J48" s="731"/>
      <c r="K48" s="731"/>
      <c r="L48" s="731"/>
      <c r="M48" s="731"/>
      <c r="N48" s="731"/>
      <c r="O48" s="731"/>
      <c r="P48" s="732"/>
      <c r="Q48" s="731"/>
      <c r="R48" s="731"/>
      <c r="S48" s="731"/>
      <c r="T48" s="731"/>
      <c r="U48" s="731"/>
      <c r="V48" s="731"/>
      <c r="W48" s="731"/>
      <c r="X48" s="731"/>
      <c r="Y48" s="731"/>
      <c r="Z48" s="731"/>
      <c r="AA48" s="731"/>
      <c r="AB48" s="731"/>
      <c r="AC48" s="731"/>
      <c r="AD48" s="731"/>
      <c r="AE48" s="731"/>
      <c r="AF48" s="731"/>
      <c r="AG48" s="731"/>
      <c r="AH48" s="731"/>
      <c r="AI48" s="731"/>
      <c r="AJ48" s="731"/>
      <c r="AK48" s="731"/>
      <c r="AL48" s="731"/>
      <c r="AM48" s="731"/>
      <c r="AN48" s="731"/>
      <c r="AO48" s="731"/>
      <c r="AP48" s="731"/>
      <c r="AQ48" s="731"/>
      <c r="AR48" s="731"/>
      <c r="AS48" s="731"/>
      <c r="AT48" s="731"/>
      <c r="AU48" s="731"/>
      <c r="AV48" s="731"/>
      <c r="AW48" s="731"/>
      <c r="AX48" s="731"/>
      <c r="AY48" s="731"/>
      <c r="AZ48" s="731"/>
      <c r="BA48" s="731"/>
    </row>
    <row r="49" spans="1:53" s="734" customFormat="1" x14ac:dyDescent="0.25">
      <c r="A49" s="658"/>
      <c r="B49" s="730"/>
      <c r="C49" s="730"/>
      <c r="D49" s="731"/>
      <c r="E49" s="731"/>
      <c r="F49" s="731"/>
      <c r="G49" s="731"/>
      <c r="H49" s="731"/>
      <c r="I49" s="731"/>
      <c r="J49" s="731"/>
      <c r="K49" s="731"/>
      <c r="L49" s="731"/>
      <c r="M49" s="731"/>
      <c r="N49" s="731"/>
      <c r="O49" s="731"/>
      <c r="P49" s="732"/>
      <c r="Q49" s="731"/>
      <c r="R49" s="731"/>
      <c r="S49" s="731"/>
      <c r="T49" s="731"/>
      <c r="U49" s="731"/>
      <c r="V49" s="731"/>
      <c r="W49" s="731"/>
      <c r="X49" s="731"/>
      <c r="Y49" s="731"/>
      <c r="Z49" s="731"/>
      <c r="AA49" s="731"/>
      <c r="AB49" s="731"/>
      <c r="AC49" s="731"/>
      <c r="AD49" s="731"/>
      <c r="AE49" s="731"/>
      <c r="AF49" s="731"/>
      <c r="AG49" s="731"/>
      <c r="AH49" s="731"/>
      <c r="AI49" s="731"/>
      <c r="AJ49" s="731"/>
      <c r="AK49" s="731"/>
      <c r="AL49" s="731"/>
      <c r="AM49" s="731"/>
      <c r="AN49" s="731"/>
      <c r="AO49" s="731"/>
      <c r="AP49" s="731"/>
      <c r="AQ49" s="731"/>
      <c r="AR49" s="731"/>
      <c r="AS49" s="731"/>
      <c r="AT49" s="731"/>
      <c r="AU49" s="731"/>
      <c r="AV49" s="731"/>
      <c r="AW49" s="731"/>
      <c r="AX49" s="731"/>
      <c r="AY49" s="731"/>
      <c r="AZ49" s="731"/>
      <c r="BA49" s="731"/>
    </row>
    <row r="50" spans="1:53" s="734" customFormat="1" x14ac:dyDescent="0.25">
      <c r="A50" s="658"/>
      <c r="B50" s="730"/>
      <c r="C50" s="730"/>
      <c r="D50" s="731"/>
      <c r="E50" s="731"/>
      <c r="F50" s="731"/>
      <c r="G50" s="731"/>
      <c r="H50" s="731"/>
      <c r="I50" s="731"/>
      <c r="J50" s="731"/>
      <c r="K50" s="731"/>
      <c r="L50" s="731"/>
      <c r="M50" s="731"/>
      <c r="N50" s="731"/>
      <c r="O50" s="731"/>
      <c r="P50" s="732"/>
      <c r="Q50" s="731"/>
      <c r="R50" s="731"/>
      <c r="S50" s="731"/>
      <c r="T50" s="731"/>
      <c r="U50" s="731"/>
      <c r="V50" s="731"/>
      <c r="W50" s="731"/>
      <c r="X50" s="731"/>
      <c r="Y50" s="731"/>
      <c r="Z50" s="731"/>
      <c r="AA50" s="731"/>
      <c r="AB50" s="731"/>
      <c r="AC50" s="731"/>
      <c r="AD50" s="731"/>
      <c r="AE50" s="731"/>
      <c r="AF50" s="731"/>
      <c r="AG50" s="731"/>
      <c r="AH50" s="731"/>
      <c r="AI50" s="731"/>
      <c r="AJ50" s="731"/>
      <c r="AK50" s="731"/>
      <c r="AL50" s="731"/>
      <c r="AM50" s="731"/>
      <c r="AN50" s="731"/>
      <c r="AO50" s="731"/>
      <c r="AP50" s="731"/>
      <c r="AQ50" s="731"/>
      <c r="AR50" s="731"/>
      <c r="AS50" s="731"/>
      <c r="AT50" s="731"/>
      <c r="AU50" s="731"/>
      <c r="AV50" s="731"/>
      <c r="AW50" s="731"/>
      <c r="AX50" s="731"/>
      <c r="AY50" s="731"/>
      <c r="AZ50" s="731"/>
      <c r="BA50" s="731"/>
    </row>
    <row r="51" spans="1:53" s="734" customFormat="1" x14ac:dyDescent="0.25">
      <c r="A51" s="658"/>
      <c r="B51" s="730"/>
      <c r="C51" s="730"/>
      <c r="D51" s="731"/>
      <c r="E51" s="731"/>
      <c r="F51" s="731"/>
      <c r="G51" s="731"/>
      <c r="H51" s="731"/>
      <c r="I51" s="731"/>
      <c r="J51" s="731"/>
      <c r="K51" s="731"/>
      <c r="L51" s="731"/>
      <c r="M51" s="731"/>
      <c r="N51" s="731"/>
      <c r="O51" s="731"/>
      <c r="P51" s="732"/>
      <c r="Q51" s="731"/>
      <c r="R51" s="731"/>
      <c r="S51" s="731"/>
      <c r="T51" s="731"/>
      <c r="U51" s="731"/>
      <c r="V51" s="731"/>
      <c r="W51" s="731"/>
      <c r="X51" s="731"/>
      <c r="Y51" s="731"/>
      <c r="Z51" s="731"/>
      <c r="AA51" s="731"/>
      <c r="AB51" s="731"/>
      <c r="AC51" s="731"/>
      <c r="AD51" s="731"/>
      <c r="AE51" s="731"/>
      <c r="AF51" s="731"/>
      <c r="AG51" s="731"/>
      <c r="AH51" s="731"/>
      <c r="AI51" s="731"/>
      <c r="AJ51" s="731"/>
      <c r="AK51" s="731"/>
      <c r="AL51" s="731"/>
      <c r="AM51" s="731"/>
      <c r="AN51" s="731"/>
      <c r="AO51" s="731"/>
      <c r="AP51" s="731"/>
      <c r="AQ51" s="731"/>
      <c r="AR51" s="731"/>
      <c r="AS51" s="731"/>
      <c r="AT51" s="731"/>
      <c r="AU51" s="731"/>
      <c r="AV51" s="731"/>
      <c r="AW51" s="731"/>
      <c r="AX51" s="731"/>
      <c r="AY51" s="731"/>
      <c r="AZ51" s="731"/>
      <c r="BA51" s="731"/>
    </row>
    <row r="52" spans="1:53" x14ac:dyDescent="0.25">
      <c r="B52" s="736"/>
      <c r="C52" s="736"/>
      <c r="M52" s="642"/>
      <c r="P52" s="737"/>
    </row>
    <row r="53" spans="1:53" x14ac:dyDescent="0.25">
      <c r="M53" s="642"/>
      <c r="P53" s="737"/>
    </row>
    <row r="54" spans="1:53" x14ac:dyDescent="0.25">
      <c r="M54" s="642"/>
      <c r="P54" s="737"/>
    </row>
    <row r="55" spans="1:53" x14ac:dyDescent="0.25">
      <c r="A55" s="738"/>
      <c r="D55" s="518"/>
      <c r="E55" s="518"/>
      <c r="F55" s="518"/>
      <c r="G55" s="518"/>
      <c r="H55" s="518"/>
      <c r="I55" s="518"/>
      <c r="J55" s="518"/>
      <c r="K55" s="518"/>
      <c r="L55" s="518"/>
      <c r="M55" s="518"/>
      <c r="N55" s="639"/>
      <c r="O55" s="639"/>
      <c r="P55" s="640"/>
      <c r="Q55" s="641"/>
      <c r="R55" s="641"/>
      <c r="S55" s="641"/>
      <c r="T55" s="641"/>
      <c r="U55" s="641"/>
      <c r="V55" s="641"/>
      <c r="W55" s="641"/>
      <c r="X55" s="641"/>
      <c r="Y55" s="641"/>
      <c r="Z55" s="641"/>
      <c r="AA55" s="641"/>
      <c r="AB55" s="641"/>
      <c r="AC55" s="641"/>
      <c r="AD55" s="641"/>
      <c r="AE55" s="641"/>
      <c r="AF55" s="641"/>
      <c r="AG55" s="641"/>
      <c r="AH55" s="641"/>
      <c r="AI55" s="641"/>
      <c r="AJ55" s="641"/>
      <c r="AK55" s="641"/>
      <c r="AL55" s="641"/>
      <c r="AM55" s="641"/>
      <c r="AN55" s="641"/>
      <c r="AO55" s="641"/>
      <c r="AP55" s="641"/>
      <c r="AQ55" s="641"/>
      <c r="AR55" s="641"/>
      <c r="AS55" s="641"/>
      <c r="AT55" s="641"/>
      <c r="AU55" s="641"/>
      <c r="AV55" s="641"/>
      <c r="AW55" s="641"/>
      <c r="AX55" s="641"/>
      <c r="AY55" s="641"/>
      <c r="AZ55" s="641"/>
      <c r="BA55" s="641"/>
    </row>
    <row r="56" spans="1:53" x14ac:dyDescent="0.25">
      <c r="A56" s="738"/>
      <c r="B56" s="2376" t="s">
        <v>1275</v>
      </c>
      <c r="C56" s="2378" t="s">
        <v>503</v>
      </c>
      <c r="D56" s="42"/>
      <c r="E56" s="42"/>
      <c r="F56" s="643"/>
      <c r="G56" s="643"/>
      <c r="H56" s="643"/>
      <c r="I56" s="643"/>
      <c r="J56" s="643"/>
      <c r="K56" s="643"/>
      <c r="L56" s="643"/>
      <c r="M56" s="643"/>
      <c r="N56" s="643"/>
      <c r="O56" s="643"/>
      <c r="P56" s="644"/>
      <c r="Q56" s="645"/>
      <c r="R56" s="645"/>
      <c r="S56" s="645"/>
      <c r="T56" s="645"/>
      <c r="U56" s="645"/>
      <c r="V56" s="645"/>
      <c r="W56" s="645"/>
      <c r="X56" s="645"/>
      <c r="Y56" s="645"/>
      <c r="Z56" s="645"/>
      <c r="AA56" s="645"/>
      <c r="AB56" s="645"/>
      <c r="AC56" s="645"/>
      <c r="AD56" s="645"/>
      <c r="AE56" s="645"/>
      <c r="AF56" s="645"/>
      <c r="AG56" s="645"/>
      <c r="AH56" s="645"/>
      <c r="AI56" s="645"/>
      <c r="AJ56" s="645"/>
      <c r="AK56" s="645"/>
      <c r="AL56" s="645"/>
      <c r="AM56" s="645"/>
      <c r="AN56" s="645"/>
      <c r="AO56" s="645"/>
      <c r="AP56" s="645"/>
      <c r="AQ56" s="645"/>
      <c r="AR56" s="645"/>
      <c r="AS56" s="645"/>
      <c r="AT56" s="645"/>
      <c r="AU56" s="645"/>
      <c r="AV56" s="645"/>
      <c r="AW56" s="645"/>
      <c r="AX56" s="645"/>
      <c r="AY56" s="645"/>
      <c r="AZ56" s="645"/>
      <c r="BA56" s="645"/>
    </row>
    <row r="57" spans="1:53" ht="13.8" thickBot="1" x14ac:dyDescent="0.3">
      <c r="A57" s="738"/>
      <c r="B57" s="2377"/>
      <c r="C57" s="2380"/>
      <c r="D57" s="739"/>
      <c r="E57" s="648"/>
      <c r="F57" s="648"/>
      <c r="G57" s="648"/>
      <c r="H57" s="648"/>
      <c r="I57" s="648"/>
      <c r="J57" s="648">
        <f>J3</f>
        <v>42369</v>
      </c>
      <c r="K57" s="648">
        <f t="shared" ref="K57:Z57" si="9">K3</f>
        <v>42735</v>
      </c>
      <c r="L57" s="648">
        <f t="shared" si="9"/>
        <v>43100</v>
      </c>
      <c r="M57" s="648">
        <f t="shared" si="9"/>
        <v>43465</v>
      </c>
      <c r="N57" s="648">
        <f t="shared" si="9"/>
        <v>43830</v>
      </c>
      <c r="O57" s="648">
        <f t="shared" si="9"/>
        <v>44196</v>
      </c>
      <c r="P57" s="648">
        <f t="shared" si="9"/>
        <v>44561</v>
      </c>
      <c r="Q57" s="650">
        <f t="shared" si="9"/>
        <v>44926</v>
      </c>
      <c r="R57" s="650">
        <f t="shared" si="9"/>
        <v>45291</v>
      </c>
      <c r="S57" s="650">
        <f t="shared" si="9"/>
        <v>45657</v>
      </c>
      <c r="T57" s="650">
        <f t="shared" si="9"/>
        <v>46022</v>
      </c>
      <c r="U57" s="650">
        <f t="shared" si="9"/>
        <v>46387</v>
      </c>
      <c r="V57" s="650">
        <f t="shared" si="9"/>
        <v>46752</v>
      </c>
      <c r="W57" s="650">
        <f t="shared" si="9"/>
        <v>47118</v>
      </c>
      <c r="X57" s="650">
        <f t="shared" si="9"/>
        <v>47483</v>
      </c>
      <c r="Y57" s="650">
        <f t="shared" si="9"/>
        <v>47848</v>
      </c>
      <c r="Z57" s="650">
        <f t="shared" si="9"/>
        <v>48213</v>
      </c>
      <c r="AA57" s="650"/>
      <c r="AB57" s="650"/>
      <c r="AC57" s="650"/>
      <c r="AD57" s="650"/>
      <c r="AE57" s="650"/>
      <c r="AF57" s="650"/>
      <c r="AG57" s="650"/>
      <c r="AH57" s="650"/>
      <c r="AI57" s="650"/>
      <c r="AJ57" s="650"/>
      <c r="AK57" s="650"/>
      <c r="AL57" s="650"/>
      <c r="AM57" s="650"/>
      <c r="AN57" s="650"/>
      <c r="AO57" s="650"/>
      <c r="AP57" s="650"/>
      <c r="AQ57" s="650"/>
      <c r="AR57" s="650"/>
      <c r="AS57" s="650"/>
      <c r="AT57" s="650"/>
      <c r="AU57" s="650"/>
      <c r="AV57" s="650"/>
      <c r="AW57" s="650"/>
      <c r="AX57" s="650"/>
      <c r="AY57" s="650"/>
      <c r="AZ57" s="650"/>
      <c r="BA57" s="650"/>
    </row>
    <row r="58" spans="1:53" ht="13.8" thickTop="1" x14ac:dyDescent="0.25">
      <c r="A58" s="738"/>
      <c r="B58" s="42" t="s">
        <v>1276</v>
      </c>
      <c r="C58" s="42" t="s">
        <v>504</v>
      </c>
      <c r="D58" s="654"/>
      <c r="E58" s="364"/>
      <c r="F58" s="364"/>
      <c r="G58" s="364"/>
      <c r="H58" s="364"/>
      <c r="I58" s="364"/>
      <c r="J58" s="364"/>
      <c r="K58" s="364"/>
      <c r="L58" s="364"/>
      <c r="M58" s="364"/>
      <c r="N58" s="364"/>
      <c r="O58" s="364"/>
      <c r="P58" s="740"/>
      <c r="Q58" s="364"/>
      <c r="R58" s="364"/>
      <c r="S58" s="364"/>
      <c r="T58" s="364"/>
      <c r="U58" s="364"/>
      <c r="V58" s="364"/>
      <c r="W58" s="364"/>
      <c r="X58" s="364"/>
      <c r="Y58" s="364"/>
      <c r="Z58" s="364"/>
      <c r="AA58" s="364"/>
      <c r="AB58" s="364"/>
      <c r="AC58" s="364"/>
      <c r="AD58" s="364"/>
      <c r="AE58" s="364"/>
      <c r="AF58" s="364"/>
      <c r="AG58" s="364"/>
      <c r="AH58" s="364"/>
      <c r="AI58" s="364"/>
      <c r="AJ58" s="364"/>
      <c r="AK58" s="364"/>
      <c r="AL58" s="364"/>
      <c r="AM58" s="364"/>
      <c r="AN58" s="364"/>
      <c r="AO58" s="364"/>
      <c r="AP58" s="364"/>
      <c r="AQ58" s="364"/>
      <c r="AR58" s="364"/>
      <c r="AS58" s="364"/>
      <c r="AT58" s="364"/>
      <c r="AU58" s="364"/>
      <c r="AV58" s="364"/>
      <c r="AW58" s="364"/>
      <c r="AX58" s="364"/>
      <c r="AY58" s="364"/>
      <c r="AZ58" s="364"/>
      <c r="BA58" s="364"/>
    </row>
    <row r="59" spans="1:53" x14ac:dyDescent="0.25">
      <c r="A59" s="115"/>
      <c r="B59" s="116" t="s">
        <v>1277</v>
      </c>
      <c r="C59" s="151"/>
      <c r="D59" s="118"/>
      <c r="E59" s="118"/>
      <c r="F59" s="118"/>
      <c r="G59" s="118"/>
      <c r="H59" s="118"/>
      <c r="I59" s="118"/>
      <c r="J59" s="119">
        <f>+J60+J61</f>
        <v>210.69177091500001</v>
      </c>
      <c r="K59" s="119">
        <f t="shared" ref="K59:Z59" si="10">+K60+K61</f>
        <v>135.54888223399999</v>
      </c>
      <c r="L59" s="119">
        <f t="shared" si="10"/>
        <v>96.499799276000005</v>
      </c>
      <c r="M59" s="119">
        <f t="shared" si="10"/>
        <v>92.556725446000002</v>
      </c>
      <c r="N59" s="119">
        <f t="shared" si="10"/>
        <v>138.16217737900001</v>
      </c>
      <c r="O59" s="119">
        <f t="shared" si="10"/>
        <v>108.72871470999999</v>
      </c>
      <c r="P59" s="119">
        <f t="shared" si="10"/>
        <v>68.453780408</v>
      </c>
      <c r="Q59" s="172">
        <f t="shared" ca="1" si="10"/>
        <v>191.11594896576673</v>
      </c>
      <c r="R59" s="172">
        <f t="shared" ca="1" si="10"/>
        <v>184.38590949931969</v>
      </c>
      <c r="S59" s="172">
        <f t="shared" ca="1" si="10"/>
        <v>225.29204635272035</v>
      </c>
      <c r="T59" s="172">
        <f t="shared" ca="1" si="10"/>
        <v>248.40765333491822</v>
      </c>
      <c r="U59" s="172">
        <f t="shared" ca="1" si="10"/>
        <v>275.02460444641957</v>
      </c>
      <c r="V59" s="172">
        <f t="shared" ca="1" si="10"/>
        <v>298.38197308682027</v>
      </c>
      <c r="W59" s="172">
        <f t="shared" ca="1" si="10"/>
        <v>342.73539521436214</v>
      </c>
      <c r="X59" s="172">
        <f t="shared" ca="1" si="10"/>
        <v>383.30625169695742</v>
      </c>
      <c r="Y59" s="172">
        <f t="shared" ca="1" si="10"/>
        <v>424.87884490588687</v>
      </c>
      <c r="Z59" s="172">
        <f t="shared" ca="1" si="10"/>
        <v>482.63437434273152</v>
      </c>
      <c r="AA59" s="172"/>
      <c r="AB59" s="173"/>
      <c r="AC59" s="173"/>
      <c r="AD59" s="173"/>
      <c r="AE59" s="173"/>
      <c r="AF59" s="173"/>
      <c r="AG59" s="173"/>
      <c r="AH59" s="173"/>
      <c r="AI59" s="173"/>
      <c r="AJ59" s="173"/>
      <c r="AK59" s="173"/>
      <c r="AL59" s="173"/>
      <c r="AM59" s="173"/>
      <c r="AN59" s="173"/>
      <c r="AO59" s="173"/>
      <c r="AP59" s="173"/>
      <c r="AQ59" s="173"/>
      <c r="AR59" s="173"/>
      <c r="AS59" s="173"/>
      <c r="AT59" s="173"/>
      <c r="AU59" s="173"/>
      <c r="AV59" s="173"/>
      <c r="AW59" s="173"/>
      <c r="AX59" s="173"/>
      <c r="AY59" s="173"/>
      <c r="AZ59" s="173"/>
      <c r="BA59" s="173"/>
    </row>
    <row r="60" spans="1:53" x14ac:dyDescent="0.25">
      <c r="A60" s="676">
        <v>1</v>
      </c>
      <c r="B60" s="741" t="s">
        <v>1278</v>
      </c>
      <c r="C60" s="742" t="s">
        <v>436</v>
      </c>
      <c r="D60" s="696"/>
      <c r="E60" s="696"/>
      <c r="F60" s="696"/>
      <c r="G60" s="696"/>
      <c r="H60" s="696"/>
      <c r="I60" s="696"/>
      <c r="J60" s="697">
        <f>Input!J158</f>
        <v>0</v>
      </c>
      <c r="K60" s="697">
        <f>Input!K158</f>
        <v>0</v>
      </c>
      <c r="L60" s="697">
        <f>Input!L158</f>
        <v>0</v>
      </c>
      <c r="M60" s="697">
        <f>Input!M158</f>
        <v>0</v>
      </c>
      <c r="N60" s="697">
        <f>Input!N158</f>
        <v>0</v>
      </c>
      <c r="O60" s="697">
        <f>Input!O158</f>
        <v>0</v>
      </c>
      <c r="P60" s="697">
        <f>Input!P158</f>
        <v>0</v>
      </c>
      <c r="Q60" s="699">
        <f ca="1">Input!Q158</f>
        <v>23.534424349970777</v>
      </c>
      <c r="R60" s="699">
        <f ca="1">Input!R158</f>
        <v>9.5553164665857366</v>
      </c>
      <c r="S60" s="699">
        <f ca="1">Input!S158</f>
        <v>2.360131490817821</v>
      </c>
      <c r="T60" s="699">
        <f ca="1">Input!T158</f>
        <v>5.8639847587251097</v>
      </c>
      <c r="U60" s="699">
        <f ca="1">Input!U158</f>
        <v>4.3821408332273677</v>
      </c>
      <c r="V60" s="699">
        <f ca="1">Input!V158</f>
        <v>0.3719321376629523</v>
      </c>
      <c r="W60" s="699">
        <f ca="1">Input!W158</f>
        <v>5.3928636092991837</v>
      </c>
      <c r="X60" s="699">
        <f ca="1">Input!X158</f>
        <v>8.4080566836423714</v>
      </c>
      <c r="Y60" s="699">
        <f ca="1">Input!Y158</f>
        <v>5.6388702754829865</v>
      </c>
      <c r="Z60" s="699">
        <f ca="1">Input!Z158</f>
        <v>8.6808558281463775</v>
      </c>
      <c r="AA60" s="699"/>
      <c r="AB60" s="700"/>
      <c r="AC60" s="700"/>
      <c r="AD60" s="700"/>
      <c r="AE60" s="700"/>
      <c r="AF60" s="700"/>
      <c r="AG60" s="700"/>
      <c r="AH60" s="700"/>
      <c r="AI60" s="700"/>
      <c r="AJ60" s="700"/>
      <c r="AK60" s="700"/>
      <c r="AL60" s="700"/>
      <c r="AM60" s="700"/>
      <c r="AN60" s="700"/>
      <c r="AO60" s="700"/>
      <c r="AP60" s="700"/>
      <c r="AQ60" s="700"/>
      <c r="AR60" s="700"/>
      <c r="AS60" s="700"/>
      <c r="AT60" s="700"/>
      <c r="AU60" s="700"/>
      <c r="AV60" s="700"/>
      <c r="AW60" s="700"/>
      <c r="AX60" s="700"/>
      <c r="AY60" s="700"/>
      <c r="AZ60" s="700"/>
      <c r="BA60" s="700"/>
    </row>
    <row r="61" spans="1:53" x14ac:dyDescent="0.25">
      <c r="A61" s="676">
        <v>2</v>
      </c>
      <c r="B61" s="741" t="s">
        <v>1279</v>
      </c>
      <c r="C61" s="742" t="s">
        <v>437</v>
      </c>
      <c r="D61" s="696"/>
      <c r="E61" s="696"/>
      <c r="F61" s="696"/>
      <c r="G61" s="696"/>
      <c r="H61" s="696"/>
      <c r="I61" s="696"/>
      <c r="J61" s="697">
        <f>+Input!J166</f>
        <v>210.69177091500001</v>
      </c>
      <c r="K61" s="697">
        <f>+Input!K166</f>
        <v>135.54888223399999</v>
      </c>
      <c r="L61" s="697">
        <f>+Input!L166</f>
        <v>96.499799276000005</v>
      </c>
      <c r="M61" s="697">
        <f>+Input!M166</f>
        <v>92.556725446000002</v>
      </c>
      <c r="N61" s="697">
        <f>+Input!N166</f>
        <v>138.16217737900001</v>
      </c>
      <c r="O61" s="697">
        <f>+Input!O166</f>
        <v>108.72871470999999</v>
      </c>
      <c r="P61" s="697">
        <f>+Input!P166</f>
        <v>68.453780408</v>
      </c>
      <c r="Q61" s="699">
        <f>+Input!Q166</f>
        <v>167.58152461579596</v>
      </c>
      <c r="R61" s="699">
        <f>+Input!R166</f>
        <v>174.83059303273396</v>
      </c>
      <c r="S61" s="699">
        <f>+Input!S166</f>
        <v>222.93191486190253</v>
      </c>
      <c r="T61" s="699">
        <f>+Input!T166</f>
        <v>242.54366857619311</v>
      </c>
      <c r="U61" s="699">
        <f>+Input!U166</f>
        <v>270.64246361319221</v>
      </c>
      <c r="V61" s="699">
        <f>+Input!V166</f>
        <v>298.01004094915731</v>
      </c>
      <c r="W61" s="699">
        <f>+Input!W166</f>
        <v>337.34253160506296</v>
      </c>
      <c r="X61" s="699">
        <f>+Input!X166</f>
        <v>374.89819501331505</v>
      </c>
      <c r="Y61" s="699">
        <f>+Input!Y166</f>
        <v>419.23997463040388</v>
      </c>
      <c r="Z61" s="699">
        <f>+Input!Z166</f>
        <v>473.95351851458514</v>
      </c>
      <c r="AA61" s="699"/>
      <c r="AB61" s="700"/>
      <c r="AC61" s="700"/>
      <c r="AD61" s="700"/>
      <c r="AE61" s="700"/>
      <c r="AF61" s="700"/>
      <c r="AG61" s="700"/>
      <c r="AH61" s="700"/>
      <c r="AI61" s="700"/>
      <c r="AJ61" s="700"/>
      <c r="AK61" s="700"/>
      <c r="AL61" s="700"/>
      <c r="AM61" s="700"/>
      <c r="AN61" s="700"/>
      <c r="AO61" s="700"/>
      <c r="AP61" s="700"/>
      <c r="AQ61" s="700"/>
      <c r="AR61" s="700"/>
      <c r="AS61" s="700"/>
      <c r="AT61" s="700"/>
      <c r="AU61" s="700"/>
      <c r="AV61" s="700"/>
      <c r="AW61" s="700"/>
      <c r="AX61" s="700"/>
      <c r="AY61" s="700"/>
      <c r="AZ61" s="700"/>
      <c r="BA61" s="700"/>
    </row>
    <row r="62" spans="1:53" x14ac:dyDescent="0.25">
      <c r="A62" s="115">
        <v>3</v>
      </c>
      <c r="B62" s="116" t="s">
        <v>1280</v>
      </c>
      <c r="C62" s="116" t="s">
        <v>519</v>
      </c>
      <c r="D62" s="118"/>
      <c r="E62" s="118"/>
      <c r="F62" s="118"/>
      <c r="G62" s="118"/>
      <c r="H62" s="118"/>
      <c r="I62" s="118"/>
      <c r="J62" s="119">
        <f>+Input!J176</f>
        <v>110.0013933</v>
      </c>
      <c r="K62" s="119">
        <f>+Input!K176</f>
        <v>274.11239330000001</v>
      </c>
      <c r="L62" s="119">
        <f>+Input!L176</f>
        <v>313.80139329999997</v>
      </c>
      <c r="M62" s="119">
        <f>+Input!M176</f>
        <v>222.70139330000001</v>
      </c>
      <c r="N62" s="119">
        <f>+Input!N176</f>
        <v>113.9413933</v>
      </c>
      <c r="O62" s="119">
        <f>+Input!O176</f>
        <v>93.341393299999993</v>
      </c>
      <c r="P62" s="119">
        <f>+Input!P176</f>
        <v>139.20139330000001</v>
      </c>
      <c r="Q62" s="172">
        <f>+Input!Q176</f>
        <v>138.75912513857048</v>
      </c>
      <c r="R62" s="172">
        <f>+Input!R176</f>
        <v>152.06115390134735</v>
      </c>
      <c r="S62" s="172">
        <f>+Input!S176</f>
        <v>302.97251636497458</v>
      </c>
      <c r="T62" s="172">
        <f>+Input!T176</f>
        <v>411.97276747265255</v>
      </c>
      <c r="U62" s="172">
        <f>+Input!U176</f>
        <v>509.97540868564045</v>
      </c>
      <c r="V62" s="172">
        <f>+Input!V176</f>
        <v>700.16452846153436</v>
      </c>
      <c r="W62" s="172">
        <f>+Input!W176</f>
        <v>762.94579446204591</v>
      </c>
      <c r="X62" s="172">
        <f>+Input!X176</f>
        <v>863.73110692340094</v>
      </c>
      <c r="Y62" s="172">
        <f>+Input!Y176</f>
        <v>1033.277942433089</v>
      </c>
      <c r="Z62" s="172">
        <f>+Input!Z176</f>
        <v>1141.2119112502442</v>
      </c>
      <c r="AA62" s="172"/>
      <c r="AB62" s="173"/>
      <c r="AC62" s="173"/>
      <c r="AD62" s="173"/>
      <c r="AE62" s="173"/>
      <c r="AF62" s="173"/>
      <c r="AG62" s="173"/>
      <c r="AH62" s="173"/>
      <c r="AI62" s="173"/>
      <c r="AJ62" s="173"/>
      <c r="AK62" s="173"/>
      <c r="AL62" s="173"/>
      <c r="AM62" s="173"/>
      <c r="AN62" s="173"/>
      <c r="AO62" s="173"/>
      <c r="AP62" s="173"/>
      <c r="AQ62" s="173"/>
      <c r="AR62" s="173"/>
      <c r="AS62" s="173"/>
      <c r="AT62" s="173"/>
      <c r="AU62" s="173"/>
      <c r="AV62" s="173"/>
      <c r="AW62" s="173"/>
      <c r="AX62" s="173"/>
      <c r="AY62" s="173"/>
      <c r="AZ62" s="173"/>
      <c r="BA62" s="173"/>
    </row>
    <row r="63" spans="1:53" x14ac:dyDescent="0.25">
      <c r="A63" s="115">
        <v>4</v>
      </c>
      <c r="B63" s="116" t="s">
        <v>1281</v>
      </c>
      <c r="C63" s="116" t="s">
        <v>538</v>
      </c>
      <c r="D63" s="118"/>
      <c r="E63" s="118"/>
      <c r="F63" s="118"/>
      <c r="G63" s="118"/>
      <c r="H63" s="118"/>
      <c r="I63" s="118"/>
      <c r="J63" s="119">
        <f>+Input!J195</f>
        <v>272.48071712900003</v>
      </c>
      <c r="K63" s="119">
        <f>+Input!K195</f>
        <v>372.12791607899999</v>
      </c>
      <c r="L63" s="119">
        <f>+Input!L195</f>
        <v>405.93247588899999</v>
      </c>
      <c r="M63" s="119">
        <f>+Input!M195</f>
        <v>428.87786572300001</v>
      </c>
      <c r="N63" s="119">
        <f>+Input!N195</f>
        <v>445.14765052600001</v>
      </c>
      <c r="O63" s="119">
        <f>+Input!O195</f>
        <v>412.70150758099999</v>
      </c>
      <c r="P63" s="119">
        <f>+Input!P195</f>
        <v>503.84008486900001</v>
      </c>
      <c r="Q63" s="172">
        <f>+Input!Q195</f>
        <v>572.82357689960418</v>
      </c>
      <c r="R63" s="172">
        <f>+Input!R195</f>
        <v>598.14746762461095</v>
      </c>
      <c r="S63" s="172">
        <f>+Input!S195</f>
        <v>752.34990253173862</v>
      </c>
      <c r="T63" s="172">
        <f>+Input!T195</f>
        <v>805.39944420353106</v>
      </c>
      <c r="U63" s="172">
        <f>+Input!U195</f>
        <v>849.39502387910159</v>
      </c>
      <c r="V63" s="172">
        <f>+Input!V195</f>
        <v>888.19070163333072</v>
      </c>
      <c r="W63" s="172">
        <f>+Input!W195</f>
        <v>940.91330541636978</v>
      </c>
      <c r="X63" s="172">
        <f>+Input!X195</f>
        <v>1059.6768423842466</v>
      </c>
      <c r="Y63" s="172">
        <f>+Input!Y195</f>
        <v>1097.5668314950244</v>
      </c>
      <c r="Z63" s="172">
        <f>+Input!Z195</f>
        <v>1174.3988615060002</v>
      </c>
      <c r="AA63" s="172"/>
      <c r="AB63" s="173"/>
      <c r="AC63" s="173"/>
      <c r="AD63" s="173"/>
      <c r="AE63" s="173"/>
      <c r="AF63" s="173"/>
      <c r="AG63" s="173"/>
      <c r="AH63" s="173"/>
      <c r="AI63" s="173"/>
      <c r="AJ63" s="173"/>
      <c r="AK63" s="173"/>
      <c r="AL63" s="173"/>
      <c r="AM63" s="173"/>
      <c r="AN63" s="173"/>
      <c r="AO63" s="173"/>
      <c r="AP63" s="173"/>
      <c r="AQ63" s="173"/>
      <c r="AR63" s="173"/>
      <c r="AS63" s="173"/>
      <c r="AT63" s="173"/>
      <c r="AU63" s="173"/>
      <c r="AV63" s="173"/>
      <c r="AW63" s="173"/>
      <c r="AX63" s="173"/>
      <c r="AY63" s="173"/>
      <c r="AZ63" s="173"/>
      <c r="BA63" s="173"/>
    </row>
    <row r="64" spans="1:53" x14ac:dyDescent="0.25">
      <c r="A64" s="115">
        <v>5</v>
      </c>
      <c r="B64" s="116" t="s">
        <v>253</v>
      </c>
      <c r="C64" s="116" t="s">
        <v>555</v>
      </c>
      <c r="D64" s="118"/>
      <c r="E64" s="118"/>
      <c r="F64" s="118"/>
      <c r="G64" s="118"/>
      <c r="H64" s="118"/>
      <c r="I64" s="118"/>
      <c r="J64" s="119">
        <f>Input!J207</f>
        <v>174.19409459400001</v>
      </c>
      <c r="K64" s="119">
        <f>Input!K207</f>
        <v>231.11905704200001</v>
      </c>
      <c r="L64" s="119">
        <f>Input!L207</f>
        <v>289.89675649999998</v>
      </c>
      <c r="M64" s="119">
        <f>Input!M207</f>
        <v>269.72904185800002</v>
      </c>
      <c r="N64" s="119">
        <f>Input!N207</f>
        <v>312.96735966799997</v>
      </c>
      <c r="O64" s="119">
        <f>Input!O207</f>
        <v>214.908006156</v>
      </c>
      <c r="P64" s="119">
        <f>Input!P207</f>
        <v>254.08388323599999</v>
      </c>
      <c r="Q64" s="172">
        <f>Input!Q207</f>
        <v>279.53627052781201</v>
      </c>
      <c r="R64" s="172">
        <f>Input!R207</f>
        <v>295.0459279210894</v>
      </c>
      <c r="S64" s="172">
        <f>Input!S207</f>
        <v>357.86382579332451</v>
      </c>
      <c r="T64" s="172">
        <f>Input!T207</f>
        <v>374.69236941012321</v>
      </c>
      <c r="U64" s="172">
        <f>Input!U207</f>
        <v>389.44837566541253</v>
      </c>
      <c r="V64" s="172">
        <f>Input!V207</f>
        <v>404.60879143637635</v>
      </c>
      <c r="W64" s="172">
        <f>Input!W207</f>
        <v>422.97449415958044</v>
      </c>
      <c r="X64" s="172">
        <f>Input!X207</f>
        <v>522.85643576070822</v>
      </c>
      <c r="Y64" s="172">
        <f>Input!Y207</f>
        <v>543.47876635677051</v>
      </c>
      <c r="Z64" s="172">
        <f>Input!Z207</f>
        <v>584.62027626658403</v>
      </c>
      <c r="AA64" s="172"/>
      <c r="AB64" s="173"/>
      <c r="AC64" s="173"/>
      <c r="AD64" s="173"/>
      <c r="AE64" s="173"/>
      <c r="AF64" s="173"/>
      <c r="AG64" s="173"/>
      <c r="AH64" s="173"/>
      <c r="AI64" s="173"/>
      <c r="AJ64" s="173"/>
      <c r="AK64" s="173"/>
      <c r="AL64" s="173"/>
      <c r="AM64" s="173"/>
      <c r="AN64" s="173"/>
      <c r="AO64" s="173"/>
      <c r="AP64" s="173"/>
      <c r="AQ64" s="173"/>
      <c r="AR64" s="173"/>
      <c r="AS64" s="173"/>
      <c r="AT64" s="173"/>
      <c r="AU64" s="173"/>
      <c r="AV64" s="173"/>
      <c r="AW64" s="173"/>
      <c r="AX64" s="173"/>
      <c r="AY64" s="173"/>
      <c r="AZ64" s="173"/>
      <c r="BA64" s="173"/>
    </row>
    <row r="65" spans="1:55" x14ac:dyDescent="0.25">
      <c r="A65" s="115">
        <v>6</v>
      </c>
      <c r="B65" s="116" t="s">
        <v>1282</v>
      </c>
      <c r="C65" s="116" t="s">
        <v>557</v>
      </c>
      <c r="D65" s="118"/>
      <c r="E65" s="118"/>
      <c r="F65" s="118"/>
      <c r="G65" s="118"/>
      <c r="H65" s="118"/>
      <c r="I65" s="118"/>
      <c r="J65" s="119">
        <f>Input!J211</f>
        <v>5.1983805390000004</v>
      </c>
      <c r="K65" s="119">
        <f>Input!K211</f>
        <v>10.231771902</v>
      </c>
      <c r="L65" s="119">
        <f>Input!L211</f>
        <v>9.2872817459999997</v>
      </c>
      <c r="M65" s="119">
        <f>Input!M211</f>
        <v>7.3721254580000002</v>
      </c>
      <c r="N65" s="119">
        <f>Input!N211</f>
        <v>18.589657922000001</v>
      </c>
      <c r="O65" s="119">
        <f>Input!O211</f>
        <v>6.1661140559999996</v>
      </c>
      <c r="P65" s="119">
        <f>Input!P211</f>
        <v>6.7313965429999998</v>
      </c>
      <c r="Q65" s="172">
        <f>Input!Q211</f>
        <v>7.2329343463726641</v>
      </c>
      <c r="R65" s="172">
        <f>Input!R211</f>
        <v>7.5458091459801038</v>
      </c>
      <c r="S65" s="172">
        <f>Input!S211</f>
        <v>9.526629127117296</v>
      </c>
      <c r="T65" s="172">
        <f>Input!T211</f>
        <v>10.161475688212704</v>
      </c>
      <c r="U65" s="172">
        <f>Input!U211</f>
        <v>10.798749808044072</v>
      </c>
      <c r="V65" s="172">
        <f>Input!V211</f>
        <v>11.324502689712517</v>
      </c>
      <c r="W65" s="172">
        <f>Input!W211</f>
        <v>11.980517123656828</v>
      </c>
      <c r="X65" s="172">
        <f>Input!X211</f>
        <v>12.44325600250356</v>
      </c>
      <c r="Y65" s="172">
        <f>Input!Y211</f>
        <v>12.944190878084225</v>
      </c>
      <c r="Z65" s="172">
        <f>Input!Z211</f>
        <v>13.487089392475824</v>
      </c>
      <c r="AA65" s="172"/>
      <c r="AB65" s="173"/>
      <c r="AC65" s="173"/>
      <c r="AD65" s="173"/>
      <c r="AE65" s="173"/>
      <c r="AF65" s="173"/>
      <c r="AG65" s="173"/>
      <c r="AH65" s="173"/>
      <c r="AI65" s="173"/>
      <c r="AJ65" s="173"/>
      <c r="AK65" s="173"/>
      <c r="AL65" s="173"/>
      <c r="AM65" s="173"/>
      <c r="AN65" s="173"/>
      <c r="AO65" s="173"/>
      <c r="AP65" s="173"/>
      <c r="AQ65" s="173"/>
      <c r="AR65" s="173"/>
      <c r="AS65" s="173"/>
      <c r="AT65" s="173"/>
      <c r="AU65" s="173"/>
      <c r="AV65" s="173"/>
      <c r="AW65" s="173"/>
      <c r="AX65" s="173"/>
      <c r="AY65" s="173"/>
      <c r="AZ65" s="173"/>
      <c r="BA65" s="173"/>
    </row>
    <row r="66" spans="1:55" x14ac:dyDescent="0.25">
      <c r="A66" s="115"/>
      <c r="B66" s="133" t="s">
        <v>1283</v>
      </c>
      <c r="C66" s="133" t="s">
        <v>1284</v>
      </c>
      <c r="D66" s="166"/>
      <c r="E66" s="166"/>
      <c r="F66" s="166"/>
      <c r="G66" s="166"/>
      <c r="H66" s="166"/>
      <c r="I66" s="166"/>
      <c r="J66" s="167">
        <f>SUM(J62:J65)+J59</f>
        <v>772.56635647700011</v>
      </c>
      <c r="K66" s="167">
        <f t="shared" ref="K66:Z66" si="11">SUM(K62:K65)+K59</f>
        <v>1023.140020557</v>
      </c>
      <c r="L66" s="167">
        <f t="shared" si="11"/>
        <v>1115.4177067109999</v>
      </c>
      <c r="M66" s="167">
        <f t="shared" si="11"/>
        <v>1021.2371517850002</v>
      </c>
      <c r="N66" s="167">
        <f t="shared" si="11"/>
        <v>1028.8082387949999</v>
      </c>
      <c r="O66" s="167">
        <f t="shared" si="11"/>
        <v>835.84573580299991</v>
      </c>
      <c r="P66" s="167">
        <f t="shared" si="11"/>
        <v>972.31053835600005</v>
      </c>
      <c r="Q66" s="168">
        <f t="shared" ca="1" si="11"/>
        <v>1189.4678558781261</v>
      </c>
      <c r="R66" s="168">
        <f t="shared" ca="1" si="11"/>
        <v>1237.1862680923475</v>
      </c>
      <c r="S66" s="168">
        <f t="shared" ca="1" si="11"/>
        <v>1648.0049201698753</v>
      </c>
      <c r="T66" s="168">
        <f t="shared" ca="1" si="11"/>
        <v>1850.633710109438</v>
      </c>
      <c r="U66" s="168">
        <f t="shared" ca="1" si="11"/>
        <v>2034.642162484618</v>
      </c>
      <c r="V66" s="168">
        <f t="shared" ca="1" si="11"/>
        <v>2302.670497307774</v>
      </c>
      <c r="W66" s="168">
        <f t="shared" ca="1" si="11"/>
        <v>2481.549506376015</v>
      </c>
      <c r="X66" s="168">
        <f t="shared" ca="1" si="11"/>
        <v>2842.0138927678167</v>
      </c>
      <c r="Y66" s="168">
        <f t="shared" ca="1" si="11"/>
        <v>3112.1465760688552</v>
      </c>
      <c r="Z66" s="168">
        <f t="shared" ca="1" si="11"/>
        <v>3396.3525127580356</v>
      </c>
      <c r="AA66" s="168"/>
      <c r="AB66" s="169"/>
      <c r="AC66" s="169"/>
      <c r="AD66" s="169"/>
      <c r="AE66" s="169"/>
      <c r="AF66" s="169"/>
      <c r="AG66" s="169"/>
      <c r="AH66" s="169"/>
      <c r="AI66" s="169"/>
      <c r="AJ66" s="169"/>
      <c r="AK66" s="169"/>
      <c r="AL66" s="169"/>
      <c r="AM66" s="169"/>
      <c r="AN66" s="169"/>
      <c r="AO66" s="169"/>
      <c r="AP66" s="169"/>
      <c r="AQ66" s="169"/>
      <c r="AR66" s="169"/>
      <c r="AS66" s="169"/>
      <c r="AT66" s="169"/>
      <c r="AU66" s="169"/>
      <c r="AV66" s="169"/>
      <c r="AW66" s="169"/>
      <c r="AX66" s="169"/>
      <c r="AY66" s="169"/>
      <c r="AZ66" s="169"/>
      <c r="BA66" s="169"/>
    </row>
    <row r="67" spans="1:55" s="746" customFormat="1" x14ac:dyDescent="0.25">
      <c r="A67" s="676"/>
      <c r="B67" s="458" t="s">
        <v>1274</v>
      </c>
      <c r="C67" s="744"/>
      <c r="D67" s="542"/>
      <c r="E67" s="542"/>
      <c r="F67" s="542"/>
      <c r="G67" s="542"/>
      <c r="H67" s="542"/>
      <c r="I67" s="542"/>
      <c r="J67" s="543">
        <f>J66-Input!J214</f>
        <v>0</v>
      </c>
      <c r="K67" s="543">
        <f>K66-Input!K214</f>
        <v>0</v>
      </c>
      <c r="L67" s="543">
        <f>L66-Input!L214</f>
        <v>0</v>
      </c>
      <c r="M67" s="543">
        <f>M66-Input!M214</f>
        <v>0</v>
      </c>
      <c r="N67" s="543">
        <f>N66-Input!N214</f>
        <v>0</v>
      </c>
      <c r="O67" s="543">
        <f>O66-Input!O214</f>
        <v>0</v>
      </c>
      <c r="P67" s="543">
        <f>P66-Input!P214</f>
        <v>0</v>
      </c>
      <c r="Q67" s="1880">
        <f ca="1">Q66-Input!Q214</f>
        <v>0</v>
      </c>
      <c r="R67" s="1880">
        <f ca="1">R66-Input!R214</f>
        <v>0</v>
      </c>
      <c r="S67" s="1880">
        <f ca="1">S66-Input!S214</f>
        <v>0</v>
      </c>
      <c r="T67" s="1880">
        <f ca="1">T66-Input!T214</f>
        <v>0</v>
      </c>
      <c r="U67" s="1880">
        <f ca="1">U66-Input!U214</f>
        <v>0</v>
      </c>
      <c r="V67" s="1880">
        <f ca="1">V66-Input!V214</f>
        <v>0</v>
      </c>
      <c r="W67" s="1880">
        <f ca="1">W66-Input!W214</f>
        <v>0</v>
      </c>
      <c r="X67" s="1880">
        <f ca="1">X66-Input!X214</f>
        <v>0</v>
      </c>
      <c r="Y67" s="1880">
        <f ca="1">Y66-Input!Y214</f>
        <v>0</v>
      </c>
      <c r="Z67" s="1880">
        <f ca="1">Z66-Input!Z214</f>
        <v>0</v>
      </c>
      <c r="AA67" s="543"/>
      <c r="AB67" s="542"/>
      <c r="AC67" s="542"/>
      <c r="AD67" s="542"/>
      <c r="AE67" s="542"/>
      <c r="AF67" s="542"/>
      <c r="AG67" s="542"/>
      <c r="AH67" s="542"/>
      <c r="AI67" s="542"/>
      <c r="AJ67" s="542"/>
      <c r="AK67" s="542"/>
      <c r="AL67" s="542"/>
      <c r="AM67" s="542"/>
      <c r="AN67" s="542"/>
      <c r="AO67" s="542"/>
      <c r="AP67" s="542"/>
      <c r="AQ67" s="542"/>
      <c r="AR67" s="542"/>
      <c r="AS67" s="542"/>
      <c r="AT67" s="542"/>
      <c r="AU67" s="542"/>
      <c r="AV67" s="542"/>
      <c r="AW67" s="542"/>
      <c r="AX67" s="542"/>
      <c r="AY67" s="542"/>
      <c r="AZ67" s="542"/>
      <c r="BA67" s="542"/>
    </row>
    <row r="68" spans="1:55" x14ac:dyDescent="0.25">
      <c r="A68" s="658"/>
      <c r="B68" s="730"/>
      <c r="C68" s="747"/>
      <c r="D68" s="748"/>
      <c r="E68" s="748"/>
      <c r="F68" s="748"/>
      <c r="G68" s="748"/>
      <c r="H68" s="748"/>
      <c r="I68" s="748"/>
      <c r="J68" s="748"/>
      <c r="K68" s="748"/>
      <c r="L68" s="748"/>
      <c r="M68" s="748"/>
      <c r="N68" s="748"/>
      <c r="O68" s="748"/>
      <c r="P68" s="749"/>
      <c r="Q68" s="748"/>
      <c r="R68" s="748"/>
      <c r="S68" s="748"/>
      <c r="T68" s="748"/>
      <c r="U68" s="748"/>
      <c r="V68" s="748"/>
      <c r="W68" s="748"/>
      <c r="X68" s="748"/>
      <c r="Y68" s="748"/>
      <c r="Z68" s="748"/>
      <c r="AA68" s="748"/>
      <c r="AB68" s="748"/>
      <c r="AC68" s="748"/>
      <c r="AD68" s="748"/>
      <c r="AE68" s="748"/>
      <c r="AF68" s="748"/>
      <c r="AG68" s="748"/>
      <c r="AH68" s="748"/>
      <c r="AI68" s="748"/>
      <c r="AJ68" s="748"/>
      <c r="AK68" s="748"/>
      <c r="AL68" s="748"/>
      <c r="AM68" s="748"/>
      <c r="AN68" s="748"/>
      <c r="AO68" s="748"/>
      <c r="AP68" s="748"/>
      <c r="AQ68" s="748"/>
      <c r="AR68" s="748"/>
      <c r="AS68" s="748"/>
      <c r="AT68" s="748"/>
      <c r="AU68" s="748"/>
      <c r="AV68" s="748"/>
      <c r="AW68" s="748"/>
      <c r="AX68" s="748"/>
      <c r="AY68" s="748"/>
      <c r="AZ68" s="748"/>
      <c r="BA68" s="748"/>
    </row>
    <row r="69" spans="1:55" x14ac:dyDescent="0.25">
      <c r="A69" s="115">
        <v>7</v>
      </c>
      <c r="B69" s="116" t="s">
        <v>1285</v>
      </c>
      <c r="C69" s="116"/>
      <c r="D69" s="118"/>
      <c r="E69" s="118"/>
      <c r="F69" s="118"/>
      <c r="G69" s="118"/>
      <c r="H69" s="118"/>
      <c r="I69" s="118"/>
      <c r="J69" s="119">
        <f>+Input!J220</f>
        <v>0</v>
      </c>
      <c r="K69" s="119">
        <f>+Input!K220</f>
        <v>0</v>
      </c>
      <c r="L69" s="119">
        <f>+Input!L220</f>
        <v>0</v>
      </c>
      <c r="M69" s="119">
        <f>+Input!M220</f>
        <v>0</v>
      </c>
      <c r="N69" s="119">
        <f>+Input!N220</f>
        <v>0</v>
      </c>
      <c r="O69" s="119">
        <f>+Input!O220</f>
        <v>0</v>
      </c>
      <c r="P69" s="671">
        <f>+Input!P220</f>
        <v>0</v>
      </c>
      <c r="Q69" s="172">
        <f>+Input!Q220</f>
        <v>0</v>
      </c>
      <c r="R69" s="172">
        <f>+Input!R220</f>
        <v>0</v>
      </c>
      <c r="S69" s="172">
        <f>+Input!S220</f>
        <v>0</v>
      </c>
      <c r="T69" s="172">
        <f>+Input!T220</f>
        <v>0</v>
      </c>
      <c r="U69" s="172">
        <f>+Input!U220</f>
        <v>0</v>
      </c>
      <c r="V69" s="172">
        <f>+Input!V220</f>
        <v>0</v>
      </c>
      <c r="W69" s="172">
        <f>+Input!W220</f>
        <v>0</v>
      </c>
      <c r="X69" s="172">
        <f>+Input!X220</f>
        <v>0</v>
      </c>
      <c r="Y69" s="172">
        <f>+Input!Y220</f>
        <v>0</v>
      </c>
      <c r="Z69" s="172">
        <f>+Input!Z220</f>
        <v>0</v>
      </c>
      <c r="AA69" s="172"/>
      <c r="AB69" s="173"/>
      <c r="AC69" s="173"/>
      <c r="AD69" s="173"/>
      <c r="AE69" s="173"/>
      <c r="AF69" s="173"/>
      <c r="AG69" s="173"/>
      <c r="AH69" s="173"/>
      <c r="AI69" s="173"/>
      <c r="AJ69" s="173"/>
      <c r="AK69" s="173"/>
      <c r="AL69" s="173"/>
      <c r="AM69" s="173"/>
      <c r="AN69" s="173"/>
      <c r="AO69" s="173"/>
      <c r="AP69" s="173"/>
      <c r="AQ69" s="173"/>
      <c r="AR69" s="173"/>
      <c r="AS69" s="173"/>
      <c r="AT69" s="173"/>
      <c r="AU69" s="173"/>
      <c r="AV69" s="173"/>
      <c r="AW69" s="173"/>
      <c r="AX69" s="173"/>
      <c r="AY69" s="173"/>
      <c r="AZ69" s="173"/>
      <c r="BA69" s="173"/>
      <c r="BC69" s="750"/>
    </row>
    <row r="70" spans="1:55" x14ac:dyDescent="0.25">
      <c r="A70" s="115">
        <v>8</v>
      </c>
      <c r="B70" s="116" t="s">
        <v>1286</v>
      </c>
      <c r="C70" s="116" t="s">
        <v>564</v>
      </c>
      <c r="D70" s="118"/>
      <c r="E70" s="118"/>
      <c r="F70" s="118"/>
      <c r="G70" s="118"/>
      <c r="H70" s="118"/>
      <c r="I70" s="118"/>
      <c r="J70" s="119">
        <f>Input!J226</f>
        <v>125.594233461</v>
      </c>
      <c r="K70" s="119">
        <f>Input!K226</f>
        <v>182.48230903199999</v>
      </c>
      <c r="L70" s="119">
        <f>Input!L226</f>
        <v>194.57393710100001</v>
      </c>
      <c r="M70" s="119">
        <f>Input!M226</f>
        <v>167.89683991199999</v>
      </c>
      <c r="N70" s="119">
        <f>Input!N226</f>
        <v>180.25860729600001</v>
      </c>
      <c r="O70" s="119">
        <f>Input!O226</f>
        <v>186.89107758700001</v>
      </c>
      <c r="P70" s="671">
        <f>Input!P226</f>
        <v>186.673965065</v>
      </c>
      <c r="Q70" s="172">
        <f>Input!Q226</f>
        <v>485.92606025099178</v>
      </c>
      <c r="R70" s="172">
        <f>Input!R226</f>
        <v>668.83970554198891</v>
      </c>
      <c r="S70" s="172">
        <f>Input!S226</f>
        <v>601.97647248121837</v>
      </c>
      <c r="T70" s="172">
        <f>Input!T226</f>
        <v>585.25042115631379</v>
      </c>
      <c r="U70" s="172">
        <f>Input!U226</f>
        <v>572.00304492844487</v>
      </c>
      <c r="V70" s="172">
        <f>Input!V226</f>
        <v>556.18033294453448</v>
      </c>
      <c r="W70" s="172">
        <f>Input!W226</f>
        <v>538.8206111294719</v>
      </c>
      <c r="X70" s="172">
        <f>Input!X226</f>
        <v>500.60122966151357</v>
      </c>
      <c r="Y70" s="172">
        <f>Input!Y226</f>
        <v>457.28720100496798</v>
      </c>
      <c r="Z70" s="172">
        <f>Input!Z226</f>
        <v>408.8170617873343</v>
      </c>
      <c r="AA70" s="172"/>
      <c r="AB70" s="173"/>
      <c r="AC70" s="173"/>
      <c r="AD70" s="173"/>
      <c r="AE70" s="173"/>
      <c r="AF70" s="173"/>
      <c r="AG70" s="173"/>
      <c r="AH70" s="173"/>
      <c r="AI70" s="173"/>
      <c r="AJ70" s="173"/>
      <c r="AK70" s="173"/>
      <c r="AL70" s="173"/>
      <c r="AM70" s="173"/>
      <c r="AN70" s="173"/>
      <c r="AO70" s="173"/>
      <c r="AP70" s="173"/>
      <c r="AQ70" s="173"/>
      <c r="AR70" s="173"/>
      <c r="AS70" s="173"/>
      <c r="AT70" s="173"/>
      <c r="AU70" s="173"/>
      <c r="AV70" s="173"/>
      <c r="AW70" s="173"/>
      <c r="AX70" s="173"/>
      <c r="AY70" s="173"/>
      <c r="AZ70" s="173"/>
      <c r="BA70" s="173"/>
    </row>
    <row r="71" spans="1:55" x14ac:dyDescent="0.25">
      <c r="A71" s="115">
        <v>9</v>
      </c>
      <c r="B71" s="116" t="s">
        <v>1287</v>
      </c>
      <c r="C71" s="116" t="s">
        <v>567</v>
      </c>
      <c r="D71" s="118"/>
      <c r="E71" s="118"/>
      <c r="F71" s="118"/>
      <c r="G71" s="118"/>
      <c r="H71" s="118"/>
      <c r="I71" s="118"/>
      <c r="J71" s="119">
        <f>Input!J232</f>
        <v>42.673317292999997</v>
      </c>
      <c r="K71" s="119">
        <f>Input!K232</f>
        <v>53.282406113</v>
      </c>
      <c r="L71" s="119">
        <f>Input!L232</f>
        <v>52.352153712000003</v>
      </c>
      <c r="M71" s="119">
        <f>Input!M232</f>
        <v>50.964732112999997</v>
      </c>
      <c r="N71" s="119">
        <f>Input!N232</f>
        <v>56.413717118999998</v>
      </c>
      <c r="O71" s="119">
        <f>Input!O232</f>
        <v>61.731483842000003</v>
      </c>
      <c r="P71" s="671">
        <f>Input!P232</f>
        <v>60.411372448999998</v>
      </c>
      <c r="Q71" s="172">
        <f>Input!Q232</f>
        <v>81.448290950933796</v>
      </c>
      <c r="R71" s="172">
        <f>Input!R232</f>
        <v>96.751574144388812</v>
      </c>
      <c r="S71" s="172">
        <f>Input!S232</f>
        <v>97.244012274527918</v>
      </c>
      <c r="T71" s="172">
        <f>Input!T232</f>
        <v>98.140489437499582</v>
      </c>
      <c r="U71" s="172">
        <f>Input!U232</f>
        <v>98.724828121450685</v>
      </c>
      <c r="V71" s="172">
        <f>Input!V232</f>
        <v>99.515047181474415</v>
      </c>
      <c r="W71" s="172">
        <f>Input!W232</f>
        <v>100.60700538177393</v>
      </c>
      <c r="X71" s="172">
        <f>Input!X232</f>
        <v>100.77989720398247</v>
      </c>
      <c r="Y71" s="172">
        <f>Input!Y232</f>
        <v>101.00141777118925</v>
      </c>
      <c r="Z71" s="172">
        <f>Input!Z232</f>
        <v>101.28366593084871</v>
      </c>
      <c r="AA71" s="172"/>
      <c r="AB71" s="173"/>
      <c r="AC71" s="173"/>
      <c r="AD71" s="173"/>
      <c r="AE71" s="173"/>
      <c r="AF71" s="173"/>
      <c r="AG71" s="173"/>
      <c r="AH71" s="173"/>
      <c r="AI71" s="173"/>
      <c r="AJ71" s="173"/>
      <c r="AK71" s="173"/>
      <c r="AL71" s="173"/>
      <c r="AM71" s="173"/>
      <c r="AN71" s="173"/>
      <c r="AO71" s="173"/>
      <c r="AP71" s="173"/>
      <c r="AQ71" s="173"/>
      <c r="AR71" s="173"/>
      <c r="AS71" s="173"/>
      <c r="AT71" s="173"/>
      <c r="AU71" s="173"/>
      <c r="AV71" s="173"/>
      <c r="AW71" s="173"/>
      <c r="AX71" s="173"/>
      <c r="AY71" s="173"/>
      <c r="AZ71" s="173"/>
      <c r="BA71" s="173"/>
    </row>
    <row r="72" spans="1:55" x14ac:dyDescent="0.25">
      <c r="A72" s="115">
        <v>10</v>
      </c>
      <c r="B72" s="116" t="s">
        <v>1288</v>
      </c>
      <c r="C72" s="116"/>
      <c r="D72" s="118"/>
      <c r="E72" s="118"/>
      <c r="F72" s="118"/>
      <c r="G72" s="118"/>
      <c r="H72" s="118"/>
      <c r="I72" s="118"/>
      <c r="J72" s="119">
        <f>Input!J238</f>
        <v>0</v>
      </c>
      <c r="K72" s="119">
        <f>Input!K238</f>
        <v>0</v>
      </c>
      <c r="L72" s="119">
        <f>Input!L238</f>
        <v>0</v>
      </c>
      <c r="M72" s="119">
        <f>Input!M238</f>
        <v>0</v>
      </c>
      <c r="N72" s="119">
        <f>Input!N238</f>
        <v>0</v>
      </c>
      <c r="O72" s="119">
        <f>Input!O238</f>
        <v>0</v>
      </c>
      <c r="P72" s="671">
        <f>Input!P238</f>
        <v>0</v>
      </c>
      <c r="Q72" s="172">
        <f>Input!Q238</f>
        <v>0</v>
      </c>
      <c r="R72" s="172">
        <f>Input!R238</f>
        <v>0</v>
      </c>
      <c r="S72" s="172">
        <f>Input!S238</f>
        <v>0</v>
      </c>
      <c r="T72" s="172">
        <f>Input!T238</f>
        <v>0</v>
      </c>
      <c r="U72" s="172">
        <f>Input!U238</f>
        <v>0</v>
      </c>
      <c r="V72" s="172">
        <f>Input!V238</f>
        <v>0</v>
      </c>
      <c r="W72" s="172">
        <f>Input!W238</f>
        <v>0</v>
      </c>
      <c r="X72" s="172">
        <f>Input!X238</f>
        <v>0</v>
      </c>
      <c r="Y72" s="172">
        <f>Input!Y238</f>
        <v>0</v>
      </c>
      <c r="Z72" s="172">
        <f>Input!Z238</f>
        <v>0</v>
      </c>
      <c r="AA72" s="172"/>
      <c r="AB72" s="173"/>
      <c r="AC72" s="173"/>
      <c r="AD72" s="173"/>
      <c r="AE72" s="173"/>
      <c r="AF72" s="173"/>
      <c r="AG72" s="173"/>
      <c r="AH72" s="173"/>
      <c r="AI72" s="173"/>
      <c r="AJ72" s="173"/>
      <c r="AK72" s="173"/>
      <c r="AL72" s="173"/>
      <c r="AM72" s="173"/>
      <c r="AN72" s="173"/>
      <c r="AO72" s="173"/>
      <c r="AP72" s="173"/>
      <c r="AQ72" s="173"/>
      <c r="AR72" s="173"/>
      <c r="AS72" s="173"/>
      <c r="AT72" s="173"/>
      <c r="AU72" s="173"/>
      <c r="AV72" s="173"/>
      <c r="AW72" s="173"/>
      <c r="AX72" s="173"/>
      <c r="AY72" s="173"/>
      <c r="AZ72" s="173"/>
      <c r="BA72" s="173"/>
    </row>
    <row r="73" spans="1:55" x14ac:dyDescent="0.25">
      <c r="A73" s="115">
        <v>11</v>
      </c>
      <c r="B73" s="116" t="s">
        <v>1289</v>
      </c>
      <c r="C73" s="116"/>
      <c r="D73" s="118"/>
      <c r="E73" s="118"/>
      <c r="F73" s="118"/>
      <c r="G73" s="118"/>
      <c r="H73" s="118"/>
      <c r="I73" s="118"/>
      <c r="J73" s="119">
        <f>Input!J244</f>
        <v>0</v>
      </c>
      <c r="K73" s="119">
        <f>Input!K244</f>
        <v>0</v>
      </c>
      <c r="L73" s="119">
        <f>Input!L244</f>
        <v>0</v>
      </c>
      <c r="M73" s="119">
        <f>Input!M244</f>
        <v>0</v>
      </c>
      <c r="N73" s="119">
        <f>Input!N244</f>
        <v>0</v>
      </c>
      <c r="O73" s="119">
        <f>Input!O244</f>
        <v>0</v>
      </c>
      <c r="P73" s="671">
        <f>Input!P244</f>
        <v>0</v>
      </c>
      <c r="Q73" s="172">
        <f>Input!Q244</f>
        <v>0</v>
      </c>
      <c r="R73" s="172">
        <f>Input!R244</f>
        <v>0</v>
      </c>
      <c r="S73" s="172">
        <f>Input!S244</f>
        <v>0</v>
      </c>
      <c r="T73" s="172">
        <f>Input!T244</f>
        <v>0</v>
      </c>
      <c r="U73" s="172">
        <f>Input!U244</f>
        <v>0</v>
      </c>
      <c r="V73" s="172">
        <f>Input!V244</f>
        <v>0</v>
      </c>
      <c r="W73" s="172">
        <f>Input!W244</f>
        <v>0</v>
      </c>
      <c r="X73" s="172">
        <f>Input!X244</f>
        <v>0</v>
      </c>
      <c r="Y73" s="172">
        <f>Input!Y244</f>
        <v>0</v>
      </c>
      <c r="Z73" s="172">
        <f>Input!Z244</f>
        <v>0</v>
      </c>
      <c r="AA73" s="172"/>
      <c r="AB73" s="173"/>
      <c r="AC73" s="173"/>
      <c r="AD73" s="173"/>
      <c r="AE73" s="173"/>
      <c r="AF73" s="173"/>
      <c r="AG73" s="173"/>
      <c r="AH73" s="173"/>
      <c r="AI73" s="173"/>
      <c r="AJ73" s="173"/>
      <c r="AK73" s="173"/>
      <c r="AL73" s="173"/>
      <c r="AM73" s="173"/>
      <c r="AN73" s="173"/>
      <c r="AO73" s="173"/>
      <c r="AP73" s="173"/>
      <c r="AQ73" s="173"/>
      <c r="AR73" s="173"/>
      <c r="AS73" s="173"/>
      <c r="AT73" s="173"/>
      <c r="AU73" s="173"/>
      <c r="AV73" s="173"/>
      <c r="AW73" s="173"/>
      <c r="AX73" s="173"/>
      <c r="AY73" s="173"/>
      <c r="AZ73" s="173"/>
      <c r="BA73" s="173"/>
    </row>
    <row r="74" spans="1:55" x14ac:dyDescent="0.25">
      <c r="A74" s="115">
        <v>12</v>
      </c>
      <c r="B74" s="116" t="s">
        <v>1290</v>
      </c>
      <c r="C74" s="116"/>
      <c r="D74" s="118"/>
      <c r="E74" s="118"/>
      <c r="F74" s="118"/>
      <c r="G74" s="118"/>
      <c r="H74" s="118"/>
      <c r="I74" s="118"/>
      <c r="J74" s="119">
        <f>Input!J249</f>
        <v>21.415993584999999</v>
      </c>
      <c r="K74" s="119">
        <f>Input!K249</f>
        <v>31.104990451999999</v>
      </c>
      <c r="L74" s="119">
        <f>Input!L249</f>
        <v>11.268113916000001</v>
      </c>
      <c r="M74" s="119">
        <f>Input!M249</f>
        <v>25.129864154</v>
      </c>
      <c r="N74" s="119">
        <f>Input!N249</f>
        <v>164.76199041800001</v>
      </c>
      <c r="O74" s="119">
        <f>Input!O249</f>
        <v>170.57785144900001</v>
      </c>
      <c r="P74" s="671">
        <f>Input!P249</f>
        <v>159.58735877699999</v>
      </c>
      <c r="Q74" s="172">
        <f>Input!Q249</f>
        <v>188.6132290947628</v>
      </c>
      <c r="R74" s="172">
        <f>Input!R249</f>
        <v>211.43553137692058</v>
      </c>
      <c r="S74" s="172">
        <f>Input!S249</f>
        <v>216.55063307270822</v>
      </c>
      <c r="T74" s="172">
        <f>Input!T249</f>
        <v>222.33387308527756</v>
      </c>
      <c r="U74" s="172">
        <f>Input!U249</f>
        <v>228.23208263096086</v>
      </c>
      <c r="V74" s="172">
        <f>Input!V249</f>
        <v>234.57693230621507</v>
      </c>
      <c r="W74" s="172">
        <f>Input!W249</f>
        <v>241.50219927170494</v>
      </c>
      <c r="X74" s="172">
        <f>Input!X249</f>
        <v>247.50638218538592</v>
      </c>
      <c r="Y74" s="172">
        <f>Input!Y249</f>
        <v>253.76480401718493</v>
      </c>
      <c r="Z74" s="172">
        <f>Input!Z249</f>
        <v>260.30073227493688</v>
      </c>
      <c r="AA74" s="172"/>
      <c r="AB74" s="173"/>
      <c r="AC74" s="173"/>
      <c r="AD74" s="173"/>
      <c r="AE74" s="173"/>
      <c r="AF74" s="173"/>
      <c r="AG74" s="173"/>
      <c r="AH74" s="173"/>
      <c r="AI74" s="173"/>
      <c r="AJ74" s="173"/>
      <c r="AK74" s="173"/>
      <c r="AL74" s="173"/>
      <c r="AM74" s="173"/>
      <c r="AN74" s="173"/>
      <c r="AO74" s="173"/>
      <c r="AP74" s="173"/>
      <c r="AQ74" s="173"/>
      <c r="AR74" s="173"/>
      <c r="AS74" s="173"/>
      <c r="AT74" s="173"/>
      <c r="AU74" s="173"/>
      <c r="AV74" s="173"/>
      <c r="AW74" s="173"/>
      <c r="AX74" s="173"/>
      <c r="AY74" s="173"/>
      <c r="AZ74" s="173"/>
      <c r="BA74" s="173"/>
    </row>
    <row r="75" spans="1:55" x14ac:dyDescent="0.25">
      <c r="A75" s="115">
        <v>13</v>
      </c>
      <c r="B75" s="116" t="s">
        <v>1291</v>
      </c>
      <c r="C75" s="116" t="s">
        <v>576</v>
      </c>
      <c r="D75" s="118"/>
      <c r="E75" s="118"/>
      <c r="F75" s="118"/>
      <c r="G75" s="118"/>
      <c r="H75" s="118"/>
      <c r="I75" s="118"/>
      <c r="J75" s="119">
        <f>+Input!J254</f>
        <v>102.066301514</v>
      </c>
      <c r="K75" s="119">
        <f>+Input!K254</f>
        <v>132.06153973299999</v>
      </c>
      <c r="L75" s="119">
        <f>+Input!L254</f>
        <v>140.09167586000001</v>
      </c>
      <c r="M75" s="119">
        <f>+Input!M254</f>
        <v>143.52605559899999</v>
      </c>
      <c r="N75" s="119">
        <f>+Input!N254</f>
        <v>149.78481101099999</v>
      </c>
      <c r="O75" s="119">
        <f>+Input!O254</f>
        <v>141.60357330100001</v>
      </c>
      <c r="P75" s="671">
        <f>+Input!P254</f>
        <v>140.10113354500001</v>
      </c>
      <c r="Q75" s="172">
        <f>+Input!Q254</f>
        <v>140.10113354500001</v>
      </c>
      <c r="R75" s="172">
        <f>+Input!R254</f>
        <v>140.10113354500001</v>
      </c>
      <c r="S75" s="172">
        <f>+Input!S254</f>
        <v>140.10113354500001</v>
      </c>
      <c r="T75" s="172">
        <f>+Input!T254</f>
        <v>140.10113354500001</v>
      </c>
      <c r="U75" s="172">
        <f>+Input!U254</f>
        <v>140.10113354500001</v>
      </c>
      <c r="V75" s="172">
        <f>+Input!V254</f>
        <v>140.10113354500001</v>
      </c>
      <c r="W75" s="172">
        <f>+Input!W254</f>
        <v>140.10113354500001</v>
      </c>
      <c r="X75" s="172">
        <f>+Input!X254</f>
        <v>140.10113354500001</v>
      </c>
      <c r="Y75" s="172">
        <f>+Input!Y254</f>
        <v>140.10113354500001</v>
      </c>
      <c r="Z75" s="172">
        <f>+Input!Z254</f>
        <v>140.10113354500001</v>
      </c>
      <c r="AA75" s="172"/>
      <c r="AB75" s="173"/>
      <c r="AC75" s="173"/>
      <c r="AD75" s="173"/>
      <c r="AE75" s="173"/>
      <c r="AF75" s="173"/>
      <c r="AG75" s="173"/>
      <c r="AH75" s="173"/>
      <c r="AI75" s="173"/>
      <c r="AJ75" s="173"/>
      <c r="AK75" s="173"/>
      <c r="AL75" s="173"/>
      <c r="AM75" s="173"/>
      <c r="AN75" s="173"/>
      <c r="AO75" s="173"/>
      <c r="AP75" s="173"/>
      <c r="AQ75" s="173"/>
      <c r="AR75" s="173"/>
      <c r="AS75" s="173"/>
      <c r="AT75" s="173"/>
      <c r="AU75" s="173"/>
      <c r="AV75" s="173"/>
      <c r="AW75" s="173"/>
      <c r="AX75" s="173"/>
      <c r="AY75" s="173"/>
      <c r="AZ75" s="173"/>
      <c r="BA75" s="173"/>
    </row>
    <row r="76" spans="1:55" x14ac:dyDescent="0.25">
      <c r="A76" s="115">
        <v>14</v>
      </c>
      <c r="B76" s="116" t="s">
        <v>1292</v>
      </c>
      <c r="C76" s="116" t="s">
        <v>1293</v>
      </c>
      <c r="D76" s="118"/>
      <c r="E76" s="118"/>
      <c r="F76" s="118"/>
      <c r="G76" s="118"/>
      <c r="H76" s="118"/>
      <c r="I76" s="118"/>
      <c r="J76" s="119">
        <f>Input!J259</f>
        <v>3.6169953179999998</v>
      </c>
      <c r="K76" s="119">
        <f>Input!K259</f>
        <v>12.188688195999999</v>
      </c>
      <c r="L76" s="119">
        <f>Input!L259</f>
        <v>30.486432994000001</v>
      </c>
      <c r="M76" s="119">
        <f>Input!M259</f>
        <v>25.586233622000002</v>
      </c>
      <c r="N76" s="119">
        <f>Input!N259</f>
        <v>40.525556017</v>
      </c>
      <c r="O76" s="119">
        <f>Input!O259</f>
        <v>40.759714741000003</v>
      </c>
      <c r="P76" s="671">
        <f>Input!P259</f>
        <v>34.410049970999999</v>
      </c>
      <c r="Q76" s="172">
        <f>Input!Q259</f>
        <v>33.158082397625925</v>
      </c>
      <c r="R76" s="172">
        <f>Input!R259</f>
        <v>38.797289268587619</v>
      </c>
      <c r="S76" s="172">
        <f>Input!S259</f>
        <v>53.206005461043183</v>
      </c>
      <c r="T76" s="172">
        <f>Input!T259</f>
        <v>57.478111211432648</v>
      </c>
      <c r="U76" s="172">
        <f>Input!U259</f>
        <v>63.286080591667066</v>
      </c>
      <c r="V76" s="172">
        <f>Input!V259</f>
        <v>63.817704978128077</v>
      </c>
      <c r="W76" s="172">
        <f>Input!W259</f>
        <v>64.309835714675458</v>
      </c>
      <c r="X76" s="172">
        <f>Input!X259</f>
        <v>67.248814410265595</v>
      </c>
      <c r="Y76" s="172">
        <f>Input!Y259</f>
        <v>71.472626073670341</v>
      </c>
      <c r="Z76" s="172">
        <f>Input!Z259</f>
        <v>75.20250936090234</v>
      </c>
      <c r="AA76" s="172"/>
      <c r="AB76" s="173"/>
      <c r="AC76" s="173"/>
      <c r="AD76" s="173"/>
      <c r="AE76" s="173"/>
      <c r="AF76" s="173"/>
      <c r="AG76" s="173"/>
      <c r="AH76" s="173"/>
      <c r="AI76" s="173"/>
      <c r="AJ76" s="173"/>
      <c r="AK76" s="173"/>
      <c r="AL76" s="173"/>
      <c r="AM76" s="173"/>
      <c r="AN76" s="173"/>
      <c r="AO76" s="173"/>
      <c r="AP76" s="173"/>
      <c r="AQ76" s="173"/>
      <c r="AR76" s="173"/>
      <c r="AS76" s="173"/>
      <c r="AT76" s="173"/>
      <c r="AU76" s="173"/>
      <c r="AV76" s="173"/>
      <c r="AW76" s="173"/>
      <c r="AX76" s="173"/>
      <c r="AY76" s="173"/>
      <c r="AZ76" s="173"/>
      <c r="BA76" s="173"/>
    </row>
    <row r="77" spans="1:55" x14ac:dyDescent="0.25">
      <c r="A77" s="115"/>
      <c r="B77" s="133" t="s">
        <v>1294</v>
      </c>
      <c r="C77" s="133" t="s">
        <v>1295</v>
      </c>
      <c r="D77" s="166"/>
      <c r="E77" s="166"/>
      <c r="F77" s="166"/>
      <c r="G77" s="166"/>
      <c r="H77" s="166"/>
      <c r="I77" s="166"/>
      <c r="J77" s="167">
        <f>SUM(J69:J76)</f>
        <v>295.36684117100003</v>
      </c>
      <c r="K77" s="167">
        <f t="shared" ref="K77:Z77" si="12">SUM(K69:K76)</f>
        <v>411.11993352600001</v>
      </c>
      <c r="L77" s="167">
        <f t="shared" si="12"/>
        <v>428.77231358300003</v>
      </c>
      <c r="M77" s="167">
        <f t="shared" si="12"/>
        <v>413.10372539999997</v>
      </c>
      <c r="N77" s="167">
        <f t="shared" si="12"/>
        <v>591.744681861</v>
      </c>
      <c r="O77" s="167">
        <f t="shared" si="12"/>
        <v>601.56370092000009</v>
      </c>
      <c r="P77" s="743">
        <f t="shared" si="12"/>
        <v>581.18387980700004</v>
      </c>
      <c r="Q77" s="168">
        <f t="shared" si="12"/>
        <v>929.24679623931434</v>
      </c>
      <c r="R77" s="168">
        <f t="shared" si="12"/>
        <v>1155.9252338768858</v>
      </c>
      <c r="S77" s="168">
        <f t="shared" si="12"/>
        <v>1109.0782568344976</v>
      </c>
      <c r="T77" s="168">
        <f t="shared" si="12"/>
        <v>1103.3040284355236</v>
      </c>
      <c r="U77" s="168">
        <f t="shared" si="12"/>
        <v>1102.3471698175235</v>
      </c>
      <c r="V77" s="168">
        <f t="shared" si="12"/>
        <v>1094.1911509553522</v>
      </c>
      <c r="W77" s="168">
        <f t="shared" si="12"/>
        <v>1085.3407850426263</v>
      </c>
      <c r="X77" s="168">
        <f t="shared" si="12"/>
        <v>1056.2374570061477</v>
      </c>
      <c r="Y77" s="168">
        <f t="shared" si="12"/>
        <v>1023.6271824120125</v>
      </c>
      <c r="Z77" s="168">
        <f t="shared" si="12"/>
        <v>985.70510289902234</v>
      </c>
      <c r="AA77" s="168"/>
      <c r="AB77" s="169"/>
      <c r="AC77" s="169"/>
      <c r="AD77" s="169"/>
      <c r="AE77" s="169"/>
      <c r="AF77" s="169"/>
      <c r="AG77" s="169"/>
      <c r="AH77" s="169"/>
      <c r="AI77" s="169"/>
      <c r="AJ77" s="169"/>
      <c r="AK77" s="169"/>
      <c r="AL77" s="169"/>
      <c r="AM77" s="169"/>
      <c r="AN77" s="169"/>
      <c r="AO77" s="169"/>
      <c r="AP77" s="169"/>
      <c r="AQ77" s="169"/>
      <c r="AR77" s="169"/>
      <c r="AS77" s="169"/>
      <c r="AT77" s="169"/>
      <c r="AU77" s="169"/>
      <c r="AV77" s="169"/>
      <c r="AW77" s="169"/>
      <c r="AX77" s="169"/>
      <c r="AY77" s="169"/>
      <c r="AZ77" s="169"/>
      <c r="BA77" s="169"/>
    </row>
    <row r="78" spans="1:55" ht="13.8" thickBot="1" x14ac:dyDescent="0.3">
      <c r="A78" s="115"/>
      <c r="B78" s="448" t="s">
        <v>1296</v>
      </c>
      <c r="C78" s="448" t="s">
        <v>1297</v>
      </c>
      <c r="D78" s="450"/>
      <c r="E78" s="450"/>
      <c r="F78" s="450"/>
      <c r="G78" s="450"/>
      <c r="H78" s="450"/>
      <c r="I78" s="450"/>
      <c r="J78" s="451">
        <f>J66+J77</f>
        <v>1067.9331976480003</v>
      </c>
      <c r="K78" s="451">
        <f t="shared" ref="K78:Z78" si="13">K66+K77</f>
        <v>1434.2599540829999</v>
      </c>
      <c r="L78" s="451">
        <f t="shared" si="13"/>
        <v>1544.1900202940001</v>
      </c>
      <c r="M78" s="451">
        <f t="shared" si="13"/>
        <v>1434.3408771850002</v>
      </c>
      <c r="N78" s="451">
        <f t="shared" si="13"/>
        <v>1620.552920656</v>
      </c>
      <c r="O78" s="451">
        <f t="shared" si="13"/>
        <v>1437.409436723</v>
      </c>
      <c r="P78" s="751">
        <f t="shared" si="13"/>
        <v>1553.4944181630001</v>
      </c>
      <c r="Q78" s="452">
        <f t="shared" ca="1" si="13"/>
        <v>2118.7146521174404</v>
      </c>
      <c r="R78" s="452">
        <f t="shared" ca="1" si="13"/>
        <v>2393.1115019692334</v>
      </c>
      <c r="S78" s="452">
        <f t="shared" ca="1" si="13"/>
        <v>2757.0831770043728</v>
      </c>
      <c r="T78" s="452">
        <f t="shared" ca="1" si="13"/>
        <v>2953.9377385449616</v>
      </c>
      <c r="U78" s="452">
        <f t="shared" ca="1" si="13"/>
        <v>3136.9893323021415</v>
      </c>
      <c r="V78" s="452">
        <f t="shared" ca="1" si="13"/>
        <v>3396.861648263126</v>
      </c>
      <c r="W78" s="452">
        <f t="shared" ca="1" si="13"/>
        <v>3566.890291418641</v>
      </c>
      <c r="X78" s="452">
        <f t="shared" ca="1" si="13"/>
        <v>3898.2513497739646</v>
      </c>
      <c r="Y78" s="452">
        <f t="shared" ca="1" si="13"/>
        <v>4135.7737584808674</v>
      </c>
      <c r="Z78" s="452">
        <f t="shared" ca="1" si="13"/>
        <v>4382.0576156570578</v>
      </c>
      <c r="AA78" s="452"/>
      <c r="AB78" s="453"/>
      <c r="AC78" s="453"/>
      <c r="AD78" s="453"/>
      <c r="AE78" s="453"/>
      <c r="AF78" s="453"/>
      <c r="AG78" s="453"/>
      <c r="AH78" s="453"/>
      <c r="AI78" s="453"/>
      <c r="AJ78" s="453"/>
      <c r="AK78" s="453"/>
      <c r="AL78" s="453"/>
      <c r="AM78" s="453"/>
      <c r="AN78" s="453"/>
      <c r="AO78" s="453"/>
      <c r="AP78" s="453"/>
      <c r="AQ78" s="453"/>
      <c r="AR78" s="453"/>
      <c r="AS78" s="453"/>
      <c r="AT78" s="453"/>
      <c r="AU78" s="453"/>
      <c r="AV78" s="453"/>
      <c r="AW78" s="453"/>
      <c r="AX78" s="453"/>
      <c r="AY78" s="453"/>
      <c r="AZ78" s="453"/>
      <c r="BA78" s="453"/>
    </row>
    <row r="79" spans="1:55" s="746" customFormat="1" ht="13.8" thickTop="1" x14ac:dyDescent="0.25">
      <c r="A79" s="752"/>
      <c r="B79" s="426" t="s">
        <v>1274</v>
      </c>
      <c r="C79" s="426"/>
      <c r="D79" s="542"/>
      <c r="E79" s="542"/>
      <c r="F79" s="542"/>
      <c r="G79" s="542"/>
      <c r="H79" s="542"/>
      <c r="I79" s="542"/>
      <c r="J79" s="543">
        <f>J78-Input!J265</f>
        <v>0</v>
      </c>
      <c r="K79" s="543">
        <f>K78-Input!K265</f>
        <v>0</v>
      </c>
      <c r="L79" s="543">
        <f>L78-Input!L265</f>
        <v>0</v>
      </c>
      <c r="M79" s="543">
        <f>M78-Input!M265</f>
        <v>0</v>
      </c>
      <c r="N79" s="543">
        <f>N78-Input!N265</f>
        <v>0</v>
      </c>
      <c r="O79" s="543">
        <f>O78-Input!O265</f>
        <v>0</v>
      </c>
      <c r="P79" s="745">
        <f>P78-Input!P265</f>
        <v>0</v>
      </c>
      <c r="Q79" s="1880">
        <f ca="1">Q78-Input!Q265</f>
        <v>0</v>
      </c>
      <c r="R79" s="1880">
        <f ca="1">R78-Input!R265</f>
        <v>0</v>
      </c>
      <c r="S79" s="1880">
        <f ca="1">S78-Input!S265</f>
        <v>0</v>
      </c>
      <c r="T79" s="1880">
        <f ca="1">T78-Input!T265</f>
        <v>0</v>
      </c>
      <c r="U79" s="1880">
        <f ca="1">U78-Input!U265</f>
        <v>0</v>
      </c>
      <c r="V79" s="1880">
        <f ca="1">V78-Input!V265</f>
        <v>0</v>
      </c>
      <c r="W79" s="1880">
        <f ca="1">W78-Input!W265</f>
        <v>0</v>
      </c>
      <c r="X79" s="1880">
        <f ca="1">X78-Input!X265</f>
        <v>0</v>
      </c>
      <c r="Y79" s="1880">
        <f ca="1">Y78-Input!Y265</f>
        <v>0</v>
      </c>
      <c r="Z79" s="1880">
        <f ca="1">Z78-Input!Z265</f>
        <v>0</v>
      </c>
      <c r="AA79" s="1880"/>
      <c r="AB79" s="542"/>
      <c r="AC79" s="542"/>
      <c r="AD79" s="542"/>
      <c r="AE79" s="542"/>
      <c r="AF79" s="542"/>
      <c r="AG79" s="542"/>
      <c r="AH79" s="542"/>
      <c r="AI79" s="542"/>
      <c r="AJ79" s="542"/>
      <c r="AK79" s="542"/>
      <c r="AL79" s="542"/>
      <c r="AM79" s="542"/>
      <c r="AN79" s="542"/>
      <c r="AO79" s="542"/>
      <c r="AP79" s="542"/>
      <c r="AQ79" s="542"/>
      <c r="AR79" s="542"/>
      <c r="AS79" s="542"/>
      <c r="AT79" s="542"/>
      <c r="AU79" s="542"/>
      <c r="AV79" s="542"/>
      <c r="AW79" s="542"/>
      <c r="AX79" s="542"/>
      <c r="AY79" s="542"/>
      <c r="AZ79" s="542"/>
      <c r="BA79" s="542"/>
    </row>
    <row r="80" spans="1:55" x14ac:dyDescent="0.25">
      <c r="A80" s="738"/>
      <c r="D80" s="753"/>
      <c r="E80" s="753"/>
      <c r="F80" s="753"/>
      <c r="G80" s="753"/>
      <c r="H80" s="753"/>
      <c r="I80" s="753"/>
      <c r="J80" s="753"/>
      <c r="K80" s="753"/>
      <c r="L80" s="753"/>
      <c r="M80" s="753"/>
      <c r="N80" s="753"/>
      <c r="O80" s="753"/>
      <c r="P80" s="754"/>
      <c r="Q80" s="753"/>
      <c r="R80" s="753"/>
      <c r="S80" s="753"/>
      <c r="T80" s="753"/>
      <c r="U80" s="753"/>
      <c r="V80" s="753"/>
      <c r="W80" s="753"/>
      <c r="X80" s="753"/>
      <c r="Y80" s="753"/>
      <c r="Z80" s="753"/>
      <c r="AA80" s="753"/>
      <c r="AB80" s="753"/>
      <c r="AC80" s="753"/>
      <c r="AD80" s="753"/>
      <c r="AE80" s="753"/>
      <c r="AF80" s="753"/>
      <c r="AG80" s="753"/>
      <c r="AH80" s="753"/>
      <c r="AI80" s="753"/>
      <c r="AJ80" s="753"/>
      <c r="AK80" s="753"/>
      <c r="AL80" s="753"/>
      <c r="AM80" s="753"/>
      <c r="AN80" s="753"/>
      <c r="AO80" s="753"/>
      <c r="AP80" s="753"/>
      <c r="AQ80" s="753"/>
      <c r="AR80" s="753"/>
      <c r="AS80" s="753"/>
      <c r="AT80" s="753"/>
      <c r="AU80" s="753"/>
      <c r="AV80" s="753"/>
      <c r="AW80" s="753"/>
      <c r="AX80" s="753"/>
      <c r="AY80" s="753"/>
      <c r="AZ80" s="753"/>
      <c r="BA80" s="753"/>
    </row>
    <row r="81" spans="1:53" x14ac:dyDescent="0.25">
      <c r="A81" s="64"/>
      <c r="B81" s="42" t="s">
        <v>136</v>
      </c>
      <c r="C81" s="42" t="s">
        <v>582</v>
      </c>
      <c r="D81" s="118"/>
      <c r="E81" s="118"/>
      <c r="F81" s="118"/>
      <c r="G81" s="118"/>
      <c r="H81" s="118"/>
      <c r="I81" s="118"/>
      <c r="J81" s="118"/>
      <c r="K81" s="118"/>
      <c r="L81" s="118"/>
      <c r="M81" s="118"/>
      <c r="N81" s="118"/>
      <c r="O81" s="118"/>
      <c r="P81" s="218"/>
      <c r="Q81" s="118"/>
      <c r="R81" s="118"/>
      <c r="S81" s="118"/>
      <c r="T81" s="118"/>
      <c r="U81" s="118"/>
      <c r="V81" s="118"/>
      <c r="W81" s="118"/>
      <c r="X81" s="118"/>
      <c r="Y81" s="118"/>
      <c r="Z81" s="118"/>
      <c r="AA81" s="118"/>
      <c r="AB81" s="118"/>
      <c r="AC81" s="118"/>
      <c r="AD81" s="118"/>
      <c r="AE81" s="118"/>
      <c r="AF81" s="118"/>
      <c r="AG81" s="118"/>
      <c r="AH81" s="118"/>
      <c r="AI81" s="118"/>
      <c r="AJ81" s="118"/>
      <c r="AK81" s="118"/>
      <c r="AL81" s="118"/>
      <c r="AM81" s="118"/>
      <c r="AN81" s="118"/>
      <c r="AO81" s="118"/>
      <c r="AP81" s="118"/>
      <c r="AQ81" s="118"/>
      <c r="AR81" s="118"/>
      <c r="AS81" s="118"/>
      <c r="AT81" s="118"/>
      <c r="AU81" s="118"/>
      <c r="AV81" s="118"/>
      <c r="AW81" s="118"/>
      <c r="AX81" s="118"/>
      <c r="AY81" s="118"/>
      <c r="AZ81" s="118"/>
      <c r="BA81" s="118"/>
    </row>
    <row r="82" spans="1:53" x14ac:dyDescent="0.25">
      <c r="A82" s="115"/>
      <c r="B82" s="116" t="s">
        <v>1298</v>
      </c>
      <c r="C82" s="151"/>
      <c r="D82" s="118"/>
      <c r="E82" s="118"/>
      <c r="F82" s="118"/>
      <c r="G82" s="118"/>
      <c r="H82" s="118"/>
      <c r="I82" s="118"/>
      <c r="J82" s="119">
        <f>+J83+J84</f>
        <v>86.689211008000001</v>
      </c>
      <c r="K82" s="119">
        <f t="shared" ref="K82:Z82" si="14">+K83+K84</f>
        <v>74.721502117</v>
      </c>
      <c r="L82" s="119">
        <f t="shared" si="14"/>
        <v>195.69973205599999</v>
      </c>
      <c r="M82" s="119">
        <f t="shared" si="14"/>
        <v>95.986460433999994</v>
      </c>
      <c r="N82" s="119">
        <f t="shared" si="14"/>
        <v>176.39123693100001</v>
      </c>
      <c r="O82" s="119">
        <f t="shared" si="14"/>
        <v>20.094668665</v>
      </c>
      <c r="P82" s="119">
        <f t="shared" si="14"/>
        <v>21.029471059999999</v>
      </c>
      <c r="Q82" s="172">
        <f t="shared" ca="1" si="14"/>
        <v>72.647503604887973</v>
      </c>
      <c r="R82" s="172">
        <f t="shared" ca="1" si="14"/>
        <v>76.070303035653609</v>
      </c>
      <c r="S82" s="172">
        <f t="shared" ca="1" si="14"/>
        <v>94.961281776965492</v>
      </c>
      <c r="T82" s="172">
        <f t="shared" ca="1" si="14"/>
        <v>101.33540287663715</v>
      </c>
      <c r="U82" s="172">
        <f t="shared" ca="1" si="14"/>
        <v>107.52301845349675</v>
      </c>
      <c r="V82" s="172">
        <f t="shared" ca="1" si="14"/>
        <v>113.31186682073751</v>
      </c>
      <c r="W82" s="172">
        <f t="shared" ca="1" si="14"/>
        <v>121.16783928875023</v>
      </c>
      <c r="X82" s="172">
        <f t="shared" ca="1" si="14"/>
        <v>139.32054238281134</v>
      </c>
      <c r="Y82" s="172">
        <f t="shared" ca="1" si="14"/>
        <v>146.63038762804899</v>
      </c>
      <c r="Z82" s="172">
        <f t="shared" ca="1" si="14"/>
        <v>158.88217944832397</v>
      </c>
      <c r="AA82" s="172"/>
      <c r="AB82" s="173"/>
      <c r="AC82" s="173"/>
      <c r="AD82" s="173"/>
      <c r="AE82" s="173"/>
      <c r="AF82" s="173"/>
      <c r="AG82" s="173"/>
      <c r="AH82" s="173"/>
      <c r="AI82" s="173"/>
      <c r="AJ82" s="173"/>
      <c r="AK82" s="173"/>
      <c r="AL82" s="173"/>
      <c r="AM82" s="173"/>
      <c r="AN82" s="173"/>
      <c r="AO82" s="173"/>
      <c r="AP82" s="173"/>
      <c r="AQ82" s="173"/>
      <c r="AR82" s="173"/>
      <c r="AS82" s="173"/>
      <c r="AT82" s="173"/>
      <c r="AU82" s="173"/>
      <c r="AV82" s="173"/>
      <c r="AW82" s="173"/>
      <c r="AX82" s="173"/>
      <c r="AY82" s="173"/>
      <c r="AZ82" s="173"/>
      <c r="BA82" s="173"/>
    </row>
    <row r="83" spans="1:53" x14ac:dyDescent="0.25">
      <c r="A83" s="676">
        <v>15</v>
      </c>
      <c r="B83" s="741" t="s">
        <v>1299</v>
      </c>
      <c r="C83" s="742" t="s">
        <v>445</v>
      </c>
      <c r="D83" s="696"/>
      <c r="E83" s="696"/>
      <c r="F83" s="696"/>
      <c r="G83" s="696"/>
      <c r="H83" s="696"/>
      <c r="I83" s="696"/>
      <c r="J83" s="697">
        <f>Input!J273</f>
        <v>0</v>
      </c>
      <c r="K83" s="697">
        <f>Input!K273</f>
        <v>0</v>
      </c>
      <c r="L83" s="697">
        <f>Input!L273</f>
        <v>0</v>
      </c>
      <c r="M83" s="697">
        <f>Input!M273</f>
        <v>0</v>
      </c>
      <c r="N83" s="697">
        <f>Input!N273</f>
        <v>0</v>
      </c>
      <c r="O83" s="697">
        <f>Input!O273</f>
        <v>0</v>
      </c>
      <c r="P83" s="697">
        <f>Input!P273</f>
        <v>0</v>
      </c>
      <c r="Q83" s="699">
        <f ca="1">Input!Q273</f>
        <v>0</v>
      </c>
      <c r="R83" s="699">
        <f ca="1">Input!R273</f>
        <v>0</v>
      </c>
      <c r="S83" s="699">
        <f ca="1">Input!S273</f>
        <v>0</v>
      </c>
      <c r="T83" s="699">
        <f ca="1">Input!T273</f>
        <v>0</v>
      </c>
      <c r="U83" s="699">
        <f ca="1">Input!U273</f>
        <v>0</v>
      </c>
      <c r="V83" s="699">
        <f ca="1">Input!V273</f>
        <v>0</v>
      </c>
      <c r="W83" s="699">
        <f ca="1">Input!W273</f>
        <v>0</v>
      </c>
      <c r="X83" s="699">
        <f ca="1">Input!X273</f>
        <v>0</v>
      </c>
      <c r="Y83" s="699">
        <f ca="1">Input!Y273</f>
        <v>0</v>
      </c>
      <c r="Z83" s="699">
        <f ca="1">Input!Z273</f>
        <v>0</v>
      </c>
      <c r="AA83" s="699"/>
      <c r="AB83" s="700"/>
      <c r="AC83" s="700"/>
      <c r="AD83" s="700"/>
      <c r="AE83" s="700"/>
      <c r="AF83" s="700"/>
      <c r="AG83" s="700"/>
      <c r="AH83" s="700"/>
      <c r="AI83" s="700"/>
      <c r="AJ83" s="700"/>
      <c r="AK83" s="700"/>
      <c r="AL83" s="700"/>
      <c r="AM83" s="700"/>
      <c r="AN83" s="700"/>
      <c r="AO83" s="700"/>
      <c r="AP83" s="700"/>
      <c r="AQ83" s="700"/>
      <c r="AR83" s="700"/>
      <c r="AS83" s="700"/>
      <c r="AT83" s="700"/>
      <c r="AU83" s="700"/>
      <c r="AV83" s="700"/>
      <c r="AW83" s="700"/>
      <c r="AX83" s="700"/>
      <c r="AY83" s="700"/>
      <c r="AZ83" s="700"/>
      <c r="BA83" s="700"/>
    </row>
    <row r="84" spans="1:53" x14ac:dyDescent="0.25">
      <c r="A84" s="676">
        <v>16</v>
      </c>
      <c r="B84" s="741" t="s">
        <v>1300</v>
      </c>
      <c r="C84" s="742" t="s">
        <v>446</v>
      </c>
      <c r="D84" s="696"/>
      <c r="E84" s="696"/>
      <c r="F84" s="696"/>
      <c r="G84" s="696"/>
      <c r="H84" s="696"/>
      <c r="I84" s="696"/>
      <c r="J84" s="697">
        <f>+Input!J279</f>
        <v>86.689211008000001</v>
      </c>
      <c r="K84" s="697">
        <f>+Input!K279</f>
        <v>74.721502117</v>
      </c>
      <c r="L84" s="697">
        <f>+Input!L279</f>
        <v>195.69973205599999</v>
      </c>
      <c r="M84" s="697">
        <f>+Input!M279</f>
        <v>95.986460433999994</v>
      </c>
      <c r="N84" s="697">
        <f>+Input!N279</f>
        <v>176.39123693100001</v>
      </c>
      <c r="O84" s="697">
        <f>+Input!O279</f>
        <v>20.094668665</v>
      </c>
      <c r="P84" s="697">
        <f>+Input!P279</f>
        <v>21.029471059999999</v>
      </c>
      <c r="Q84" s="699">
        <f>+Input!Q279</f>
        <v>72.647503604887973</v>
      </c>
      <c r="R84" s="699">
        <f>+Input!R279</f>
        <v>76.070303035653609</v>
      </c>
      <c r="S84" s="699">
        <f>+Input!S279</f>
        <v>94.961281776965492</v>
      </c>
      <c r="T84" s="699">
        <f>+Input!T279</f>
        <v>101.33540287663715</v>
      </c>
      <c r="U84" s="699">
        <f>+Input!U279</f>
        <v>107.52301845349675</v>
      </c>
      <c r="V84" s="699">
        <f>+Input!V279</f>
        <v>113.31186682073751</v>
      </c>
      <c r="W84" s="699">
        <f>+Input!W279</f>
        <v>121.16783928875023</v>
      </c>
      <c r="X84" s="699">
        <f>+Input!X279</f>
        <v>139.32054238281134</v>
      </c>
      <c r="Y84" s="699">
        <f>+Input!Y279</f>
        <v>146.63038762804899</v>
      </c>
      <c r="Z84" s="699">
        <f>+Input!Z279</f>
        <v>158.88217944832397</v>
      </c>
      <c r="AA84" s="699"/>
      <c r="AB84" s="700"/>
      <c r="AC84" s="700"/>
      <c r="AD84" s="700"/>
      <c r="AE84" s="700"/>
      <c r="AF84" s="700"/>
      <c r="AG84" s="700"/>
      <c r="AH84" s="700"/>
      <c r="AI84" s="700"/>
      <c r="AJ84" s="700"/>
      <c r="AK84" s="700"/>
      <c r="AL84" s="700"/>
      <c r="AM84" s="700"/>
      <c r="AN84" s="700"/>
      <c r="AO84" s="700"/>
      <c r="AP84" s="700"/>
      <c r="AQ84" s="700"/>
      <c r="AR84" s="700"/>
      <c r="AS84" s="700"/>
      <c r="AT84" s="700"/>
      <c r="AU84" s="700"/>
      <c r="AV84" s="700"/>
      <c r="AW84" s="700"/>
      <c r="AX84" s="700"/>
      <c r="AY84" s="700"/>
      <c r="AZ84" s="700"/>
      <c r="BA84" s="700"/>
    </row>
    <row r="85" spans="1:53" x14ac:dyDescent="0.25">
      <c r="A85" s="282">
        <v>17</v>
      </c>
      <c r="B85" s="116" t="s">
        <v>588</v>
      </c>
      <c r="C85" s="116"/>
      <c r="D85" s="285"/>
      <c r="E85" s="285"/>
      <c r="F85" s="285"/>
      <c r="G85" s="285"/>
      <c r="H85" s="285"/>
      <c r="I85" s="285"/>
      <c r="J85" s="688">
        <f>Input!J284</f>
        <v>15.068433475000001</v>
      </c>
      <c r="K85" s="688">
        <f>Input!K284</f>
        <v>6.5513422910000001</v>
      </c>
      <c r="L85" s="688">
        <f>Input!L284</f>
        <v>31.135070337999998</v>
      </c>
      <c r="M85" s="688">
        <f>Input!M284</f>
        <v>14.769553615</v>
      </c>
      <c r="N85" s="688">
        <f>Input!N284</f>
        <v>5.1531492590000001</v>
      </c>
      <c r="O85" s="688">
        <f>Input!O284</f>
        <v>28.952275234999998</v>
      </c>
      <c r="P85" s="688">
        <f>Input!P284</f>
        <v>10.607673157000001</v>
      </c>
      <c r="Q85" s="690">
        <f>Input!Q284</f>
        <v>11.398021647104835</v>
      </c>
      <c r="R85" s="690">
        <f>Input!R284</f>
        <v>11.891065489061955</v>
      </c>
      <c r="S85" s="690">
        <f>Input!S284</f>
        <v>15.012541219771741</v>
      </c>
      <c r="T85" s="690">
        <f>Input!T284</f>
        <v>16.012964353652997</v>
      </c>
      <c r="U85" s="690">
        <f>Input!U284</f>
        <v>17.017212956658824</v>
      </c>
      <c r="V85" s="690">
        <f>Input!V284</f>
        <v>17.845720784783929</v>
      </c>
      <c r="W85" s="690">
        <f>Input!W284</f>
        <v>18.879501317115231</v>
      </c>
      <c r="X85" s="690">
        <f>Input!X284</f>
        <v>19.608708510969706</v>
      </c>
      <c r="Y85" s="690">
        <f>Input!Y284</f>
        <v>20.39810687714202</v>
      </c>
      <c r="Z85" s="690">
        <f>Input!Z284</f>
        <v>21.2536336554709</v>
      </c>
      <c r="AA85" s="690"/>
      <c r="AB85" s="691"/>
      <c r="AC85" s="691"/>
      <c r="AD85" s="691"/>
      <c r="AE85" s="691"/>
      <c r="AF85" s="691"/>
      <c r="AG85" s="691"/>
      <c r="AH85" s="691"/>
      <c r="AI85" s="691"/>
      <c r="AJ85" s="691"/>
      <c r="AK85" s="691"/>
      <c r="AL85" s="691"/>
      <c r="AM85" s="691"/>
      <c r="AN85" s="691"/>
      <c r="AO85" s="691"/>
      <c r="AP85" s="691"/>
      <c r="AQ85" s="691"/>
      <c r="AR85" s="691"/>
      <c r="AS85" s="691"/>
      <c r="AT85" s="691"/>
      <c r="AU85" s="691"/>
      <c r="AV85" s="691"/>
      <c r="AW85" s="691"/>
      <c r="AX85" s="691"/>
      <c r="AY85" s="691"/>
      <c r="AZ85" s="691"/>
      <c r="BA85" s="691"/>
    </row>
    <row r="86" spans="1:53" x14ac:dyDescent="0.25">
      <c r="A86" s="282">
        <v>18</v>
      </c>
      <c r="B86" s="116" t="s">
        <v>1301</v>
      </c>
      <c r="C86" s="116" t="s">
        <v>592</v>
      </c>
      <c r="D86" s="285"/>
      <c r="E86" s="285"/>
      <c r="F86" s="285"/>
      <c r="G86" s="285"/>
      <c r="H86" s="285"/>
      <c r="I86" s="285"/>
      <c r="J86" s="688">
        <f>Input!J289</f>
        <v>151.67171022799999</v>
      </c>
      <c r="K86" s="688">
        <f>Input!K289</f>
        <v>249.65009418899999</v>
      </c>
      <c r="L86" s="688">
        <f>Input!L289</f>
        <v>196.247620157</v>
      </c>
      <c r="M86" s="688">
        <f>Input!M289</f>
        <v>204.50767194100001</v>
      </c>
      <c r="N86" s="688">
        <f>Input!N289</f>
        <v>211.39591017500001</v>
      </c>
      <c r="O86" s="688">
        <f>Input!O289</f>
        <v>102.65215320900001</v>
      </c>
      <c r="P86" s="688">
        <f>Input!P289</f>
        <v>96.813029615999994</v>
      </c>
      <c r="Q86" s="690">
        <f>Input!Q289</f>
        <v>173.78764748469024</v>
      </c>
      <c r="R86" s="690">
        <f>Input!R289</f>
        <v>181.3051739514263</v>
      </c>
      <c r="S86" s="690">
        <f>Input!S289</f>
        <v>228.89886527051584</v>
      </c>
      <c r="T86" s="690">
        <f>Input!T289</f>
        <v>244.15249333944013</v>
      </c>
      <c r="U86" s="690">
        <f>Input!U289</f>
        <v>259.46444901119474</v>
      </c>
      <c r="V86" s="690">
        <f>Input!V289</f>
        <v>272.09685407502309</v>
      </c>
      <c r="W86" s="690">
        <f>Input!W289</f>
        <v>287.8590882847609</v>
      </c>
      <c r="X86" s="690">
        <f>Input!X289</f>
        <v>298.97743905408686</v>
      </c>
      <c r="Y86" s="690">
        <f>Input!Y289</f>
        <v>311.01353524979731</v>
      </c>
      <c r="Z86" s="690">
        <f>Input!Z289</f>
        <v>324.05790301546983</v>
      </c>
      <c r="AA86" s="690"/>
      <c r="AB86" s="691"/>
      <c r="AC86" s="691"/>
      <c r="AD86" s="691"/>
      <c r="AE86" s="691"/>
      <c r="AF86" s="691"/>
      <c r="AG86" s="691"/>
      <c r="AH86" s="691"/>
      <c r="AI86" s="691"/>
      <c r="AJ86" s="691"/>
      <c r="AK86" s="691"/>
      <c r="AL86" s="691"/>
      <c r="AM86" s="691"/>
      <c r="AN86" s="691"/>
      <c r="AO86" s="691"/>
      <c r="AP86" s="691"/>
      <c r="AQ86" s="691"/>
      <c r="AR86" s="691"/>
      <c r="AS86" s="691"/>
      <c r="AT86" s="691"/>
      <c r="AU86" s="691"/>
      <c r="AV86" s="691"/>
      <c r="AW86" s="691"/>
      <c r="AX86" s="691"/>
      <c r="AY86" s="691"/>
      <c r="AZ86" s="691"/>
      <c r="BA86" s="691"/>
    </row>
    <row r="87" spans="1:53" x14ac:dyDescent="0.25">
      <c r="A87" s="282">
        <v>19</v>
      </c>
      <c r="B87" s="116" t="s">
        <v>1302</v>
      </c>
      <c r="C87" s="116" t="s">
        <v>594</v>
      </c>
      <c r="D87" s="285"/>
      <c r="E87" s="285"/>
      <c r="F87" s="285"/>
      <c r="G87" s="285"/>
      <c r="H87" s="285"/>
      <c r="I87" s="285"/>
      <c r="J87" s="688">
        <f>Input!J293</f>
        <v>228.65939216000001</v>
      </c>
      <c r="K87" s="688">
        <f>Input!K293</f>
        <v>281.23314594300001</v>
      </c>
      <c r="L87" s="688">
        <f>Input!L293</f>
        <v>232.72821926400005</v>
      </c>
      <c r="M87" s="688">
        <f>Input!M293</f>
        <v>182.05601948200001</v>
      </c>
      <c r="N87" s="688">
        <f>Input!N293</f>
        <v>187.37181360399993</v>
      </c>
      <c r="O87" s="688">
        <f>Input!O293</f>
        <v>196.173246562</v>
      </c>
      <c r="P87" s="688">
        <f>Input!P293</f>
        <v>164.81110048300005</v>
      </c>
      <c r="Q87" s="690">
        <f>Input!Q293</f>
        <v>262.58929473997233</v>
      </c>
      <c r="R87" s="690">
        <f>Input!R293</f>
        <v>266.49926872240485</v>
      </c>
      <c r="S87" s="690">
        <f>Input!S293</f>
        <v>320.53521914418815</v>
      </c>
      <c r="T87" s="690">
        <f>Input!T293</f>
        <v>334.39331556503402</v>
      </c>
      <c r="U87" s="690">
        <f>Input!U293</f>
        <v>250.02090223576434</v>
      </c>
      <c r="V87" s="690">
        <f>Input!V293</f>
        <v>262.19353445379022</v>
      </c>
      <c r="W87" s="690">
        <f>Input!W293</f>
        <v>138.6910408034652</v>
      </c>
      <c r="X87" s="690">
        <f>Input!X293</f>
        <v>144.04788275486609</v>
      </c>
      <c r="Y87" s="690">
        <f>Input!Y293</f>
        <v>119.87751691922006</v>
      </c>
      <c r="Z87" s="690">
        <f>Input!Z293</f>
        <v>93.679017989545699</v>
      </c>
      <c r="AA87" s="690"/>
      <c r="AB87" s="691"/>
      <c r="AC87" s="691"/>
      <c r="AD87" s="691"/>
      <c r="AE87" s="691"/>
      <c r="AF87" s="691"/>
      <c r="AG87" s="691"/>
      <c r="AH87" s="691"/>
      <c r="AI87" s="691"/>
      <c r="AJ87" s="691"/>
      <c r="AK87" s="691"/>
      <c r="AL87" s="691"/>
      <c r="AM87" s="691"/>
      <c r="AN87" s="691"/>
      <c r="AO87" s="691"/>
      <c r="AP87" s="691"/>
      <c r="AQ87" s="691"/>
      <c r="AR87" s="691"/>
      <c r="AS87" s="691"/>
      <c r="AT87" s="691"/>
      <c r="AU87" s="691"/>
      <c r="AV87" s="691"/>
      <c r="AW87" s="691"/>
      <c r="AX87" s="691"/>
      <c r="AY87" s="691"/>
      <c r="AZ87" s="691"/>
      <c r="BA87" s="691"/>
    </row>
    <row r="88" spans="1:53" x14ac:dyDescent="0.25">
      <c r="A88" s="115"/>
      <c r="B88" s="133" t="s">
        <v>1303</v>
      </c>
      <c r="C88" s="133" t="s">
        <v>1304</v>
      </c>
      <c r="D88" s="166"/>
      <c r="E88" s="166"/>
      <c r="F88" s="166"/>
      <c r="G88" s="166"/>
      <c r="H88" s="166"/>
      <c r="I88" s="166"/>
      <c r="J88" s="167">
        <f>J82+SUM(J85:J87)</f>
        <v>482.08874687100001</v>
      </c>
      <c r="K88" s="167">
        <f t="shared" ref="K88:Z88" si="15">K82+SUM(K85:K87)</f>
        <v>612.15608453999994</v>
      </c>
      <c r="L88" s="167">
        <f t="shared" si="15"/>
        <v>655.81064181500005</v>
      </c>
      <c r="M88" s="167">
        <f t="shared" si="15"/>
        <v>497.31970547200001</v>
      </c>
      <c r="N88" s="167">
        <f t="shared" si="15"/>
        <v>580.31210996899995</v>
      </c>
      <c r="O88" s="167">
        <f t="shared" si="15"/>
        <v>347.87234367099995</v>
      </c>
      <c r="P88" s="167">
        <f t="shared" si="15"/>
        <v>293.26127431600003</v>
      </c>
      <c r="Q88" s="168">
        <f t="shared" ca="1" si="15"/>
        <v>520.42246747665536</v>
      </c>
      <c r="R88" s="168">
        <f t="shared" ca="1" si="15"/>
        <v>535.76581119854677</v>
      </c>
      <c r="S88" s="168">
        <f t="shared" ca="1" si="15"/>
        <v>659.40790741144122</v>
      </c>
      <c r="T88" s="168">
        <f t="shared" ca="1" si="15"/>
        <v>695.89417613476417</v>
      </c>
      <c r="U88" s="168">
        <f t="shared" ca="1" si="15"/>
        <v>634.02558265711468</v>
      </c>
      <c r="V88" s="168">
        <f t="shared" ca="1" si="15"/>
        <v>665.44797613433468</v>
      </c>
      <c r="W88" s="168">
        <f t="shared" ca="1" si="15"/>
        <v>566.5974696940915</v>
      </c>
      <c r="X88" s="168">
        <f t="shared" ca="1" si="15"/>
        <v>601.95457270273403</v>
      </c>
      <c r="Y88" s="168">
        <f t="shared" ca="1" si="15"/>
        <v>597.91954667420839</v>
      </c>
      <c r="Z88" s="168">
        <f t="shared" ca="1" si="15"/>
        <v>597.87273410881039</v>
      </c>
      <c r="AA88" s="168"/>
      <c r="AB88" s="169"/>
      <c r="AC88" s="169"/>
      <c r="AD88" s="169"/>
      <c r="AE88" s="169"/>
      <c r="AF88" s="169"/>
      <c r="AG88" s="169"/>
      <c r="AH88" s="169"/>
      <c r="AI88" s="169"/>
      <c r="AJ88" s="169"/>
      <c r="AK88" s="169"/>
      <c r="AL88" s="169"/>
      <c r="AM88" s="169"/>
      <c r="AN88" s="169"/>
      <c r="AO88" s="169"/>
      <c r="AP88" s="169"/>
      <c r="AQ88" s="169"/>
      <c r="AR88" s="169"/>
      <c r="AS88" s="169"/>
      <c r="AT88" s="169"/>
      <c r="AU88" s="169"/>
      <c r="AV88" s="169"/>
      <c r="AW88" s="169"/>
      <c r="AX88" s="169"/>
      <c r="AY88" s="169"/>
      <c r="AZ88" s="169"/>
      <c r="BA88" s="169"/>
    </row>
    <row r="89" spans="1:53" s="746" customFormat="1" x14ac:dyDescent="0.25">
      <c r="A89" s="676"/>
      <c r="B89" s="458" t="s">
        <v>1274</v>
      </c>
      <c r="C89" s="458"/>
      <c r="D89" s="542"/>
      <c r="E89" s="542"/>
      <c r="F89" s="542"/>
      <c r="G89" s="542"/>
      <c r="H89" s="542"/>
      <c r="I89" s="542"/>
      <c r="J89" s="543">
        <f>J88-Input!J296</f>
        <v>0</v>
      </c>
      <c r="K89" s="543">
        <f>K88-Input!K296</f>
        <v>0</v>
      </c>
      <c r="L89" s="543">
        <f>L88-Input!L296</f>
        <v>0</v>
      </c>
      <c r="M89" s="543">
        <f>M88-Input!M296</f>
        <v>0</v>
      </c>
      <c r="N89" s="543">
        <f>N88-Input!N296</f>
        <v>0</v>
      </c>
      <c r="O89" s="543">
        <f>O88-Input!O296</f>
        <v>0</v>
      </c>
      <c r="P89" s="543">
        <f>P88-Input!P296</f>
        <v>0</v>
      </c>
      <c r="Q89" s="543">
        <f ca="1">Q88-Input!Q296</f>
        <v>0</v>
      </c>
      <c r="R89" s="543">
        <f ca="1">R88-Input!R296</f>
        <v>0</v>
      </c>
      <c r="S89" s="543">
        <f ca="1">S88-Input!S296</f>
        <v>0</v>
      </c>
      <c r="T89" s="543">
        <f ca="1">T88-Input!T296</f>
        <v>0</v>
      </c>
      <c r="U89" s="543">
        <f ca="1">U88-Input!U296</f>
        <v>0</v>
      </c>
      <c r="V89" s="543">
        <f ca="1">V88-Input!V296</f>
        <v>0</v>
      </c>
      <c r="W89" s="543">
        <f ca="1">W88-Input!W296</f>
        <v>0</v>
      </c>
      <c r="X89" s="543">
        <f ca="1">X88-Input!X296</f>
        <v>0</v>
      </c>
      <c r="Y89" s="543">
        <f ca="1">Y88-Input!Y296</f>
        <v>0</v>
      </c>
      <c r="Z89" s="543">
        <f ca="1">Z88-Input!Z296</f>
        <v>0</v>
      </c>
      <c r="AA89" s="543"/>
      <c r="AB89" s="542"/>
      <c r="AC89" s="542"/>
      <c r="AD89" s="542"/>
      <c r="AE89" s="542"/>
      <c r="AF89" s="542"/>
      <c r="AG89" s="542"/>
      <c r="AH89" s="542"/>
      <c r="AI89" s="542"/>
      <c r="AJ89" s="542"/>
      <c r="AK89" s="542"/>
      <c r="AL89" s="542"/>
      <c r="AM89" s="542"/>
      <c r="AN89" s="542"/>
      <c r="AO89" s="542"/>
      <c r="AP89" s="542"/>
      <c r="AQ89" s="542"/>
      <c r="AR89" s="542"/>
      <c r="AS89" s="542"/>
      <c r="AT89" s="542"/>
      <c r="AU89" s="542"/>
      <c r="AV89" s="542"/>
      <c r="AW89" s="542"/>
      <c r="AX89" s="542"/>
      <c r="AY89" s="542"/>
      <c r="AZ89" s="542"/>
      <c r="BA89" s="542"/>
    </row>
    <row r="90" spans="1:53" x14ac:dyDescent="0.25">
      <c r="A90" s="676"/>
      <c r="B90" s="747"/>
      <c r="C90" s="742"/>
      <c r="D90" s="696"/>
      <c r="E90" s="696"/>
      <c r="F90" s="696"/>
      <c r="G90" s="696"/>
      <c r="H90" s="696"/>
      <c r="I90" s="696"/>
      <c r="J90" s="696"/>
      <c r="K90" s="696"/>
      <c r="L90" s="696"/>
      <c r="M90" s="696"/>
      <c r="N90" s="696"/>
      <c r="O90" s="696"/>
      <c r="P90" s="755"/>
      <c r="Q90" s="696"/>
      <c r="R90" s="696"/>
      <c r="S90" s="696"/>
      <c r="T90" s="696"/>
      <c r="U90" s="696"/>
      <c r="V90" s="696"/>
      <c r="W90" s="696"/>
      <c r="X90" s="696"/>
      <c r="Y90" s="696"/>
      <c r="Z90" s="696"/>
      <c r="AA90" s="696"/>
      <c r="AB90" s="696"/>
      <c r="AC90" s="696"/>
      <c r="AD90" s="696"/>
      <c r="AE90" s="696"/>
      <c r="AF90" s="696"/>
      <c r="AG90" s="696"/>
      <c r="AH90" s="696"/>
      <c r="AI90" s="696"/>
      <c r="AJ90" s="696"/>
      <c r="AK90" s="696"/>
      <c r="AL90" s="696"/>
      <c r="AM90" s="696"/>
      <c r="AN90" s="696"/>
      <c r="AO90" s="696"/>
      <c r="AP90" s="696"/>
      <c r="AQ90" s="696"/>
      <c r="AR90" s="696"/>
      <c r="AS90" s="696"/>
      <c r="AT90" s="696"/>
      <c r="AU90" s="696"/>
      <c r="AV90" s="696"/>
      <c r="AW90" s="696"/>
      <c r="AX90" s="696"/>
      <c r="AY90" s="696"/>
      <c r="AZ90" s="696"/>
      <c r="BA90" s="696"/>
    </row>
    <row r="91" spans="1:53" x14ac:dyDescent="0.25">
      <c r="A91" s="115">
        <v>22</v>
      </c>
      <c r="B91" s="116" t="s">
        <v>1305</v>
      </c>
      <c r="C91" s="116" t="s">
        <v>619</v>
      </c>
      <c r="D91" s="118"/>
      <c r="E91" s="118"/>
      <c r="F91" s="118"/>
      <c r="G91" s="118"/>
      <c r="H91" s="118"/>
      <c r="I91" s="118"/>
      <c r="J91" s="119">
        <f>Input!J343</f>
        <v>0</v>
      </c>
      <c r="K91" s="119">
        <f>Input!K343</f>
        <v>0</v>
      </c>
      <c r="L91" s="119">
        <f>Input!L343</f>
        <v>0</v>
      </c>
      <c r="M91" s="119">
        <f>Input!M343</f>
        <v>0</v>
      </c>
      <c r="N91" s="119">
        <f>Input!N343</f>
        <v>0</v>
      </c>
      <c r="O91" s="119">
        <f>Input!O343</f>
        <v>0</v>
      </c>
      <c r="P91" s="119">
        <f>Input!P343</f>
        <v>0</v>
      </c>
      <c r="Q91" s="172">
        <f>Input!Q343</f>
        <v>0</v>
      </c>
      <c r="R91" s="172">
        <f>Input!R343</f>
        <v>0</v>
      </c>
      <c r="S91" s="172">
        <f>Input!S343</f>
        <v>0</v>
      </c>
      <c r="T91" s="172">
        <f>Input!T343</f>
        <v>0</v>
      </c>
      <c r="U91" s="172">
        <f>Input!U343</f>
        <v>0</v>
      </c>
      <c r="V91" s="172">
        <f>Input!V343</f>
        <v>0</v>
      </c>
      <c r="W91" s="172">
        <f>Input!W343</f>
        <v>0</v>
      </c>
      <c r="X91" s="172">
        <f>Input!X343</f>
        <v>0</v>
      </c>
      <c r="Y91" s="172">
        <f>Input!Y343</f>
        <v>0</v>
      </c>
      <c r="Z91" s="172">
        <f>Input!Z343</f>
        <v>0</v>
      </c>
      <c r="AA91" s="172"/>
      <c r="AB91" s="173"/>
      <c r="AC91" s="173"/>
      <c r="AD91" s="173"/>
      <c r="AE91" s="173"/>
      <c r="AF91" s="173"/>
      <c r="AG91" s="173"/>
      <c r="AH91" s="173"/>
      <c r="AI91" s="173"/>
      <c r="AJ91" s="173"/>
      <c r="AK91" s="173"/>
      <c r="AL91" s="173"/>
      <c r="AM91" s="173"/>
      <c r="AN91" s="173"/>
      <c r="AO91" s="173"/>
      <c r="AP91" s="173"/>
      <c r="AQ91" s="173"/>
      <c r="AR91" s="173"/>
      <c r="AS91" s="173"/>
      <c r="AT91" s="173"/>
      <c r="AU91" s="173"/>
      <c r="AV91" s="173"/>
      <c r="AW91" s="173"/>
      <c r="AX91" s="173"/>
      <c r="AY91" s="173"/>
      <c r="AZ91" s="173"/>
      <c r="BA91" s="173"/>
    </row>
    <row r="92" spans="1:53" x14ac:dyDescent="0.25">
      <c r="A92" s="115">
        <v>20</v>
      </c>
      <c r="B92" s="116" t="s">
        <v>1306</v>
      </c>
      <c r="C92" s="116"/>
      <c r="D92" s="118"/>
      <c r="E92" s="118"/>
      <c r="F92" s="118"/>
      <c r="G92" s="118"/>
      <c r="H92" s="118"/>
      <c r="I92" s="118"/>
      <c r="J92" s="119">
        <f>+Input!J330</f>
        <v>0</v>
      </c>
      <c r="K92" s="119">
        <f>+Input!K330</f>
        <v>0</v>
      </c>
      <c r="L92" s="119">
        <f>+Input!L330</f>
        <v>0</v>
      </c>
      <c r="M92" s="119">
        <f>+Input!M330</f>
        <v>0</v>
      </c>
      <c r="N92" s="119">
        <f>+Input!N330</f>
        <v>65.452849999999998</v>
      </c>
      <c r="O92" s="119">
        <f>+Input!O330</f>
        <v>62.725647917000003</v>
      </c>
      <c r="P92" s="119">
        <f>+Input!P330</f>
        <v>76</v>
      </c>
      <c r="Q92" s="172">
        <f>+Input!Q330</f>
        <v>237.32783785126321</v>
      </c>
      <c r="R92" s="172">
        <f>+Input!R330</f>
        <v>327.52710085320365</v>
      </c>
      <c r="S92" s="172">
        <f>+Input!S330</f>
        <v>267.1878255508301</v>
      </c>
      <c r="T92" s="172">
        <f>+Input!T330</f>
        <v>179.41668485297177</v>
      </c>
      <c r="U92" s="172">
        <f>+Input!U330</f>
        <v>120.34191553268084</v>
      </c>
      <c r="V92" s="172">
        <f>+Input!V330</f>
        <v>45.526526141799735</v>
      </c>
      <c r="W92" s="172">
        <f>+Input!W330</f>
        <v>18.436234488137067</v>
      </c>
      <c r="X92" s="172">
        <f>+Input!X330</f>
        <v>9.5654571258558008</v>
      </c>
      <c r="Y92" s="172">
        <f>+Input!Y330</f>
        <v>3.1884857086186003</v>
      </c>
      <c r="Z92" s="172">
        <f>+Input!Z330</f>
        <v>0</v>
      </c>
      <c r="AA92" s="172"/>
      <c r="AB92" s="173"/>
      <c r="AC92" s="173"/>
      <c r="AD92" s="173"/>
      <c r="AE92" s="173"/>
      <c r="AF92" s="173"/>
      <c r="AG92" s="173"/>
      <c r="AH92" s="173"/>
      <c r="AI92" s="173"/>
      <c r="AJ92" s="173"/>
      <c r="AK92" s="173"/>
      <c r="AL92" s="173"/>
      <c r="AM92" s="173"/>
      <c r="AN92" s="173"/>
      <c r="AO92" s="173"/>
      <c r="AP92" s="173"/>
      <c r="AQ92" s="173"/>
      <c r="AR92" s="173"/>
      <c r="AS92" s="173"/>
      <c r="AT92" s="173"/>
      <c r="AU92" s="173"/>
      <c r="AV92" s="173"/>
      <c r="AW92" s="173"/>
      <c r="AX92" s="173"/>
      <c r="AY92" s="173"/>
      <c r="AZ92" s="173"/>
      <c r="BA92" s="173"/>
    </row>
    <row r="93" spans="1:53" x14ac:dyDescent="0.25">
      <c r="A93" s="676"/>
      <c r="B93" s="756"/>
      <c r="C93" s="742" t="s">
        <v>1307</v>
      </c>
      <c r="D93" s="696"/>
      <c r="E93" s="696"/>
      <c r="F93" s="696"/>
      <c r="G93" s="696"/>
      <c r="H93" s="696"/>
      <c r="I93" s="696"/>
      <c r="J93" s="696"/>
      <c r="K93" s="696"/>
      <c r="L93" s="696"/>
      <c r="M93" s="696"/>
      <c r="N93" s="696"/>
      <c r="O93" s="696"/>
      <c r="P93" s="755"/>
      <c r="Q93" s="700"/>
      <c r="R93" s="700"/>
      <c r="S93" s="700"/>
      <c r="T93" s="700"/>
      <c r="U93" s="700"/>
      <c r="V93" s="700"/>
      <c r="W93" s="700"/>
      <c r="X93" s="700"/>
      <c r="Y93" s="700"/>
      <c r="Z93" s="700"/>
      <c r="AA93" s="700"/>
      <c r="AB93" s="700"/>
      <c r="AC93" s="700"/>
      <c r="AD93" s="700"/>
      <c r="AE93" s="700"/>
      <c r="AF93" s="700"/>
      <c r="AG93" s="700"/>
      <c r="AH93" s="700"/>
      <c r="AI93" s="700"/>
      <c r="AJ93" s="700"/>
      <c r="AK93" s="700"/>
      <c r="AL93" s="700"/>
      <c r="AM93" s="700"/>
      <c r="AN93" s="700"/>
      <c r="AO93" s="700"/>
      <c r="AP93" s="700"/>
      <c r="AQ93" s="700"/>
      <c r="AR93" s="700"/>
      <c r="AS93" s="700"/>
      <c r="AT93" s="700"/>
      <c r="AU93" s="700"/>
      <c r="AV93" s="700"/>
      <c r="AW93" s="700"/>
      <c r="AX93" s="700"/>
      <c r="AY93" s="700"/>
      <c r="AZ93" s="700"/>
      <c r="BA93" s="700"/>
    </row>
    <row r="94" spans="1:53" x14ac:dyDescent="0.25">
      <c r="A94" s="676"/>
      <c r="B94" s="756"/>
      <c r="C94" s="742" t="s">
        <v>1308</v>
      </c>
      <c r="D94" s="696"/>
      <c r="E94" s="696"/>
      <c r="F94" s="696"/>
      <c r="G94" s="696"/>
      <c r="H94" s="696"/>
      <c r="I94" s="696"/>
      <c r="J94" s="696"/>
      <c r="K94" s="696"/>
      <c r="L94" s="696"/>
      <c r="M94" s="696"/>
      <c r="N94" s="696"/>
      <c r="O94" s="696"/>
      <c r="P94" s="755"/>
      <c r="Q94" s="700"/>
      <c r="R94" s="700"/>
      <c r="S94" s="700"/>
      <c r="T94" s="700"/>
      <c r="U94" s="700"/>
      <c r="V94" s="700"/>
      <c r="W94" s="700"/>
      <c r="X94" s="700"/>
      <c r="Y94" s="700"/>
      <c r="Z94" s="700"/>
      <c r="AA94" s="700"/>
      <c r="AB94" s="700"/>
      <c r="AC94" s="700"/>
      <c r="AD94" s="700"/>
      <c r="AE94" s="700"/>
      <c r="AF94" s="700"/>
      <c r="AG94" s="700"/>
      <c r="AH94" s="700"/>
      <c r="AI94" s="700"/>
      <c r="AJ94" s="700"/>
      <c r="AK94" s="700"/>
      <c r="AL94" s="700"/>
      <c r="AM94" s="700"/>
      <c r="AN94" s="700"/>
      <c r="AO94" s="700"/>
      <c r="AP94" s="700"/>
      <c r="AQ94" s="700"/>
      <c r="AR94" s="700"/>
      <c r="AS94" s="700"/>
      <c r="AT94" s="700"/>
      <c r="AU94" s="700"/>
      <c r="AV94" s="700"/>
      <c r="AW94" s="700"/>
      <c r="AX94" s="700"/>
      <c r="AY94" s="700"/>
      <c r="AZ94" s="700"/>
      <c r="BA94" s="700"/>
    </row>
    <row r="95" spans="1:53" x14ac:dyDescent="0.25">
      <c r="A95" s="676"/>
      <c r="B95" s="756"/>
      <c r="C95" s="742" t="s">
        <v>1309</v>
      </c>
      <c r="D95" s="696"/>
      <c r="E95" s="696"/>
      <c r="F95" s="696"/>
      <c r="G95" s="696"/>
      <c r="H95" s="696"/>
      <c r="I95" s="696"/>
      <c r="J95" s="696"/>
      <c r="K95" s="696"/>
      <c r="L95" s="696"/>
      <c r="M95" s="696"/>
      <c r="N95" s="696"/>
      <c r="O95" s="696"/>
      <c r="P95" s="755"/>
      <c r="Q95" s="700"/>
      <c r="R95" s="700"/>
      <c r="S95" s="700"/>
      <c r="T95" s="700"/>
      <c r="U95" s="700"/>
      <c r="V95" s="700"/>
      <c r="W95" s="700"/>
      <c r="X95" s="700"/>
      <c r="Y95" s="700"/>
      <c r="Z95" s="700"/>
      <c r="AA95" s="700"/>
      <c r="AB95" s="700"/>
      <c r="AC95" s="700"/>
      <c r="AD95" s="700"/>
      <c r="AE95" s="700"/>
      <c r="AF95" s="700"/>
      <c r="AG95" s="700"/>
      <c r="AH95" s="700"/>
      <c r="AI95" s="700"/>
      <c r="AJ95" s="700"/>
      <c r="AK95" s="700"/>
      <c r="AL95" s="700"/>
      <c r="AM95" s="700"/>
      <c r="AN95" s="700"/>
      <c r="AO95" s="700"/>
      <c r="AP95" s="700"/>
      <c r="AQ95" s="700"/>
      <c r="AR95" s="700"/>
      <c r="AS95" s="700"/>
      <c r="AT95" s="700"/>
      <c r="AU95" s="700"/>
      <c r="AV95" s="700"/>
      <c r="AW95" s="700"/>
      <c r="AX95" s="700"/>
      <c r="AY95" s="700"/>
      <c r="AZ95" s="700"/>
      <c r="BA95" s="700"/>
    </row>
    <row r="96" spans="1:53" x14ac:dyDescent="0.25">
      <c r="A96" s="115">
        <v>21</v>
      </c>
      <c r="B96" s="116" t="s">
        <v>1310</v>
      </c>
      <c r="C96" s="116" t="s">
        <v>614</v>
      </c>
      <c r="D96" s="118"/>
      <c r="E96" s="118"/>
      <c r="F96" s="118"/>
      <c r="G96" s="118"/>
      <c r="H96" s="118"/>
      <c r="I96" s="118"/>
      <c r="J96" s="119">
        <f>Input!J336</f>
        <v>0</v>
      </c>
      <c r="K96" s="119">
        <f>Input!K336</f>
        <v>0</v>
      </c>
      <c r="L96" s="119">
        <f>Input!L336</f>
        <v>0</v>
      </c>
      <c r="M96" s="119">
        <f>Input!M336</f>
        <v>0</v>
      </c>
      <c r="N96" s="119">
        <f>Input!N336</f>
        <v>0</v>
      </c>
      <c r="O96" s="119">
        <f>Input!O336</f>
        <v>0</v>
      </c>
      <c r="P96" s="119">
        <f>Input!P336</f>
        <v>0</v>
      </c>
      <c r="Q96" s="172">
        <f>Input!Q336</f>
        <v>0</v>
      </c>
      <c r="R96" s="172">
        <f>Input!R336</f>
        <v>0</v>
      </c>
      <c r="S96" s="172">
        <f>Input!S336</f>
        <v>0</v>
      </c>
      <c r="T96" s="172">
        <f>Input!T336</f>
        <v>0</v>
      </c>
      <c r="U96" s="172">
        <f>Input!U336</f>
        <v>0</v>
      </c>
      <c r="V96" s="172">
        <f>Input!V336</f>
        <v>0</v>
      </c>
      <c r="W96" s="172">
        <f>Input!W336</f>
        <v>0</v>
      </c>
      <c r="X96" s="172">
        <f>Input!X336</f>
        <v>0</v>
      </c>
      <c r="Y96" s="172">
        <f>Input!Y336</f>
        <v>0</v>
      </c>
      <c r="Z96" s="172">
        <f>Input!Z336</f>
        <v>0</v>
      </c>
      <c r="AA96" s="172"/>
      <c r="AB96" s="173"/>
      <c r="AC96" s="173"/>
      <c r="AD96" s="173"/>
      <c r="AE96" s="173"/>
      <c r="AF96" s="173"/>
      <c r="AG96" s="173"/>
      <c r="AH96" s="173"/>
      <c r="AI96" s="173"/>
      <c r="AJ96" s="173"/>
      <c r="AK96" s="173"/>
      <c r="AL96" s="173"/>
      <c r="AM96" s="173"/>
      <c r="AN96" s="173"/>
      <c r="AO96" s="173"/>
      <c r="AP96" s="173"/>
      <c r="AQ96" s="173"/>
      <c r="AR96" s="173"/>
      <c r="AS96" s="173"/>
      <c r="AT96" s="173"/>
      <c r="AU96" s="173"/>
      <c r="AV96" s="173"/>
      <c r="AW96" s="173"/>
      <c r="AX96" s="173"/>
      <c r="AY96" s="173"/>
      <c r="AZ96" s="173"/>
      <c r="BA96" s="173"/>
    </row>
    <row r="97" spans="1:53" x14ac:dyDescent="0.25">
      <c r="A97" s="115">
        <v>23</v>
      </c>
      <c r="B97" s="757" t="s">
        <v>1311</v>
      </c>
      <c r="C97" s="757" t="s">
        <v>621</v>
      </c>
      <c r="D97" s="118"/>
      <c r="E97" s="118"/>
      <c r="F97" s="118"/>
      <c r="G97" s="118"/>
      <c r="H97" s="118"/>
      <c r="I97" s="118"/>
      <c r="J97" s="119">
        <f>Input!J347</f>
        <v>31.699796257999999</v>
      </c>
      <c r="K97" s="119">
        <f>Input!K347</f>
        <v>49.074599169000003</v>
      </c>
      <c r="L97" s="119">
        <f>Input!L347</f>
        <v>55.369126815000001</v>
      </c>
      <c r="M97" s="119">
        <f>Input!M347</f>
        <v>46.366882521999997</v>
      </c>
      <c r="N97" s="119">
        <f>Input!N347</f>
        <v>42.279639824</v>
      </c>
      <c r="O97" s="119">
        <f>Input!O347</f>
        <v>38.18591490499999</v>
      </c>
      <c r="P97" s="119">
        <f>Input!P347</f>
        <v>49.091748203999998</v>
      </c>
      <c r="Q97" s="172">
        <f>Input!Q347</f>
        <v>52.749439056214307</v>
      </c>
      <c r="R97" s="172">
        <f>Input!R347</f>
        <v>55.031219780851288</v>
      </c>
      <c r="S97" s="172">
        <f>Input!S347</f>
        <v>69.477243741891172</v>
      </c>
      <c r="T97" s="172">
        <f>Input!T347</f>
        <v>74.107148892536387</v>
      </c>
      <c r="U97" s="172">
        <f>Input!U347</f>
        <v>78.754758111194064</v>
      </c>
      <c r="V97" s="172">
        <f>Input!V347</f>
        <v>82.589048353868122</v>
      </c>
      <c r="W97" s="172">
        <f>Input!W347</f>
        <v>87.373329773579414</v>
      </c>
      <c r="X97" s="172">
        <f>Input!X347</f>
        <v>90.748061952768609</v>
      </c>
      <c r="Y97" s="172">
        <f>Input!Y347</f>
        <v>94.401355681865752</v>
      </c>
      <c r="Z97" s="172">
        <f>Input!Z347</f>
        <v>98.360688191633486</v>
      </c>
      <c r="AA97" s="172"/>
      <c r="AB97" s="173"/>
      <c r="AC97" s="173"/>
      <c r="AD97" s="173"/>
      <c r="AE97" s="173"/>
      <c r="AF97" s="173"/>
      <c r="AG97" s="173"/>
      <c r="AH97" s="173"/>
      <c r="AI97" s="173"/>
      <c r="AJ97" s="173"/>
      <c r="AK97" s="173"/>
      <c r="AL97" s="173"/>
      <c r="AM97" s="173"/>
      <c r="AN97" s="173"/>
      <c r="AO97" s="173"/>
      <c r="AP97" s="173"/>
      <c r="AQ97" s="173"/>
      <c r="AR97" s="173"/>
      <c r="AS97" s="173"/>
      <c r="AT97" s="173"/>
      <c r="AU97" s="173"/>
      <c r="AV97" s="173"/>
      <c r="AW97" s="173"/>
      <c r="AX97" s="173"/>
      <c r="AY97" s="173"/>
      <c r="AZ97" s="173"/>
      <c r="BA97" s="173"/>
    </row>
    <row r="98" spans="1:53" x14ac:dyDescent="0.25">
      <c r="A98" s="115"/>
      <c r="B98" s="758" t="s">
        <v>1312</v>
      </c>
      <c r="C98" s="758" t="s">
        <v>1313</v>
      </c>
      <c r="D98" s="759"/>
      <c r="E98" s="759"/>
      <c r="F98" s="759"/>
      <c r="G98" s="759"/>
      <c r="H98" s="759"/>
      <c r="I98" s="759"/>
      <c r="J98" s="760">
        <f>J91+J92+J96+J97</f>
        <v>31.699796257999999</v>
      </c>
      <c r="K98" s="760">
        <f t="shared" ref="K98:Z98" si="16">K91+K92+K96+K97</f>
        <v>49.074599169000003</v>
      </c>
      <c r="L98" s="760">
        <f t="shared" si="16"/>
        <v>55.369126815000001</v>
      </c>
      <c r="M98" s="760">
        <f t="shared" si="16"/>
        <v>46.366882521999997</v>
      </c>
      <c r="N98" s="760">
        <f t="shared" si="16"/>
        <v>107.732489824</v>
      </c>
      <c r="O98" s="760">
        <f t="shared" si="16"/>
        <v>100.91156282199999</v>
      </c>
      <c r="P98" s="760">
        <f t="shared" si="16"/>
        <v>125.091748204</v>
      </c>
      <c r="Q98" s="762">
        <f t="shared" si="16"/>
        <v>290.07727690747754</v>
      </c>
      <c r="R98" s="762">
        <f t="shared" si="16"/>
        <v>382.55832063405495</v>
      </c>
      <c r="S98" s="762">
        <f t="shared" si="16"/>
        <v>336.66506929272128</v>
      </c>
      <c r="T98" s="762">
        <f t="shared" si="16"/>
        <v>253.52383374550817</v>
      </c>
      <c r="U98" s="762">
        <f t="shared" si="16"/>
        <v>199.09667364387491</v>
      </c>
      <c r="V98" s="762">
        <f t="shared" si="16"/>
        <v>128.11557449566786</v>
      </c>
      <c r="W98" s="762">
        <f t="shared" si="16"/>
        <v>105.80956426171647</v>
      </c>
      <c r="X98" s="762">
        <f t="shared" si="16"/>
        <v>100.31351907862441</v>
      </c>
      <c r="Y98" s="762">
        <f t="shared" si="16"/>
        <v>97.589841390484352</v>
      </c>
      <c r="Z98" s="762">
        <f t="shared" si="16"/>
        <v>98.360688191633486</v>
      </c>
      <c r="AA98" s="762"/>
      <c r="AB98" s="763"/>
      <c r="AC98" s="763"/>
      <c r="AD98" s="763"/>
      <c r="AE98" s="763"/>
      <c r="AF98" s="763"/>
      <c r="AG98" s="763"/>
      <c r="AH98" s="763"/>
      <c r="AI98" s="763"/>
      <c r="AJ98" s="763"/>
      <c r="AK98" s="763"/>
      <c r="AL98" s="763"/>
      <c r="AM98" s="763"/>
      <c r="AN98" s="763"/>
      <c r="AO98" s="763"/>
      <c r="AP98" s="763"/>
      <c r="AQ98" s="763"/>
      <c r="AR98" s="763"/>
      <c r="AS98" s="763"/>
      <c r="AT98" s="763"/>
      <c r="AU98" s="763"/>
      <c r="AV98" s="763"/>
      <c r="AW98" s="763"/>
      <c r="AX98" s="763"/>
      <c r="AY98" s="763"/>
      <c r="AZ98" s="763"/>
      <c r="BA98" s="763"/>
    </row>
    <row r="99" spans="1:53" ht="13.8" thickBot="1" x14ac:dyDescent="0.3">
      <c r="A99" s="115"/>
      <c r="B99" s="448" t="s">
        <v>1314</v>
      </c>
      <c r="C99" s="448" t="s">
        <v>1315</v>
      </c>
      <c r="D99" s="450"/>
      <c r="E99" s="450"/>
      <c r="F99" s="450"/>
      <c r="G99" s="450"/>
      <c r="H99" s="450"/>
      <c r="I99" s="450"/>
      <c r="J99" s="451">
        <f>J98+J88</f>
        <v>513.788543129</v>
      </c>
      <c r="K99" s="451">
        <f t="shared" ref="K99:Z99" si="17">K98+K88</f>
        <v>661.23068370899989</v>
      </c>
      <c r="L99" s="451">
        <f t="shared" si="17"/>
        <v>711.17976863000001</v>
      </c>
      <c r="M99" s="451">
        <f t="shared" si="17"/>
        <v>543.68658799399998</v>
      </c>
      <c r="N99" s="451">
        <f t="shared" si="17"/>
        <v>688.04459979299997</v>
      </c>
      <c r="O99" s="451">
        <f t="shared" si="17"/>
        <v>448.78390649299996</v>
      </c>
      <c r="P99" s="451">
        <f t="shared" si="17"/>
        <v>418.35302252000002</v>
      </c>
      <c r="Q99" s="452">
        <f t="shared" ca="1" si="17"/>
        <v>810.4997443841329</v>
      </c>
      <c r="R99" s="452">
        <f t="shared" ca="1" si="17"/>
        <v>918.32413183260178</v>
      </c>
      <c r="S99" s="452">
        <f t="shared" ca="1" si="17"/>
        <v>996.07297670416256</v>
      </c>
      <c r="T99" s="452">
        <f t="shared" ca="1" si="17"/>
        <v>949.41800988027239</v>
      </c>
      <c r="U99" s="452">
        <f t="shared" ca="1" si="17"/>
        <v>833.12225630098965</v>
      </c>
      <c r="V99" s="452">
        <f t="shared" ca="1" si="17"/>
        <v>793.56355063000251</v>
      </c>
      <c r="W99" s="452">
        <f t="shared" ca="1" si="17"/>
        <v>672.40703395580795</v>
      </c>
      <c r="X99" s="452">
        <f t="shared" ca="1" si="17"/>
        <v>702.26809178135841</v>
      </c>
      <c r="Y99" s="452">
        <f t="shared" ca="1" si="17"/>
        <v>695.50938806469276</v>
      </c>
      <c r="Z99" s="452">
        <f t="shared" ca="1" si="17"/>
        <v>696.23342230044386</v>
      </c>
      <c r="AA99" s="452"/>
      <c r="AB99" s="453"/>
      <c r="AC99" s="453"/>
      <c r="AD99" s="453"/>
      <c r="AE99" s="453"/>
      <c r="AF99" s="453"/>
      <c r="AG99" s="453"/>
      <c r="AH99" s="453"/>
      <c r="AI99" s="453"/>
      <c r="AJ99" s="453"/>
      <c r="AK99" s="453"/>
      <c r="AL99" s="453"/>
      <c r="AM99" s="453"/>
      <c r="AN99" s="453"/>
      <c r="AO99" s="453"/>
      <c r="AP99" s="453"/>
      <c r="AQ99" s="453"/>
      <c r="AR99" s="453"/>
      <c r="AS99" s="453"/>
      <c r="AT99" s="453"/>
      <c r="AU99" s="453"/>
      <c r="AV99" s="453"/>
      <c r="AW99" s="453"/>
      <c r="AX99" s="453"/>
      <c r="AY99" s="453"/>
      <c r="AZ99" s="453"/>
      <c r="BA99" s="453"/>
    </row>
    <row r="100" spans="1:53" s="746" customFormat="1" ht="13.8" thickTop="1" x14ac:dyDescent="0.25">
      <c r="A100" s="676"/>
      <c r="B100" s="458" t="s">
        <v>1274</v>
      </c>
      <c r="C100" s="458"/>
      <c r="D100" s="542"/>
      <c r="E100" s="542"/>
      <c r="F100" s="542"/>
      <c r="G100" s="542"/>
      <c r="H100" s="542"/>
      <c r="I100" s="542"/>
      <c r="J100" s="543">
        <f>J99-Input!J353</f>
        <v>0</v>
      </c>
      <c r="K100" s="543">
        <f>K99-Input!K353</f>
        <v>0</v>
      </c>
      <c r="L100" s="543">
        <f>L99-Input!L353</f>
        <v>0</v>
      </c>
      <c r="M100" s="543">
        <f>M99-Input!M353</f>
        <v>0</v>
      </c>
      <c r="N100" s="543">
        <f>N99-Input!N353</f>
        <v>0</v>
      </c>
      <c r="O100" s="543">
        <f>O99-Input!O353</f>
        <v>0</v>
      </c>
      <c r="P100" s="543">
        <f>P99-Input!P353</f>
        <v>0</v>
      </c>
      <c r="Q100" s="1880">
        <f ca="1">Q99-Input!Q353</f>
        <v>0</v>
      </c>
      <c r="R100" s="1880">
        <f ca="1">R99-Input!R353</f>
        <v>0</v>
      </c>
      <c r="S100" s="1880">
        <f ca="1">S99-Input!S353</f>
        <v>0</v>
      </c>
      <c r="T100" s="1880">
        <f ca="1">T99-Input!T353</f>
        <v>0</v>
      </c>
      <c r="U100" s="1880">
        <f ca="1">U99-Input!U353</f>
        <v>0</v>
      </c>
      <c r="V100" s="1880">
        <f ca="1">V99-Input!V353</f>
        <v>0</v>
      </c>
      <c r="W100" s="1880">
        <f ca="1">W99-Input!W353</f>
        <v>0</v>
      </c>
      <c r="X100" s="1880">
        <f ca="1">X99-Input!X353</f>
        <v>0</v>
      </c>
      <c r="Y100" s="1880">
        <f ca="1">Y99-Input!Y353</f>
        <v>0</v>
      </c>
      <c r="Z100" s="1880">
        <f ca="1">Z99-Input!Z353</f>
        <v>0</v>
      </c>
      <c r="AA100" s="1880"/>
      <c r="AB100" s="542"/>
      <c r="AC100" s="542"/>
      <c r="AD100" s="542"/>
      <c r="AE100" s="542"/>
      <c r="AF100" s="542"/>
      <c r="AG100" s="542"/>
      <c r="AH100" s="542"/>
      <c r="AI100" s="542"/>
      <c r="AJ100" s="542"/>
      <c r="AK100" s="542"/>
      <c r="AL100" s="542"/>
      <c r="AM100" s="542"/>
      <c r="AN100" s="542"/>
      <c r="AO100" s="542"/>
      <c r="AP100" s="542"/>
      <c r="AQ100" s="542"/>
      <c r="AR100" s="542"/>
      <c r="AS100" s="542"/>
      <c r="AT100" s="542"/>
      <c r="AU100" s="542"/>
      <c r="AV100" s="542"/>
      <c r="AW100" s="542"/>
      <c r="AX100" s="542"/>
      <c r="AY100" s="542"/>
      <c r="AZ100" s="542"/>
      <c r="BA100" s="542"/>
    </row>
    <row r="101" spans="1:53" x14ac:dyDescent="0.25">
      <c r="A101" s="658"/>
      <c r="B101" s="764"/>
      <c r="C101" s="764"/>
      <c r="D101" s="765"/>
      <c r="E101" s="765"/>
      <c r="F101" s="765"/>
      <c r="G101" s="765"/>
      <c r="H101" s="765"/>
      <c r="I101" s="765"/>
      <c r="J101" s="765"/>
      <c r="K101" s="765"/>
      <c r="L101" s="765"/>
      <c r="M101" s="765"/>
      <c r="N101" s="765"/>
      <c r="O101" s="765"/>
      <c r="P101" s="766"/>
      <c r="Q101" s="765"/>
      <c r="R101" s="765"/>
      <c r="S101" s="765"/>
      <c r="T101" s="765"/>
      <c r="U101" s="765"/>
      <c r="V101" s="765"/>
      <c r="W101" s="765"/>
      <c r="X101" s="765"/>
      <c r="Y101" s="765"/>
      <c r="Z101" s="765"/>
      <c r="AA101" s="765"/>
      <c r="AB101" s="765"/>
      <c r="AC101" s="765"/>
      <c r="AD101" s="765"/>
      <c r="AE101" s="765"/>
      <c r="AF101" s="765"/>
      <c r="AG101" s="765"/>
      <c r="AH101" s="765"/>
      <c r="AI101" s="765"/>
      <c r="AJ101" s="765"/>
      <c r="AK101" s="765"/>
      <c r="AL101" s="765"/>
      <c r="AM101" s="765"/>
      <c r="AN101" s="765"/>
      <c r="AO101" s="765"/>
      <c r="AP101" s="765"/>
      <c r="AQ101" s="765"/>
      <c r="AR101" s="765"/>
      <c r="AS101" s="765"/>
      <c r="AT101" s="765"/>
      <c r="AU101" s="765"/>
      <c r="AV101" s="765"/>
      <c r="AW101" s="765"/>
      <c r="AX101" s="765"/>
      <c r="AY101" s="765"/>
      <c r="AZ101" s="765"/>
      <c r="BA101" s="765"/>
    </row>
    <row r="102" spans="1:53" x14ac:dyDescent="0.25">
      <c r="A102" s="115"/>
      <c r="B102" s="151" t="s">
        <v>1316</v>
      </c>
      <c r="C102" s="151" t="s">
        <v>625</v>
      </c>
      <c r="D102" s="118"/>
      <c r="E102" s="118"/>
      <c r="F102" s="118"/>
      <c r="G102" s="118"/>
      <c r="H102" s="118"/>
      <c r="I102" s="118"/>
      <c r="J102" s="118"/>
      <c r="K102" s="118"/>
      <c r="L102" s="118"/>
      <c r="M102" s="118"/>
      <c r="N102" s="118"/>
      <c r="O102" s="118"/>
      <c r="P102" s="218"/>
      <c r="Q102" s="118"/>
      <c r="R102" s="118"/>
      <c r="S102" s="118"/>
      <c r="T102" s="118"/>
      <c r="U102" s="118"/>
      <c r="V102" s="118"/>
      <c r="W102" s="118"/>
      <c r="X102" s="118"/>
      <c r="Y102" s="118"/>
      <c r="Z102" s="118"/>
      <c r="AA102" s="118"/>
      <c r="AB102" s="118"/>
      <c r="AC102" s="118"/>
      <c r="AD102" s="118"/>
      <c r="AE102" s="118"/>
      <c r="AF102" s="118"/>
      <c r="AG102" s="118"/>
      <c r="AH102" s="118"/>
      <c r="AI102" s="118"/>
      <c r="AJ102" s="118"/>
      <c r="AK102" s="118"/>
      <c r="AL102" s="118"/>
      <c r="AM102" s="118"/>
      <c r="AN102" s="118"/>
      <c r="AO102" s="118"/>
      <c r="AP102" s="118"/>
      <c r="AQ102" s="118"/>
      <c r="AR102" s="118"/>
      <c r="AS102" s="118"/>
      <c r="AT102" s="118"/>
      <c r="AU102" s="118"/>
      <c r="AV102" s="118"/>
      <c r="AW102" s="118"/>
      <c r="AX102" s="118"/>
      <c r="AY102" s="118"/>
      <c r="AZ102" s="118"/>
      <c r="BA102" s="118"/>
    </row>
    <row r="103" spans="1:53" x14ac:dyDescent="0.25">
      <c r="A103" s="115">
        <v>24</v>
      </c>
      <c r="B103" s="116" t="s">
        <v>1265</v>
      </c>
      <c r="C103" s="116" t="s">
        <v>628</v>
      </c>
      <c r="D103" s="118"/>
      <c r="E103" s="118"/>
      <c r="F103" s="118"/>
      <c r="G103" s="118"/>
      <c r="H103" s="118"/>
      <c r="I103" s="118"/>
      <c r="J103" s="119">
        <f>Input!J359</f>
        <v>0</v>
      </c>
      <c r="K103" s="119">
        <f>Input!K359</f>
        <v>0</v>
      </c>
      <c r="L103" s="119">
        <f>Input!L359</f>
        <v>0</v>
      </c>
      <c r="M103" s="119">
        <f>Input!M359</f>
        <v>0</v>
      </c>
      <c r="N103" s="119">
        <f>Input!N359</f>
        <v>0</v>
      </c>
      <c r="O103" s="119">
        <f>Input!O359</f>
        <v>0</v>
      </c>
      <c r="P103" s="119">
        <f>Input!P359</f>
        <v>0</v>
      </c>
      <c r="Q103" s="172">
        <f ca="1">Input!Q359</f>
        <v>0</v>
      </c>
      <c r="R103" s="172">
        <f ca="1">Input!R359</f>
        <v>0</v>
      </c>
      <c r="S103" s="172">
        <f ca="1">Input!S359</f>
        <v>0</v>
      </c>
      <c r="T103" s="172">
        <f ca="1">Input!T359</f>
        <v>0</v>
      </c>
      <c r="U103" s="172">
        <f ca="1">Input!U359</f>
        <v>0</v>
      </c>
      <c r="V103" s="172">
        <f ca="1">Input!V359</f>
        <v>0</v>
      </c>
      <c r="W103" s="172">
        <f ca="1">Input!W359</f>
        <v>0</v>
      </c>
      <c r="X103" s="172">
        <f ca="1">Input!X359</f>
        <v>0</v>
      </c>
      <c r="Y103" s="172">
        <f ca="1">Input!Y359</f>
        <v>0</v>
      </c>
      <c r="Z103" s="172">
        <f ca="1">Input!Z359</f>
        <v>0</v>
      </c>
      <c r="AA103" s="172"/>
      <c r="AB103" s="173"/>
      <c r="AC103" s="173"/>
      <c r="AD103" s="173"/>
      <c r="AE103" s="173"/>
      <c r="AF103" s="173"/>
      <c r="AG103" s="173"/>
      <c r="AH103" s="173"/>
      <c r="AI103" s="173"/>
      <c r="AJ103" s="173"/>
      <c r="AK103" s="173"/>
      <c r="AL103" s="173"/>
      <c r="AM103" s="173"/>
      <c r="AN103" s="173"/>
      <c r="AO103" s="173"/>
      <c r="AP103" s="173"/>
      <c r="AQ103" s="173"/>
      <c r="AR103" s="173"/>
      <c r="AS103" s="173"/>
      <c r="AT103" s="173"/>
      <c r="AU103" s="173"/>
      <c r="AV103" s="173"/>
      <c r="AW103" s="173"/>
      <c r="AX103" s="173"/>
      <c r="AY103" s="173"/>
      <c r="AZ103" s="173"/>
      <c r="BA103" s="173"/>
    </row>
    <row r="104" spans="1:53" x14ac:dyDescent="0.25">
      <c r="A104" s="115"/>
      <c r="B104" s="116"/>
      <c r="C104" s="116"/>
      <c r="D104" s="118"/>
      <c r="E104" s="118"/>
      <c r="F104" s="118"/>
      <c r="G104" s="118"/>
      <c r="H104" s="118"/>
      <c r="I104" s="118"/>
      <c r="J104" s="118"/>
      <c r="K104" s="118"/>
      <c r="L104" s="118"/>
      <c r="M104" s="118"/>
      <c r="N104" s="118"/>
      <c r="O104" s="118"/>
      <c r="P104" s="218"/>
      <c r="Q104" s="173"/>
      <c r="R104" s="173"/>
      <c r="S104" s="173"/>
      <c r="T104" s="173"/>
      <c r="U104" s="173"/>
      <c r="V104" s="173"/>
      <c r="W104" s="173"/>
      <c r="X104" s="173"/>
      <c r="Y104" s="173"/>
      <c r="Z104" s="173"/>
      <c r="AA104" s="173"/>
      <c r="AB104" s="118"/>
      <c r="AC104" s="118"/>
      <c r="AD104" s="118"/>
      <c r="AE104" s="118"/>
      <c r="AF104" s="118"/>
      <c r="AG104" s="118"/>
      <c r="AH104" s="118"/>
      <c r="AI104" s="118"/>
      <c r="AJ104" s="118"/>
      <c r="AK104" s="118"/>
      <c r="AL104" s="118"/>
      <c r="AM104" s="118"/>
      <c r="AN104" s="118"/>
      <c r="AO104" s="118"/>
      <c r="AP104" s="118"/>
      <c r="AQ104" s="118"/>
      <c r="AR104" s="118"/>
      <c r="AS104" s="118"/>
      <c r="AT104" s="118"/>
      <c r="AU104" s="118"/>
      <c r="AV104" s="118"/>
      <c r="AW104" s="118"/>
      <c r="AX104" s="118"/>
      <c r="AY104" s="118"/>
      <c r="AZ104" s="118"/>
      <c r="BA104" s="118"/>
    </row>
    <row r="105" spans="1:53" x14ac:dyDescent="0.25">
      <c r="A105" s="115"/>
      <c r="B105" s="151" t="s">
        <v>166</v>
      </c>
      <c r="C105" s="151" t="s">
        <v>629</v>
      </c>
      <c r="D105" s="118"/>
      <c r="E105" s="118"/>
      <c r="F105" s="118"/>
      <c r="G105" s="118"/>
      <c r="H105" s="118"/>
      <c r="I105" s="118"/>
      <c r="J105" s="118"/>
      <c r="K105" s="118"/>
      <c r="L105" s="118"/>
      <c r="M105" s="118"/>
      <c r="N105" s="118"/>
      <c r="O105" s="118"/>
      <c r="P105" s="218"/>
      <c r="Q105" s="173"/>
      <c r="R105" s="173"/>
      <c r="S105" s="173"/>
      <c r="T105" s="173"/>
      <c r="U105" s="173"/>
      <c r="V105" s="173"/>
      <c r="W105" s="173"/>
      <c r="X105" s="173"/>
      <c r="Y105" s="173"/>
      <c r="Z105" s="173"/>
      <c r="AA105" s="173"/>
      <c r="AB105" s="118"/>
      <c r="AC105" s="118"/>
      <c r="AD105" s="118"/>
      <c r="AE105" s="118"/>
      <c r="AF105" s="118"/>
      <c r="AG105" s="118"/>
      <c r="AH105" s="118"/>
      <c r="AI105" s="118"/>
      <c r="AJ105" s="118"/>
      <c r="AK105" s="118"/>
      <c r="AL105" s="118"/>
      <c r="AM105" s="118"/>
      <c r="AN105" s="118"/>
      <c r="AO105" s="118"/>
      <c r="AP105" s="118"/>
      <c r="AQ105" s="118"/>
      <c r="AR105" s="118"/>
      <c r="AS105" s="118"/>
      <c r="AT105" s="118"/>
      <c r="AU105" s="118"/>
      <c r="AV105" s="118"/>
      <c r="AW105" s="118"/>
      <c r="AX105" s="118"/>
      <c r="AY105" s="118"/>
      <c r="AZ105" s="118"/>
      <c r="BA105" s="118"/>
    </row>
    <row r="106" spans="1:53" x14ac:dyDescent="0.25">
      <c r="A106" s="115">
        <v>25</v>
      </c>
      <c r="B106" s="116" t="s">
        <v>1317</v>
      </c>
      <c r="C106" s="116" t="s">
        <v>633</v>
      </c>
      <c r="D106" s="118"/>
      <c r="E106" s="118"/>
      <c r="F106" s="118"/>
      <c r="G106" s="118"/>
      <c r="H106" s="118"/>
      <c r="I106" s="118"/>
      <c r="J106" s="119">
        <f>Input!J366</f>
        <v>0</v>
      </c>
      <c r="K106" s="119">
        <f>Input!K366</f>
        <v>0</v>
      </c>
      <c r="L106" s="119">
        <f>Input!L366</f>
        <v>0</v>
      </c>
      <c r="M106" s="119">
        <f>Input!M366</f>
        <v>0</v>
      </c>
      <c r="N106" s="119">
        <f>Input!N366</f>
        <v>0</v>
      </c>
      <c r="O106" s="119">
        <f>Input!O366</f>
        <v>0</v>
      </c>
      <c r="P106" s="119">
        <f>Input!P366</f>
        <v>0</v>
      </c>
      <c r="Q106" s="172">
        <f>Input!Q366</f>
        <v>0</v>
      </c>
      <c r="R106" s="172">
        <f>Input!R366</f>
        <v>0</v>
      </c>
      <c r="S106" s="172">
        <f>Input!S366</f>
        <v>0</v>
      </c>
      <c r="T106" s="172">
        <f>Input!T366</f>
        <v>0</v>
      </c>
      <c r="U106" s="172">
        <f>Input!U366</f>
        <v>0</v>
      </c>
      <c r="V106" s="172">
        <f>Input!V366</f>
        <v>0</v>
      </c>
      <c r="W106" s="172">
        <f>Input!W366</f>
        <v>0</v>
      </c>
      <c r="X106" s="172">
        <f>Input!X366</f>
        <v>0</v>
      </c>
      <c r="Y106" s="172">
        <f>Input!Y366</f>
        <v>0</v>
      </c>
      <c r="Z106" s="172">
        <f>Input!Z366</f>
        <v>0</v>
      </c>
      <c r="AA106" s="172"/>
      <c r="AB106" s="173"/>
      <c r="AC106" s="173"/>
      <c r="AD106" s="173"/>
      <c r="AE106" s="173"/>
      <c r="AF106" s="173"/>
      <c r="AG106" s="173"/>
      <c r="AH106" s="173"/>
      <c r="AI106" s="173"/>
      <c r="AJ106" s="173"/>
      <c r="AK106" s="173"/>
      <c r="AL106" s="173"/>
      <c r="AM106" s="173"/>
      <c r="AN106" s="173"/>
      <c r="AO106" s="173"/>
      <c r="AP106" s="173"/>
      <c r="AQ106" s="173"/>
      <c r="AR106" s="173"/>
      <c r="AS106" s="173"/>
      <c r="AT106" s="173"/>
      <c r="AU106" s="173"/>
      <c r="AV106" s="173"/>
      <c r="AW106" s="173"/>
      <c r="AX106" s="173"/>
      <c r="AY106" s="173"/>
      <c r="AZ106" s="173"/>
      <c r="BA106" s="173"/>
    </row>
    <row r="107" spans="1:53" x14ac:dyDescent="0.25">
      <c r="A107" s="115">
        <v>26</v>
      </c>
      <c r="B107" s="116" t="s">
        <v>1318</v>
      </c>
      <c r="C107" s="116" t="s">
        <v>636</v>
      </c>
      <c r="D107" s="118"/>
      <c r="E107" s="118"/>
      <c r="F107" s="118"/>
      <c r="G107" s="118"/>
      <c r="H107" s="118"/>
      <c r="I107" s="118"/>
      <c r="J107" s="119">
        <f>+Input!J370</f>
        <v>419.18279000000001</v>
      </c>
      <c r="K107" s="119">
        <f>+Input!K370</f>
        <v>523.79</v>
      </c>
      <c r="L107" s="119">
        <f>+Input!L370</f>
        <v>523.79</v>
      </c>
      <c r="M107" s="119">
        <f>+Input!M370</f>
        <v>523.79</v>
      </c>
      <c r="N107" s="119">
        <f>+Input!N370</f>
        <v>523.79</v>
      </c>
      <c r="O107" s="119">
        <f>+Input!O370</f>
        <v>523.79</v>
      </c>
      <c r="P107" s="119">
        <f>+Input!P370</f>
        <v>576.12444000000005</v>
      </c>
      <c r="Q107" s="172">
        <f>+Input!Q370</f>
        <v>576.12444000000005</v>
      </c>
      <c r="R107" s="172">
        <f>+Input!R370</f>
        <v>576.12444000000005</v>
      </c>
      <c r="S107" s="172">
        <f>+Input!S370</f>
        <v>576.12444000000005</v>
      </c>
      <c r="T107" s="172">
        <f>+Input!T370</f>
        <v>576.12444000000005</v>
      </c>
      <c r="U107" s="172">
        <f>+Input!U370</f>
        <v>576.12444000000005</v>
      </c>
      <c r="V107" s="172">
        <f>+Input!V370</f>
        <v>576.12444000000005</v>
      </c>
      <c r="W107" s="172">
        <f>+Input!W370</f>
        <v>576.12444000000005</v>
      </c>
      <c r="X107" s="172">
        <f>+Input!X370</f>
        <v>576.12444000000005</v>
      </c>
      <c r="Y107" s="172">
        <f>+Input!Y370</f>
        <v>576.12444000000005</v>
      </c>
      <c r="Z107" s="172">
        <f>+Input!Z370</f>
        <v>576.12444000000005</v>
      </c>
      <c r="AA107" s="172"/>
      <c r="AB107" s="173"/>
      <c r="AC107" s="173"/>
      <c r="AD107" s="173"/>
      <c r="AE107" s="173"/>
      <c r="AF107" s="173"/>
      <c r="AG107" s="173"/>
      <c r="AH107" s="173"/>
      <c r="AI107" s="173"/>
      <c r="AJ107" s="173"/>
      <c r="AK107" s="173"/>
      <c r="AL107" s="173"/>
      <c r="AM107" s="173"/>
      <c r="AN107" s="173"/>
      <c r="AO107" s="173"/>
      <c r="AP107" s="173"/>
      <c r="AQ107" s="173"/>
      <c r="AR107" s="173"/>
      <c r="AS107" s="173"/>
      <c r="AT107" s="173"/>
      <c r="AU107" s="173"/>
      <c r="AV107" s="173"/>
      <c r="AW107" s="173"/>
      <c r="AX107" s="173"/>
      <c r="AY107" s="173"/>
      <c r="AZ107" s="173"/>
      <c r="BA107" s="173"/>
    </row>
    <row r="108" spans="1:53" x14ac:dyDescent="0.25">
      <c r="A108" s="115">
        <v>27</v>
      </c>
      <c r="B108" s="116" t="s">
        <v>1319</v>
      </c>
      <c r="C108" s="116"/>
      <c r="D108" s="118"/>
      <c r="E108" s="118"/>
      <c r="F108" s="118"/>
      <c r="G108" s="118"/>
      <c r="H108" s="118"/>
      <c r="I108" s="118"/>
      <c r="J108" s="119">
        <f>+Input!J374</f>
        <v>0</v>
      </c>
      <c r="K108" s="119">
        <f>+Input!K374</f>
        <v>20.921441999999999</v>
      </c>
      <c r="L108" s="119">
        <f>+Input!L374</f>
        <v>20.921441999999999</v>
      </c>
      <c r="M108" s="119">
        <f>+Input!M374</f>
        <v>20.921441999999999</v>
      </c>
      <c r="N108" s="119">
        <f>+Input!N374</f>
        <v>20.921441999999999</v>
      </c>
      <c r="O108" s="119">
        <f>+Input!O374</f>
        <v>20.921441999999999</v>
      </c>
      <c r="P108" s="119">
        <f>+Input!P374</f>
        <v>20.921441999999999</v>
      </c>
      <c r="Q108" s="172">
        <f>+Input!Q374</f>
        <v>20.921441999999999</v>
      </c>
      <c r="R108" s="172">
        <f>+Input!R374</f>
        <v>20.921441999999999</v>
      </c>
      <c r="S108" s="172">
        <f>+Input!S374</f>
        <v>20.921441999999999</v>
      </c>
      <c r="T108" s="172">
        <f>+Input!T374</f>
        <v>20.921441999999999</v>
      </c>
      <c r="U108" s="172">
        <f>+Input!U374</f>
        <v>20.921441999999999</v>
      </c>
      <c r="V108" s="172">
        <f>+Input!V374</f>
        <v>20.921441999999999</v>
      </c>
      <c r="W108" s="172">
        <f>+Input!W374</f>
        <v>20.921441999999999</v>
      </c>
      <c r="X108" s="172">
        <f>+Input!X374</f>
        <v>20.921441999999999</v>
      </c>
      <c r="Y108" s="172">
        <f>+Input!Y374</f>
        <v>20.921441999999999</v>
      </c>
      <c r="Z108" s="172">
        <f>+Input!Z374</f>
        <v>20.921441999999999</v>
      </c>
      <c r="AA108" s="172"/>
      <c r="AB108" s="173"/>
      <c r="AC108" s="173"/>
      <c r="AD108" s="173"/>
      <c r="AE108" s="173"/>
      <c r="AF108" s="173"/>
      <c r="AG108" s="173"/>
      <c r="AH108" s="173"/>
      <c r="AI108" s="173"/>
      <c r="AJ108" s="173"/>
      <c r="AK108" s="173"/>
      <c r="AL108" s="173"/>
      <c r="AM108" s="173"/>
      <c r="AN108" s="173"/>
      <c r="AO108" s="173"/>
      <c r="AP108" s="173"/>
      <c r="AQ108" s="173"/>
      <c r="AR108" s="173"/>
      <c r="AS108" s="173"/>
      <c r="AT108" s="173"/>
      <c r="AU108" s="173"/>
      <c r="AV108" s="173"/>
      <c r="AW108" s="173"/>
      <c r="AX108" s="173"/>
      <c r="AY108" s="173"/>
      <c r="AZ108" s="173"/>
      <c r="BA108" s="173"/>
    </row>
    <row r="109" spans="1:53" x14ac:dyDescent="0.25">
      <c r="A109" s="115">
        <v>28</v>
      </c>
      <c r="B109" s="116" t="s">
        <v>1273</v>
      </c>
      <c r="C109" s="116" t="s">
        <v>641</v>
      </c>
      <c r="D109" s="118"/>
      <c r="E109" s="118"/>
      <c r="F109" s="118"/>
      <c r="G109" s="118"/>
      <c r="H109" s="118"/>
      <c r="I109" s="118"/>
      <c r="J109" s="119">
        <f>Input!J378</f>
        <v>106.71932934599999</v>
      </c>
      <c r="K109" s="119">
        <f>Input!K378</f>
        <v>156.027758506</v>
      </c>
      <c r="L109" s="119">
        <f>Input!L378</f>
        <v>204.07064098199999</v>
      </c>
      <c r="M109" s="119">
        <f>Input!M378</f>
        <v>249.385783562</v>
      </c>
      <c r="N109" s="119">
        <f>Input!N378</f>
        <v>281.75466900800001</v>
      </c>
      <c r="O109" s="119">
        <f>Input!O378</f>
        <v>326.31662956399998</v>
      </c>
      <c r="P109" s="119">
        <f>Input!P378</f>
        <v>412.215586229</v>
      </c>
      <c r="Q109" s="172">
        <f ca="1">Input!Q378</f>
        <v>582.57640640476131</v>
      </c>
      <c r="R109" s="172">
        <f ca="1">Input!R378</f>
        <v>750.7244000728333</v>
      </c>
      <c r="S109" s="172">
        <f ca="1">Input!S378</f>
        <v>979.42612123416916</v>
      </c>
      <c r="T109" s="172">
        <f ca="1">Input!T378</f>
        <v>1194.6265350385545</v>
      </c>
      <c r="U109" s="172">
        <f ca="1">Input!U378</f>
        <v>1461.2273227803066</v>
      </c>
      <c r="V109" s="172">
        <f ca="1">Input!V378</f>
        <v>1736.2809312932022</v>
      </c>
      <c r="W109" s="172">
        <f ca="1">Input!W378</f>
        <v>1998.2608704695876</v>
      </c>
      <c r="X109" s="172">
        <f ca="1">Input!X378</f>
        <v>2284.4976813002995</v>
      </c>
      <c r="Y109" s="172">
        <f ca="1">Input!Y378</f>
        <v>2511.4196719026427</v>
      </c>
      <c r="Z109" s="172">
        <f ca="1">Input!Z378</f>
        <v>2738.4131239630465</v>
      </c>
      <c r="AA109" s="172"/>
      <c r="AB109" s="173"/>
      <c r="AC109" s="173"/>
      <c r="AD109" s="173"/>
      <c r="AE109" s="173"/>
      <c r="AF109" s="173"/>
      <c r="AG109" s="173"/>
      <c r="AH109" s="173"/>
      <c r="AI109" s="173"/>
      <c r="AJ109" s="173"/>
      <c r="AK109" s="173"/>
      <c r="AL109" s="173"/>
      <c r="AM109" s="173"/>
      <c r="AN109" s="173"/>
      <c r="AO109" s="173"/>
      <c r="AP109" s="173"/>
      <c r="AQ109" s="173"/>
      <c r="AR109" s="173"/>
      <c r="AS109" s="173"/>
      <c r="AT109" s="173"/>
      <c r="AU109" s="173"/>
      <c r="AV109" s="173"/>
      <c r="AW109" s="173"/>
      <c r="AX109" s="173"/>
      <c r="AY109" s="173"/>
      <c r="AZ109" s="173"/>
      <c r="BA109" s="173"/>
    </row>
    <row r="110" spans="1:53" x14ac:dyDescent="0.25">
      <c r="A110" s="115">
        <v>29</v>
      </c>
      <c r="B110" s="116" t="s">
        <v>1320</v>
      </c>
      <c r="C110" s="116" t="s">
        <v>644</v>
      </c>
      <c r="D110" s="118"/>
      <c r="E110" s="118"/>
      <c r="F110" s="118"/>
      <c r="G110" s="118"/>
      <c r="H110" s="118"/>
      <c r="I110" s="118"/>
      <c r="J110" s="119">
        <f>+Input!J382</f>
        <v>28.242535173000022</v>
      </c>
      <c r="K110" s="119">
        <f>+Input!K382</f>
        <v>72.290069868000046</v>
      </c>
      <c r="L110" s="119">
        <f>+Input!L382</f>
        <v>84.228168681999989</v>
      </c>
      <c r="M110" s="119">
        <f>+Input!M382</f>
        <v>96.557063628999998</v>
      </c>
      <c r="N110" s="119">
        <f>+Input!N382</f>
        <v>106.04220985500001</v>
      </c>
      <c r="O110" s="119">
        <f>+Input!O382</f>
        <v>117.59745866600002</v>
      </c>
      <c r="P110" s="119">
        <f>+Input!P382</f>
        <v>125.87992741500011</v>
      </c>
      <c r="Q110" s="172">
        <f ca="1">+Input!Q382</f>
        <v>128.59261932854704</v>
      </c>
      <c r="R110" s="172">
        <f ca="1">+Input!R382</f>
        <v>127.0170880637982</v>
      </c>
      <c r="S110" s="172">
        <f ca="1">+Input!S382</f>
        <v>184.53819706604139</v>
      </c>
      <c r="T110" s="172">
        <f ca="1">+Input!T382</f>
        <v>212.8473116261344</v>
      </c>
      <c r="U110" s="172">
        <f ca="1">+Input!U382</f>
        <v>245.59387122084505</v>
      </c>
      <c r="V110" s="172">
        <f ca="1">+Input!V382</f>
        <v>269.97128433992066</v>
      </c>
      <c r="W110" s="172">
        <f ca="1">+Input!W382</f>
        <v>299.17650499324554</v>
      </c>
      <c r="X110" s="172">
        <f ca="1">+Input!X382</f>
        <v>314.43969469230643</v>
      </c>
      <c r="Y110" s="172">
        <f ca="1">+Input!Y382</f>
        <v>331.79881651353213</v>
      </c>
      <c r="Z110" s="172">
        <f ca="1">+Input!Z382</f>
        <v>350.36518739356859</v>
      </c>
      <c r="AA110" s="172"/>
      <c r="AB110" s="173"/>
      <c r="AC110" s="173"/>
      <c r="AD110" s="173"/>
      <c r="AE110" s="173"/>
      <c r="AF110" s="173"/>
      <c r="AG110" s="173"/>
      <c r="AH110" s="173"/>
      <c r="AI110" s="173"/>
      <c r="AJ110" s="173"/>
      <c r="AK110" s="173"/>
      <c r="AL110" s="173"/>
      <c r="AM110" s="173"/>
      <c r="AN110" s="173"/>
      <c r="AO110" s="173"/>
      <c r="AP110" s="173"/>
      <c r="AQ110" s="173"/>
      <c r="AR110" s="173"/>
      <c r="AS110" s="173"/>
      <c r="AT110" s="173"/>
      <c r="AU110" s="173"/>
      <c r="AV110" s="173"/>
      <c r="AW110" s="173"/>
      <c r="AX110" s="173"/>
      <c r="AY110" s="173"/>
      <c r="AZ110" s="173"/>
      <c r="BA110" s="173"/>
    </row>
    <row r="111" spans="1:53" x14ac:dyDescent="0.25">
      <c r="A111" s="115"/>
      <c r="B111" s="151" t="s">
        <v>321</v>
      </c>
      <c r="C111" s="151" t="s">
        <v>646</v>
      </c>
      <c r="D111" s="152"/>
      <c r="E111" s="152"/>
      <c r="F111" s="152"/>
      <c r="G111" s="152"/>
      <c r="H111" s="152"/>
      <c r="I111" s="152"/>
      <c r="J111" s="374">
        <f>SUM(J106:J110)</f>
        <v>554.14465451900014</v>
      </c>
      <c r="K111" s="374">
        <f t="shared" ref="K111:Z111" si="18">SUM(K106:K110)</f>
        <v>773.02927037399991</v>
      </c>
      <c r="L111" s="374">
        <f t="shared" si="18"/>
        <v>833.01025166399995</v>
      </c>
      <c r="M111" s="374">
        <f t="shared" si="18"/>
        <v>890.65428919099998</v>
      </c>
      <c r="N111" s="374">
        <f t="shared" si="18"/>
        <v>932.50832086299988</v>
      </c>
      <c r="O111" s="374">
        <f t="shared" si="18"/>
        <v>988.62553022999987</v>
      </c>
      <c r="P111" s="374">
        <f t="shared" si="18"/>
        <v>1135.1413956440001</v>
      </c>
      <c r="Q111" s="375">
        <f t="shared" ca="1" si="18"/>
        <v>1308.2149077333083</v>
      </c>
      <c r="R111" s="375">
        <f t="shared" ca="1" si="18"/>
        <v>1474.7873701366314</v>
      </c>
      <c r="S111" s="375">
        <f t="shared" ca="1" si="18"/>
        <v>1761.0102003002107</v>
      </c>
      <c r="T111" s="375">
        <f t="shared" ca="1" si="18"/>
        <v>2004.519728664689</v>
      </c>
      <c r="U111" s="375">
        <f t="shared" ca="1" si="18"/>
        <v>2303.8670760011514</v>
      </c>
      <c r="V111" s="375">
        <f t="shared" ca="1" si="18"/>
        <v>2603.2980976331228</v>
      </c>
      <c r="W111" s="375">
        <f t="shared" ca="1" si="18"/>
        <v>2894.4832574628331</v>
      </c>
      <c r="X111" s="375">
        <f t="shared" ca="1" si="18"/>
        <v>3195.983257992606</v>
      </c>
      <c r="Y111" s="375">
        <f t="shared" ca="1" si="18"/>
        <v>3440.2643704161746</v>
      </c>
      <c r="Z111" s="375">
        <f t="shared" ca="1" si="18"/>
        <v>3685.8241933566151</v>
      </c>
      <c r="AA111" s="375"/>
      <c r="AB111" s="376"/>
      <c r="AC111" s="376"/>
      <c r="AD111" s="376"/>
      <c r="AE111" s="376"/>
      <c r="AF111" s="376"/>
      <c r="AG111" s="376"/>
      <c r="AH111" s="376"/>
      <c r="AI111" s="376"/>
      <c r="AJ111" s="376"/>
      <c r="AK111" s="376"/>
      <c r="AL111" s="376"/>
      <c r="AM111" s="376"/>
      <c r="AN111" s="376"/>
      <c r="AO111" s="376"/>
      <c r="AP111" s="376"/>
      <c r="AQ111" s="376"/>
      <c r="AR111" s="376"/>
      <c r="AS111" s="376"/>
      <c r="AT111" s="376"/>
      <c r="AU111" s="376"/>
      <c r="AV111" s="376"/>
      <c r="AW111" s="376"/>
      <c r="AX111" s="376"/>
      <c r="AY111" s="376"/>
      <c r="AZ111" s="376"/>
      <c r="BA111" s="376"/>
    </row>
    <row r="112" spans="1:53" ht="13.8" thickBot="1" x14ac:dyDescent="0.3">
      <c r="A112" s="115"/>
      <c r="B112" s="448" t="s">
        <v>1321</v>
      </c>
      <c r="C112" s="448" t="s">
        <v>1322</v>
      </c>
      <c r="D112" s="450"/>
      <c r="E112" s="450"/>
      <c r="F112" s="450"/>
      <c r="G112" s="450"/>
      <c r="H112" s="450"/>
      <c r="I112" s="450"/>
      <c r="J112" s="451">
        <f>+J99+J103+J111</f>
        <v>1067.9331976480003</v>
      </c>
      <c r="K112" s="451">
        <f t="shared" ref="K112:Z112" si="19">+K99+K103+K111</f>
        <v>1434.2599540829997</v>
      </c>
      <c r="L112" s="451">
        <f t="shared" si="19"/>
        <v>1544.1900202940001</v>
      </c>
      <c r="M112" s="451">
        <f t="shared" si="19"/>
        <v>1434.340877185</v>
      </c>
      <c r="N112" s="451">
        <f t="shared" si="19"/>
        <v>1620.552920656</v>
      </c>
      <c r="O112" s="451">
        <f t="shared" si="19"/>
        <v>1437.4094367229998</v>
      </c>
      <c r="P112" s="451">
        <f t="shared" si="19"/>
        <v>1553.4944181640001</v>
      </c>
      <c r="Q112" s="452">
        <f t="shared" ca="1" si="19"/>
        <v>2118.7146521174413</v>
      </c>
      <c r="R112" s="452">
        <f t="shared" ca="1" si="19"/>
        <v>2393.1115019692334</v>
      </c>
      <c r="S112" s="452">
        <f t="shared" ca="1" si="19"/>
        <v>2757.0831770043733</v>
      </c>
      <c r="T112" s="452">
        <f t="shared" ca="1" si="19"/>
        <v>2953.9377385449616</v>
      </c>
      <c r="U112" s="452">
        <f t="shared" ca="1" si="19"/>
        <v>3136.9893323021411</v>
      </c>
      <c r="V112" s="452">
        <f t="shared" ca="1" si="19"/>
        <v>3396.8616482631251</v>
      </c>
      <c r="W112" s="452">
        <f t="shared" ca="1" si="19"/>
        <v>3566.890291418641</v>
      </c>
      <c r="X112" s="452">
        <f t="shared" ca="1" si="19"/>
        <v>3898.2513497739646</v>
      </c>
      <c r="Y112" s="452">
        <f t="shared" ca="1" si="19"/>
        <v>4135.7737584808674</v>
      </c>
      <c r="Z112" s="452">
        <f t="shared" ca="1" si="19"/>
        <v>4382.0576156570587</v>
      </c>
      <c r="AA112" s="451"/>
      <c r="AB112" s="453"/>
      <c r="AC112" s="453"/>
      <c r="AD112" s="453"/>
      <c r="AE112" s="453"/>
      <c r="AF112" s="453"/>
      <c r="AG112" s="453"/>
      <c r="AH112" s="453"/>
      <c r="AI112" s="453"/>
      <c r="AJ112" s="453"/>
      <c r="AK112" s="453"/>
      <c r="AL112" s="453"/>
      <c r="AM112" s="453"/>
      <c r="AN112" s="453"/>
      <c r="AO112" s="453"/>
      <c r="AP112" s="453"/>
      <c r="AQ112" s="453"/>
      <c r="AR112" s="453"/>
      <c r="AS112" s="453"/>
      <c r="AT112" s="453"/>
      <c r="AU112" s="453"/>
      <c r="AV112" s="453"/>
      <c r="AW112" s="453"/>
      <c r="AX112" s="453"/>
      <c r="AY112" s="453"/>
      <c r="AZ112" s="453"/>
      <c r="BA112" s="453"/>
    </row>
    <row r="113" spans="1:53" s="746" customFormat="1" ht="13.8" thickTop="1" x14ac:dyDescent="0.25">
      <c r="A113" s="676"/>
      <c r="B113" s="458" t="s">
        <v>1274</v>
      </c>
      <c r="C113" s="458"/>
      <c r="D113" s="542"/>
      <c r="E113" s="542"/>
      <c r="F113" s="542"/>
      <c r="G113" s="542"/>
      <c r="H113" s="542"/>
      <c r="I113" s="542"/>
      <c r="J113" s="543">
        <f>J112-Input!J388</f>
        <v>0</v>
      </c>
      <c r="K113" s="543">
        <f>K112-Input!K388</f>
        <v>0</v>
      </c>
      <c r="L113" s="543">
        <f>L112-Input!L388</f>
        <v>0</v>
      </c>
      <c r="M113" s="543">
        <f>M112-Input!M388</f>
        <v>0</v>
      </c>
      <c r="N113" s="543">
        <f>N112-Input!N388</f>
        <v>0</v>
      </c>
      <c r="O113" s="543">
        <f>O112-Input!O388</f>
        <v>0</v>
      </c>
      <c r="P113" s="543">
        <f>P112-Input!P388</f>
        <v>0</v>
      </c>
      <c r="Q113" s="1880">
        <f ca="1">Q112-Input!Q388</f>
        <v>0</v>
      </c>
      <c r="R113" s="1880">
        <f ca="1">R112-Input!R388</f>
        <v>0</v>
      </c>
      <c r="S113" s="1880">
        <f ca="1">S112-Input!S388</f>
        <v>0</v>
      </c>
      <c r="T113" s="1880">
        <f ca="1">T112-Input!T388</f>
        <v>0</v>
      </c>
      <c r="U113" s="1880">
        <f ca="1">U112-Input!U388</f>
        <v>0</v>
      </c>
      <c r="V113" s="1880">
        <f ca="1">V112-Input!V388</f>
        <v>0</v>
      </c>
      <c r="W113" s="1880">
        <f ca="1">W112-Input!W388</f>
        <v>0</v>
      </c>
      <c r="X113" s="1880">
        <f ca="1">X112-Input!X388</f>
        <v>0</v>
      </c>
      <c r="Y113" s="1880">
        <f ca="1">Y112-Input!Y388</f>
        <v>0</v>
      </c>
      <c r="Z113" s="1880">
        <f ca="1">Z112-Input!Z388</f>
        <v>0</v>
      </c>
      <c r="AA113" s="543"/>
      <c r="AB113" s="542"/>
      <c r="AC113" s="542"/>
      <c r="AD113" s="542"/>
      <c r="AE113" s="542"/>
      <c r="AF113" s="542"/>
      <c r="AG113" s="542"/>
      <c r="AH113" s="542"/>
      <c r="AI113" s="542"/>
      <c r="AJ113" s="542"/>
      <c r="AK113" s="542"/>
      <c r="AL113" s="542"/>
      <c r="AM113" s="542"/>
      <c r="AN113" s="542"/>
      <c r="AO113" s="542"/>
      <c r="AP113" s="542"/>
      <c r="AQ113" s="542"/>
      <c r="AR113" s="542"/>
      <c r="AS113" s="542"/>
      <c r="AT113" s="542"/>
      <c r="AU113" s="542"/>
      <c r="AV113" s="542"/>
      <c r="AW113" s="542"/>
      <c r="AX113" s="542"/>
      <c r="AY113" s="542"/>
      <c r="AZ113" s="542"/>
      <c r="BA113" s="542"/>
    </row>
    <row r="114" spans="1:53" x14ac:dyDescent="0.25">
      <c r="A114" s="658"/>
      <c r="B114" s="730"/>
      <c r="C114" s="730"/>
      <c r="D114" s="731"/>
      <c r="E114" s="731"/>
      <c r="F114" s="731"/>
      <c r="G114" s="731"/>
      <c r="H114" s="731"/>
      <c r="I114" s="731"/>
      <c r="J114" s="731"/>
      <c r="K114" s="731"/>
      <c r="L114" s="731"/>
      <c r="M114" s="731"/>
      <c r="N114" s="731"/>
      <c r="O114" s="731"/>
      <c r="P114" s="732"/>
      <c r="Q114" s="731"/>
      <c r="R114" s="731"/>
      <c r="S114" s="731"/>
      <c r="T114" s="731"/>
      <c r="U114" s="731"/>
      <c r="V114" s="731"/>
      <c r="W114" s="731"/>
      <c r="X114" s="731"/>
      <c r="Y114" s="731"/>
      <c r="Z114" s="731"/>
      <c r="AA114" s="731"/>
      <c r="AB114" s="731"/>
      <c r="AC114" s="731"/>
      <c r="AD114" s="731"/>
      <c r="AE114" s="731"/>
      <c r="AF114" s="731"/>
      <c r="AG114" s="731"/>
      <c r="AH114" s="731"/>
      <c r="AI114" s="731"/>
      <c r="AJ114" s="731"/>
      <c r="AK114" s="731"/>
      <c r="AL114" s="731"/>
      <c r="AM114" s="731"/>
      <c r="AN114" s="731"/>
      <c r="AO114" s="731"/>
      <c r="AP114" s="731"/>
      <c r="AQ114" s="731"/>
      <c r="AR114" s="731"/>
      <c r="AS114" s="731"/>
      <c r="AT114" s="731"/>
      <c r="AU114" s="731"/>
      <c r="AV114" s="731"/>
      <c r="AW114" s="731"/>
      <c r="AX114" s="731"/>
      <c r="AY114" s="731"/>
      <c r="AZ114" s="731"/>
      <c r="BA114" s="731"/>
    </row>
    <row r="115" spans="1:53" x14ac:dyDescent="0.25">
      <c r="A115" s="658"/>
      <c r="B115" s="730"/>
      <c r="C115" s="730"/>
      <c r="D115" s="731"/>
      <c r="E115" s="731"/>
      <c r="F115" s="731"/>
      <c r="G115" s="731"/>
      <c r="H115" s="731"/>
      <c r="I115" s="731"/>
      <c r="J115" s="731"/>
      <c r="K115" s="731"/>
      <c r="L115" s="731"/>
      <c r="M115" s="731"/>
      <c r="N115" s="731"/>
      <c r="O115" s="731"/>
      <c r="P115" s="732"/>
      <c r="Q115" s="731"/>
      <c r="R115" s="731"/>
      <c r="S115" s="731"/>
      <c r="T115" s="731"/>
      <c r="U115" s="731"/>
      <c r="V115" s="731"/>
      <c r="W115" s="731"/>
      <c r="X115" s="731"/>
      <c r="Y115" s="731"/>
      <c r="Z115" s="731"/>
      <c r="AA115" s="731"/>
      <c r="AB115" s="731"/>
      <c r="AC115" s="731"/>
      <c r="AD115" s="731"/>
      <c r="AE115" s="731"/>
      <c r="AF115" s="731"/>
      <c r="AG115" s="731"/>
      <c r="AH115" s="731"/>
      <c r="AI115" s="731"/>
      <c r="AJ115" s="731"/>
      <c r="AK115" s="731"/>
      <c r="AL115" s="731"/>
      <c r="AM115" s="731"/>
      <c r="AN115" s="731"/>
      <c r="AO115" s="731"/>
      <c r="AP115" s="731"/>
      <c r="AQ115" s="731"/>
      <c r="AR115" s="731"/>
      <c r="AS115" s="731"/>
      <c r="AT115" s="731"/>
      <c r="AU115" s="731"/>
      <c r="AV115" s="731"/>
      <c r="AW115" s="731"/>
      <c r="AX115" s="731"/>
      <c r="AY115" s="731"/>
      <c r="AZ115" s="731"/>
      <c r="BA115" s="731"/>
    </row>
    <row r="116" spans="1:53" x14ac:dyDescent="0.25">
      <c r="A116" s="658"/>
      <c r="B116" s="730"/>
      <c r="C116" s="730"/>
      <c r="D116" s="731"/>
      <c r="E116" s="731"/>
      <c r="F116" s="731"/>
      <c r="G116" s="731"/>
      <c r="H116" s="731"/>
      <c r="I116" s="731"/>
      <c r="J116" s="731"/>
      <c r="K116" s="731"/>
      <c r="L116" s="731"/>
      <c r="M116" s="731"/>
      <c r="N116" s="731"/>
      <c r="O116" s="731"/>
      <c r="P116" s="732"/>
      <c r="Q116" s="731"/>
      <c r="R116" s="731"/>
      <c r="S116" s="731"/>
      <c r="T116" s="731"/>
      <c r="U116" s="731"/>
      <c r="V116" s="731"/>
      <c r="W116" s="731"/>
      <c r="X116" s="731"/>
      <c r="Y116" s="731"/>
      <c r="Z116" s="731"/>
      <c r="AA116" s="731"/>
      <c r="AB116" s="731"/>
      <c r="AC116" s="731"/>
      <c r="AD116" s="731"/>
      <c r="AE116" s="731"/>
      <c r="AF116" s="731"/>
      <c r="AG116" s="731"/>
      <c r="AH116" s="731"/>
      <c r="AI116" s="731"/>
      <c r="AJ116" s="731"/>
      <c r="AK116" s="731"/>
      <c r="AL116" s="731"/>
      <c r="AM116" s="731"/>
      <c r="AN116" s="731"/>
      <c r="AO116" s="731"/>
      <c r="AP116" s="731"/>
      <c r="AQ116" s="731"/>
      <c r="AR116" s="731"/>
      <c r="AS116" s="731"/>
      <c r="AT116" s="731"/>
      <c r="AU116" s="731"/>
      <c r="AV116" s="731"/>
      <c r="AW116" s="731"/>
      <c r="AX116" s="731"/>
      <c r="AY116" s="731"/>
      <c r="AZ116" s="731"/>
      <c r="BA116" s="731"/>
    </row>
    <row r="117" spans="1:53" x14ac:dyDescent="0.25">
      <c r="A117" s="658"/>
      <c r="B117" s="730"/>
      <c r="C117" s="730"/>
      <c r="D117" s="731"/>
      <c r="E117" s="731"/>
      <c r="F117" s="731"/>
      <c r="G117" s="731"/>
      <c r="H117" s="731"/>
      <c r="I117" s="731"/>
      <c r="J117" s="731"/>
      <c r="K117" s="731"/>
      <c r="L117" s="731"/>
      <c r="M117" s="731"/>
      <c r="N117" s="731"/>
      <c r="O117" s="731"/>
      <c r="P117" s="732"/>
      <c r="Q117" s="731"/>
      <c r="R117" s="731"/>
      <c r="S117" s="731"/>
      <c r="T117" s="731"/>
      <c r="U117" s="731"/>
      <c r="V117" s="731"/>
      <c r="W117" s="731"/>
      <c r="X117" s="731"/>
      <c r="Y117" s="731"/>
      <c r="Z117" s="731"/>
      <c r="AA117" s="731"/>
      <c r="AB117" s="731"/>
      <c r="AC117" s="731"/>
      <c r="AD117" s="731"/>
      <c r="AE117" s="731"/>
      <c r="AF117" s="731"/>
      <c r="AG117" s="731"/>
      <c r="AH117" s="731"/>
      <c r="AI117" s="731"/>
      <c r="AJ117" s="731"/>
      <c r="AK117" s="731"/>
      <c r="AL117" s="731"/>
      <c r="AM117" s="731"/>
      <c r="AN117" s="731"/>
      <c r="AO117" s="731"/>
      <c r="AP117" s="731"/>
      <c r="AQ117" s="731"/>
      <c r="AR117" s="731"/>
      <c r="AS117" s="731"/>
      <c r="AT117" s="731"/>
      <c r="AU117" s="731"/>
      <c r="AV117" s="731"/>
      <c r="AW117" s="731"/>
      <c r="AX117" s="731"/>
      <c r="AY117" s="731"/>
      <c r="AZ117" s="731"/>
      <c r="BA117" s="731"/>
    </row>
    <row r="118" spans="1:53" x14ac:dyDescent="0.25">
      <c r="A118" s="658"/>
      <c r="B118" s="730"/>
      <c r="C118" s="730"/>
      <c r="D118" s="731"/>
      <c r="E118" s="731"/>
      <c r="F118" s="731"/>
      <c r="G118" s="731"/>
      <c r="H118" s="731"/>
      <c r="I118" s="731"/>
      <c r="J118" s="731"/>
      <c r="K118" s="731"/>
      <c r="L118" s="731"/>
      <c r="M118" s="731"/>
      <c r="N118" s="731"/>
      <c r="O118" s="731"/>
      <c r="P118" s="732"/>
      <c r="Q118" s="731"/>
      <c r="R118" s="731"/>
      <c r="S118" s="731"/>
      <c r="T118" s="731"/>
      <c r="U118" s="731"/>
      <c r="V118" s="731"/>
      <c r="W118" s="731"/>
      <c r="X118" s="731"/>
      <c r="Y118" s="731"/>
      <c r="Z118" s="731"/>
      <c r="AA118" s="731"/>
      <c r="AB118" s="731"/>
      <c r="AC118" s="731"/>
      <c r="AD118" s="731"/>
      <c r="AE118" s="731"/>
      <c r="AF118" s="731"/>
      <c r="AG118" s="731"/>
      <c r="AH118" s="731"/>
      <c r="AI118" s="731"/>
      <c r="AJ118" s="731"/>
      <c r="AK118" s="731"/>
      <c r="AL118" s="731"/>
      <c r="AM118" s="731"/>
      <c r="AN118" s="731"/>
      <c r="AO118" s="731"/>
      <c r="AP118" s="731"/>
      <c r="AQ118" s="731"/>
      <c r="AR118" s="731"/>
      <c r="AS118" s="731"/>
      <c r="AT118" s="731"/>
      <c r="AU118" s="731"/>
      <c r="AV118" s="731"/>
      <c r="AW118" s="731"/>
      <c r="AX118" s="731"/>
      <c r="AY118" s="731"/>
      <c r="AZ118" s="731"/>
      <c r="BA118" s="731"/>
    </row>
    <row r="119" spans="1:53" x14ac:dyDescent="0.25">
      <c r="A119" s="658"/>
      <c r="B119" s="730"/>
      <c r="C119" s="730"/>
      <c r="D119" s="731"/>
      <c r="E119" s="731"/>
      <c r="F119" s="731"/>
      <c r="G119" s="731"/>
      <c r="H119" s="731"/>
      <c r="I119" s="731"/>
      <c r="J119" s="731"/>
      <c r="K119" s="731"/>
      <c r="L119" s="731"/>
      <c r="M119" s="731"/>
      <c r="N119" s="731"/>
      <c r="O119" s="731"/>
      <c r="P119" s="732"/>
      <c r="Q119" s="731"/>
      <c r="R119" s="731"/>
      <c r="S119" s="731"/>
      <c r="T119" s="731"/>
      <c r="U119" s="731"/>
      <c r="V119" s="731"/>
      <c r="W119" s="731"/>
      <c r="X119" s="731"/>
      <c r="Y119" s="731"/>
      <c r="Z119" s="731"/>
      <c r="AA119" s="731"/>
      <c r="AB119" s="731"/>
      <c r="AC119" s="731"/>
      <c r="AD119" s="731"/>
      <c r="AE119" s="731"/>
      <c r="AF119" s="731"/>
      <c r="AG119" s="731"/>
      <c r="AH119" s="731"/>
      <c r="AI119" s="731"/>
      <c r="AJ119" s="731"/>
      <c r="AK119" s="731"/>
      <c r="AL119" s="731"/>
      <c r="AM119" s="731"/>
      <c r="AN119" s="731"/>
      <c r="AO119" s="731"/>
      <c r="AP119" s="731"/>
      <c r="AQ119" s="731"/>
      <c r="AR119" s="731"/>
      <c r="AS119" s="731"/>
      <c r="AT119" s="731"/>
      <c r="AU119" s="731"/>
      <c r="AV119" s="731"/>
      <c r="AW119" s="731"/>
      <c r="AX119" s="731"/>
      <c r="AY119" s="731"/>
      <c r="AZ119" s="731"/>
      <c r="BA119" s="731"/>
    </row>
    <row r="120" spans="1:53" x14ac:dyDescent="0.25">
      <c r="A120" s="658"/>
      <c r="B120" s="730"/>
      <c r="C120" s="730"/>
      <c r="D120" s="731"/>
      <c r="E120" s="731"/>
      <c r="F120" s="731"/>
      <c r="G120" s="731"/>
      <c r="H120" s="731"/>
      <c r="I120" s="731"/>
      <c r="J120" s="731"/>
      <c r="K120" s="731"/>
      <c r="L120" s="731"/>
      <c r="M120" s="731"/>
      <c r="N120" s="731"/>
      <c r="O120" s="731"/>
      <c r="P120" s="732"/>
      <c r="Q120" s="731"/>
      <c r="R120" s="731"/>
      <c r="S120" s="731"/>
      <c r="T120" s="731"/>
      <c r="U120" s="731"/>
      <c r="V120" s="731"/>
      <c r="W120" s="731"/>
      <c r="X120" s="731"/>
      <c r="Y120" s="731"/>
      <c r="Z120" s="731"/>
      <c r="AA120" s="731"/>
      <c r="AB120" s="731"/>
      <c r="AC120" s="731"/>
      <c r="AD120" s="731"/>
      <c r="AE120" s="731"/>
      <c r="AF120" s="731"/>
      <c r="AG120" s="731"/>
      <c r="AH120" s="731"/>
      <c r="AI120" s="731"/>
      <c r="AJ120" s="731"/>
      <c r="AK120" s="731"/>
      <c r="AL120" s="731"/>
      <c r="AM120" s="731"/>
      <c r="AN120" s="731"/>
      <c r="AO120" s="731"/>
      <c r="AP120" s="731"/>
      <c r="AQ120" s="731"/>
      <c r="AR120" s="731"/>
      <c r="AS120" s="731"/>
      <c r="AT120" s="731"/>
      <c r="AU120" s="731"/>
      <c r="AV120" s="731"/>
      <c r="AW120" s="731"/>
      <c r="AX120" s="731"/>
      <c r="AY120" s="731"/>
      <c r="AZ120" s="731"/>
      <c r="BA120" s="731"/>
    </row>
    <row r="121" spans="1:53" x14ac:dyDescent="0.25">
      <c r="M121" s="642"/>
      <c r="P121" s="737"/>
    </row>
    <row r="122" spans="1:53" x14ac:dyDescent="0.25">
      <c r="M122" s="642"/>
      <c r="P122" s="737"/>
    </row>
    <row r="123" spans="1:53" x14ac:dyDescent="0.25">
      <c r="M123" s="642"/>
      <c r="P123" s="737"/>
    </row>
    <row r="124" spans="1:53" x14ac:dyDescent="0.25">
      <c r="A124" s="768">
        <f>'Consol. Rev.'!B1</f>
        <v>1</v>
      </c>
      <c r="D124" s="29"/>
      <c r="E124" s="29"/>
      <c r="F124" s="103"/>
      <c r="G124" s="103"/>
      <c r="H124" s="103"/>
      <c r="I124" s="103"/>
      <c r="J124" s="103"/>
      <c r="K124" s="103"/>
      <c r="L124" s="103"/>
      <c r="M124" s="103"/>
      <c r="N124" s="639"/>
      <c r="O124" s="639"/>
      <c r="P124" s="640"/>
      <c r="Q124" s="641"/>
      <c r="R124" s="641"/>
      <c r="S124" s="641"/>
      <c r="T124" s="641"/>
      <c r="U124" s="641"/>
      <c r="V124" s="641"/>
      <c r="W124" s="641"/>
      <c r="X124" s="641"/>
      <c r="Y124" s="641"/>
      <c r="Z124" s="641"/>
      <c r="AA124" s="641"/>
      <c r="AB124" s="641"/>
      <c r="AC124" s="641"/>
      <c r="AD124" s="641"/>
      <c r="AE124" s="641"/>
      <c r="AF124" s="641"/>
      <c r="AG124" s="641"/>
      <c r="AH124" s="641"/>
      <c r="AI124" s="641"/>
      <c r="AJ124" s="641"/>
      <c r="AK124" s="641"/>
      <c r="AL124" s="641"/>
      <c r="AM124" s="641"/>
      <c r="AN124" s="641"/>
      <c r="AO124" s="641"/>
      <c r="AP124" s="641"/>
      <c r="AQ124" s="641"/>
      <c r="AR124" s="641"/>
      <c r="AS124" s="641"/>
      <c r="AT124" s="641"/>
      <c r="AU124" s="641"/>
      <c r="AV124" s="641"/>
      <c r="AW124" s="641"/>
      <c r="AX124" s="641"/>
      <c r="AY124" s="641"/>
      <c r="AZ124" s="641"/>
      <c r="BA124" s="641"/>
    </row>
    <row r="125" spans="1:53" x14ac:dyDescent="0.25">
      <c r="A125" s="642"/>
      <c r="B125" s="2376" t="s">
        <v>1323</v>
      </c>
      <c r="C125" s="2378" t="s">
        <v>1324</v>
      </c>
      <c r="D125" s="42"/>
      <c r="E125" s="42"/>
      <c r="F125" s="643"/>
      <c r="G125" s="643"/>
      <c r="H125" s="643"/>
      <c r="I125" s="643"/>
      <c r="J125" s="643"/>
      <c r="K125" s="643"/>
      <c r="L125" s="643"/>
      <c r="M125" s="643"/>
      <c r="N125" s="643"/>
      <c r="O125" s="643"/>
      <c r="P125" s="1163"/>
      <c r="Q125" s="645"/>
      <c r="R125" s="645"/>
      <c r="S125" s="645"/>
      <c r="T125" s="645"/>
      <c r="U125" s="645"/>
      <c r="V125" s="645"/>
      <c r="W125" s="645"/>
      <c r="X125" s="645"/>
      <c r="Y125" s="645"/>
      <c r="Z125" s="645"/>
      <c r="AA125" s="645"/>
      <c r="AB125" s="645"/>
      <c r="AC125" s="645"/>
      <c r="AD125" s="645"/>
      <c r="AE125" s="645"/>
      <c r="AF125" s="645"/>
      <c r="AG125" s="645"/>
      <c r="AH125" s="645"/>
      <c r="AI125" s="645"/>
      <c r="AJ125" s="645"/>
      <c r="AK125" s="645"/>
      <c r="AL125" s="645"/>
      <c r="AM125" s="645"/>
      <c r="AN125" s="645"/>
      <c r="AO125" s="645"/>
      <c r="AP125" s="645"/>
      <c r="AQ125" s="645"/>
      <c r="AR125" s="645"/>
      <c r="AS125" s="645"/>
      <c r="AT125" s="645"/>
      <c r="AU125" s="645"/>
      <c r="AV125" s="645"/>
      <c r="AW125" s="645"/>
      <c r="AX125" s="645"/>
      <c r="AY125" s="645"/>
      <c r="AZ125" s="645"/>
      <c r="BA125" s="645"/>
    </row>
    <row r="126" spans="1:53" ht="13.8" thickBot="1" x14ac:dyDescent="0.3">
      <c r="A126" s="642"/>
      <c r="B126" s="2377"/>
      <c r="C126" s="2380"/>
      <c r="D126" s="739"/>
      <c r="E126" s="648"/>
      <c r="F126" s="648"/>
      <c r="G126" s="648"/>
      <c r="H126" s="648"/>
      <c r="I126" s="648"/>
      <c r="J126" s="648">
        <f>J3</f>
        <v>42369</v>
      </c>
      <c r="K126" s="648">
        <f t="shared" ref="K126:Z126" si="20">K3</f>
        <v>42735</v>
      </c>
      <c r="L126" s="648">
        <f t="shared" si="20"/>
        <v>43100</v>
      </c>
      <c r="M126" s="648">
        <f t="shared" si="20"/>
        <v>43465</v>
      </c>
      <c r="N126" s="648">
        <f t="shared" si="20"/>
        <v>43830</v>
      </c>
      <c r="O126" s="648">
        <f t="shared" si="20"/>
        <v>44196</v>
      </c>
      <c r="P126" s="649">
        <f t="shared" si="20"/>
        <v>44561</v>
      </c>
      <c r="Q126" s="648">
        <f t="shared" si="20"/>
        <v>44926</v>
      </c>
      <c r="R126" s="648">
        <f t="shared" si="20"/>
        <v>45291</v>
      </c>
      <c r="S126" s="648">
        <f t="shared" si="20"/>
        <v>45657</v>
      </c>
      <c r="T126" s="648">
        <f t="shared" si="20"/>
        <v>46022</v>
      </c>
      <c r="U126" s="648">
        <f t="shared" si="20"/>
        <v>46387</v>
      </c>
      <c r="V126" s="648">
        <f t="shared" si="20"/>
        <v>46752</v>
      </c>
      <c r="W126" s="648">
        <f t="shared" si="20"/>
        <v>47118</v>
      </c>
      <c r="X126" s="648">
        <f t="shared" si="20"/>
        <v>47483</v>
      </c>
      <c r="Y126" s="648">
        <f t="shared" si="20"/>
        <v>47848</v>
      </c>
      <c r="Z126" s="648">
        <f t="shared" si="20"/>
        <v>48213</v>
      </c>
      <c r="AA126" s="650"/>
      <c r="AB126" s="650"/>
      <c r="AC126" s="650"/>
      <c r="AD126" s="650"/>
      <c r="AE126" s="650"/>
      <c r="AF126" s="650"/>
      <c r="AG126" s="650"/>
      <c r="AH126" s="650"/>
      <c r="AI126" s="650"/>
      <c r="AJ126" s="650"/>
      <c r="AK126" s="650"/>
      <c r="AL126" s="650"/>
      <c r="AM126" s="650"/>
      <c r="AN126" s="650"/>
      <c r="AO126" s="650"/>
      <c r="AP126" s="650"/>
      <c r="AQ126" s="650"/>
      <c r="AR126" s="650"/>
      <c r="AS126" s="650"/>
      <c r="AT126" s="650"/>
      <c r="AU126" s="650"/>
      <c r="AV126" s="650"/>
      <c r="AW126" s="650"/>
      <c r="AX126" s="650"/>
      <c r="AY126" s="650"/>
      <c r="AZ126" s="650"/>
      <c r="BA126" s="650"/>
    </row>
    <row r="127" spans="1:53" ht="13.8" thickTop="1" x14ac:dyDescent="0.25">
      <c r="A127" s="642"/>
      <c r="B127" s="29"/>
      <c r="C127" s="29"/>
      <c r="D127" s="769"/>
      <c r="E127" s="66"/>
      <c r="F127" s="66"/>
      <c r="G127" s="66"/>
      <c r="H127" s="66"/>
      <c r="I127" s="66"/>
      <c r="J127" s="66"/>
      <c r="K127" s="66"/>
      <c r="L127" s="66"/>
      <c r="M127" s="66"/>
      <c r="N127" s="66"/>
      <c r="O127" s="66"/>
      <c r="P127" s="1892"/>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c r="BA127" s="66"/>
    </row>
    <row r="128" spans="1:53" x14ac:dyDescent="0.25">
      <c r="A128" s="642"/>
      <c r="B128" s="29" t="s">
        <v>1325</v>
      </c>
      <c r="C128" s="29" t="s">
        <v>466</v>
      </c>
      <c r="D128" s="66"/>
      <c r="E128" s="118"/>
      <c r="F128" s="118"/>
      <c r="G128" s="118"/>
      <c r="H128" s="118"/>
      <c r="I128" s="118"/>
      <c r="J128" s="119">
        <f>'Output-FR (check)'!J28</f>
        <v>273.85551143199996</v>
      </c>
      <c r="K128" s="119">
        <f>'Output-FR (check)'!K28</f>
        <v>175.88104429099994</v>
      </c>
      <c r="L128" s="119">
        <f>'Output-FR (check)'!L28</f>
        <v>203.59644863799997</v>
      </c>
      <c r="M128" s="119">
        <f>'Output-FR (check)'!M28</f>
        <v>201.02634409800007</v>
      </c>
      <c r="N128" s="119">
        <f>'Output-FR (check)'!N28</f>
        <v>174.01328670199999</v>
      </c>
      <c r="O128" s="119">
        <f>'Output-FR (check)'!O28</f>
        <v>193.19131539699998</v>
      </c>
      <c r="P128" s="671">
        <f>'Output-FR (check)'!P28</f>
        <v>233.06110302600004</v>
      </c>
      <c r="Q128" s="172">
        <f ca="1">'Output-FR (check)'!Q28</f>
        <v>290.2039048745666</v>
      </c>
      <c r="R128" s="172">
        <f ca="1">'Output-FR (check)'!R28</f>
        <v>286.64829392527963</v>
      </c>
      <c r="S128" s="172">
        <f ca="1">'Output-FR (check)'!S28</f>
        <v>416.46017995986801</v>
      </c>
      <c r="T128" s="172">
        <f ca="1">'Output-FR (check)'!T28</f>
        <v>480.34732707435768</v>
      </c>
      <c r="U128" s="172">
        <f ca="1">'Output-FR (check)'!U28</f>
        <v>554.2487649268104</v>
      </c>
      <c r="V128" s="172">
        <f ca="1">'Output-FR (check)'!V28</f>
        <v>609.26296803454466</v>
      </c>
      <c r="W128" s="172">
        <f ca="1">'Output-FR (check)'!W28</f>
        <v>675.17242007443087</v>
      </c>
      <c r="X128" s="172">
        <f ca="1">'Output-FR (check)'!X28</f>
        <v>709.61792149307576</v>
      </c>
      <c r="Y128" s="172">
        <f ca="1">'Output-FR (check)'!Y28</f>
        <v>748.79345865856419</v>
      </c>
      <c r="Z128" s="172">
        <f ca="1">'Output-FR (check)'!Z28</f>
        <v>790.69347871313585</v>
      </c>
      <c r="AA128" s="172"/>
      <c r="AB128" s="173"/>
      <c r="AC128" s="173"/>
      <c r="AD128" s="173"/>
      <c r="AE128" s="173"/>
      <c r="AF128" s="173"/>
      <c r="AG128" s="173"/>
      <c r="AH128" s="173"/>
      <c r="AI128" s="173"/>
      <c r="AJ128" s="173"/>
      <c r="AK128" s="173"/>
      <c r="AL128" s="173"/>
      <c r="AM128" s="173"/>
      <c r="AN128" s="173"/>
      <c r="AO128" s="173"/>
      <c r="AP128" s="173"/>
      <c r="AQ128" s="173"/>
      <c r="AR128" s="173"/>
      <c r="AS128" s="173"/>
      <c r="AT128" s="173"/>
      <c r="AU128" s="173"/>
      <c r="AV128" s="173"/>
      <c r="AW128" s="173"/>
      <c r="AX128" s="173"/>
      <c r="AY128" s="173"/>
      <c r="AZ128" s="173"/>
      <c r="BA128" s="173"/>
    </row>
    <row r="129" spans="1:55" x14ac:dyDescent="0.25">
      <c r="A129" s="642"/>
      <c r="B129" s="770"/>
      <c r="C129" s="770"/>
      <c r="D129" s="66"/>
      <c r="E129" s="66"/>
      <c r="F129" s="66"/>
      <c r="G129" s="66"/>
      <c r="H129" s="66"/>
      <c r="I129" s="66"/>
      <c r="J129" s="66"/>
      <c r="K129" s="66"/>
      <c r="L129" s="66"/>
      <c r="M129" s="66"/>
      <c r="N129" s="66"/>
      <c r="O129" s="66"/>
      <c r="P129" s="303"/>
      <c r="Q129" s="208"/>
      <c r="R129" s="208"/>
      <c r="S129" s="208"/>
      <c r="T129" s="208"/>
      <c r="U129" s="208"/>
      <c r="V129" s="208"/>
      <c r="W129" s="208"/>
      <c r="X129" s="208"/>
      <c r="Y129" s="208"/>
      <c r="Z129" s="208"/>
      <c r="AA129" s="208"/>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row>
    <row r="130" spans="1:55" x14ac:dyDescent="0.25">
      <c r="A130" s="642"/>
      <c r="B130" s="771" t="s">
        <v>1327</v>
      </c>
      <c r="C130" s="771" t="s">
        <v>1328</v>
      </c>
      <c r="D130" s="66"/>
      <c r="E130" s="66"/>
      <c r="F130" s="66"/>
      <c r="G130" s="66"/>
      <c r="H130" s="66"/>
      <c r="I130" s="66"/>
      <c r="J130" s="66"/>
      <c r="K130" s="66"/>
      <c r="L130" s="66"/>
      <c r="M130" s="66"/>
      <c r="N130" s="66"/>
      <c r="O130" s="66"/>
      <c r="P130" s="303"/>
      <c r="Q130" s="208"/>
      <c r="R130" s="208"/>
      <c r="S130" s="208"/>
      <c r="T130" s="208"/>
      <c r="U130" s="208"/>
      <c r="V130" s="208"/>
      <c r="W130" s="208"/>
      <c r="X130" s="208"/>
      <c r="Y130" s="208"/>
      <c r="Z130" s="208"/>
      <c r="AA130" s="208"/>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c r="BA130" s="66"/>
    </row>
    <row r="131" spans="1:55" x14ac:dyDescent="0.25">
      <c r="A131" s="642"/>
      <c r="B131" s="770" t="s">
        <v>1255</v>
      </c>
      <c r="C131" s="770" t="s">
        <v>1329</v>
      </c>
      <c r="D131" s="66"/>
      <c r="E131" s="118"/>
      <c r="F131" s="118"/>
      <c r="G131" s="118"/>
      <c r="H131" s="118"/>
      <c r="I131" s="118"/>
      <c r="J131" s="119">
        <f>IF(ISTEXT('CF Raw'!J$11),('CF Raw'!J16+'CF Raw'!J17)/'Output-FR (check)'!$A$124,'Output-FR (check)'!J15)</f>
        <v>39.216981767999997</v>
      </c>
      <c r="K131" s="119">
        <f>IF(ISTEXT('CF Raw'!K$11),('CF Raw'!K16+'CF Raw'!K17)/'Output-FR (check)'!$A$124,'Output-FR (check)'!K15)</f>
        <v>33.793831392000001</v>
      </c>
      <c r="L131" s="119">
        <f>IF(ISTEXT('CF Raw'!L$11),('CF Raw'!L16+'CF Raw'!L17)/'Output-FR (check)'!$A$124,'Output-FR (check)'!L15)</f>
        <v>36.81384233</v>
      </c>
      <c r="M131" s="119">
        <f>IF(ISTEXT('CF Raw'!M$11),('CF Raw'!M16+'CF Raw'!M17)/'Output-FR (check)'!$A$124,'Output-FR (check)'!M15)</f>
        <v>36.516915462</v>
      </c>
      <c r="N131" s="119">
        <f>IF(ISTEXT('CF Raw'!N$11),('CF Raw'!N16+'CF Raw'!N17)/'Output-FR (check)'!$A$124,'Output-FR (check)'!N15)</f>
        <v>27.945021708999999</v>
      </c>
      <c r="O131" s="119">
        <f>IF(ISTEXT('CF Raw'!O$11),('CF Raw'!O16+'CF Raw'!O17)/'Output-FR (check)'!$A$124,'Output-FR (check)'!O15)</f>
        <v>31.808990529999999</v>
      </c>
      <c r="P131" s="671">
        <f>IF(ISTEXT('CF Raw'!P$11),('CF Raw'!P16+'CF Raw'!P17)/'Output-FR (check)'!$A$124,'Output-FR (check)'!P15)</f>
        <v>40.674128404000001</v>
      </c>
      <c r="Q131" s="172">
        <f>IF(ISTEXT('CF Raw'!Q$11),('CF Raw'!Q16+'CF Raw'!Q17)/'Output-FR (check)'!$A$124,'Output-FR (check)'!Q15)</f>
        <v>101.71289197524426</v>
      </c>
      <c r="R131" s="172">
        <f>IF(ISTEXT('CF Raw'!R$11),('CF Raw'!R16+'CF Raw'!R17)/'Output-FR (check)'!$A$124,'Output-FR (check)'!R15)</f>
        <v>133.59326505145162</v>
      </c>
      <c r="S131" s="172">
        <f>IF(ISTEXT('CF Raw'!S$11),('CF Raw'!S16+'CF Raw'!S17)/'Output-FR (check)'!$A$124,'Output-FR (check)'!S15)</f>
        <v>140.73852797752977</v>
      </c>
      <c r="T131" s="172">
        <f>IF(ISTEXT('CF Raw'!T$11),('CF Raw'!T16+'CF Raw'!T17)/'Output-FR (check)'!$A$124,'Output-FR (check)'!T15)</f>
        <v>99.91127477701157</v>
      </c>
      <c r="U131" s="172">
        <f>IF(ISTEXT('CF Raw'!U$11),('CF Raw'!U16+'CF Raw'!U17)/'Output-FR (check)'!$A$124,'Output-FR (check)'!U15)</f>
        <v>98.416263781680655</v>
      </c>
      <c r="V131" s="172">
        <f>IF(ISTEXT('CF Raw'!V$11),('CF Raw'!V16+'CF Raw'!V17)/'Output-FR (check)'!$A$124,'Output-FR (check)'!V15)</f>
        <v>107.27935621901526</v>
      </c>
      <c r="W131" s="172">
        <f>IF(ISTEXT('CF Raw'!W$11),('CF Raw'!W16+'CF Raw'!W17)/'Output-FR (check)'!$A$124,'Output-FR (check)'!W15)</f>
        <v>116.95323100091025</v>
      </c>
      <c r="X131" s="172">
        <f>IF(ISTEXT('CF Raw'!X$11),('CF Raw'!X16+'CF Raw'!X17)/'Output-FR (check)'!$A$124,'Output-FR (check)'!X15)</f>
        <v>125.34044754634992</v>
      </c>
      <c r="Y131" s="172">
        <f>IF(ISTEXT('CF Raw'!Y$11),('CF Raw'!Y16+'CF Raw'!Y17)/'Output-FR (check)'!$A$124,'Output-FR (check)'!Y15)</f>
        <v>134.08280931157887</v>
      </c>
      <c r="Z131" s="172">
        <f>IF(ISTEXT('CF Raw'!Z$11),('CF Raw'!Z16+'CF Raw'!Z17)/'Output-FR (check)'!$A$124,'Output-FR (check)'!Z15)</f>
        <v>143.21281857534004</v>
      </c>
      <c r="AA131" s="172"/>
      <c r="AB131" s="173"/>
      <c r="AC131" s="173"/>
      <c r="AD131" s="173"/>
      <c r="AE131" s="173"/>
      <c r="AF131" s="173"/>
      <c r="AG131" s="173"/>
      <c r="AH131" s="173"/>
      <c r="AI131" s="173"/>
      <c r="AJ131" s="173"/>
      <c r="AK131" s="173"/>
      <c r="AL131" s="173"/>
      <c r="AM131" s="173"/>
      <c r="AN131" s="173"/>
      <c r="AO131" s="173"/>
      <c r="AP131" s="173"/>
      <c r="AQ131" s="173"/>
      <c r="AR131" s="173"/>
      <c r="AS131" s="173"/>
      <c r="AT131" s="173"/>
      <c r="AU131" s="173"/>
      <c r="AV131" s="173"/>
      <c r="AW131" s="173"/>
      <c r="AX131" s="173"/>
      <c r="AY131" s="173"/>
      <c r="AZ131" s="173"/>
      <c r="BA131" s="173"/>
      <c r="BC131" s="750"/>
    </row>
    <row r="132" spans="1:55" x14ac:dyDescent="0.25">
      <c r="A132" s="642"/>
      <c r="B132" s="770" t="s">
        <v>1326</v>
      </c>
      <c r="C132" s="770"/>
      <c r="D132" s="66"/>
      <c r="E132" s="118"/>
      <c r="F132" s="118"/>
      <c r="G132" s="118"/>
      <c r="H132" s="118"/>
      <c r="I132" s="118"/>
      <c r="J132" s="119">
        <f>IF(ISTEXT('CF Raw'!J$11),'CF Raw'!J18/'Output-FR (check)'!$A$124,0)</f>
        <v>25.788018605000001</v>
      </c>
      <c r="K132" s="119">
        <f>IF(ISTEXT('CF Raw'!K$11),'CF Raw'!K18/'Output-FR (check)'!$A$124,0)</f>
        <v>-5.1495657809999997</v>
      </c>
      <c r="L132" s="119">
        <f>IF(ISTEXT('CF Raw'!L$11),'CF Raw'!L18/'Output-FR (check)'!$A$124,0)</f>
        <v>-2.6443794220000001</v>
      </c>
      <c r="M132" s="119">
        <f>IF(ISTEXT('CF Raw'!M$11),'CF Raw'!M18/'Output-FR (check)'!$A$124,0)</f>
        <v>1.120705235</v>
      </c>
      <c r="N132" s="119">
        <f>IF(ISTEXT('CF Raw'!N$11),'CF Raw'!N18/'Output-FR (check)'!$A$124,0)</f>
        <v>14.547849369</v>
      </c>
      <c r="O132" s="119">
        <f>IF(ISTEXT('CF Raw'!O$11),'CF Raw'!O18/'Output-FR (check)'!$A$124,0)</f>
        <v>14.288446894</v>
      </c>
      <c r="P132" s="671">
        <f>IF(ISTEXT('CF Raw'!P$11),'CF Raw'!P18/'Output-FR (check)'!$A$124,0)</f>
        <v>14.288446894</v>
      </c>
      <c r="Q132" s="172">
        <f>IF(ISTEXT('CF Raw'!Q$11),'CF Raw'!Q18/'Output-FR (check)'!$A$124,0)</f>
        <v>0</v>
      </c>
      <c r="R132" s="172">
        <f>IF(ISTEXT('CF Raw'!R$11),'CF Raw'!R18/'Output-FR (check)'!$A$124,0)</f>
        <v>0</v>
      </c>
      <c r="S132" s="172">
        <f>IF(ISTEXT('CF Raw'!S$11),'CF Raw'!S18/'Output-FR (check)'!$A$124,0)</f>
        <v>0</v>
      </c>
      <c r="T132" s="172">
        <f>IF(ISTEXT('CF Raw'!T$11),'CF Raw'!T18/'Output-FR (check)'!$A$124,0)</f>
        <v>0</v>
      </c>
      <c r="U132" s="172">
        <f>IF(ISTEXT('CF Raw'!U$11),'CF Raw'!U18/'Output-FR (check)'!$A$124,0)</f>
        <v>0</v>
      </c>
      <c r="V132" s="172">
        <f>IF(ISTEXT('CF Raw'!V$11),'CF Raw'!V18/'Output-FR (check)'!$A$124,0)</f>
        <v>0</v>
      </c>
      <c r="W132" s="172">
        <f>IF(ISTEXT('CF Raw'!W$11),'CF Raw'!W18/'Output-FR (check)'!$A$124,0)</f>
        <v>0</v>
      </c>
      <c r="X132" s="172">
        <f>IF(ISTEXT('CF Raw'!X$11),'CF Raw'!X18/'Output-FR (check)'!$A$124,0)</f>
        <v>0</v>
      </c>
      <c r="Y132" s="172">
        <f>IF(ISTEXT('CF Raw'!Y$11),'CF Raw'!Y18/'Output-FR (check)'!$A$124,0)</f>
        <v>0</v>
      </c>
      <c r="Z132" s="172">
        <f>IF(ISTEXT('CF Raw'!Z$11),'CF Raw'!Z18/'Output-FR (check)'!$A$124,0)</f>
        <v>0</v>
      </c>
      <c r="AA132" s="172"/>
      <c r="AB132" s="173"/>
      <c r="AC132" s="173"/>
      <c r="AD132" s="173"/>
      <c r="AE132" s="173"/>
      <c r="AF132" s="173"/>
      <c r="AG132" s="173"/>
      <c r="AH132" s="173"/>
      <c r="AI132" s="173"/>
      <c r="AJ132" s="173"/>
      <c r="AK132" s="173"/>
      <c r="AL132" s="173"/>
      <c r="AM132" s="173"/>
      <c r="AN132" s="173"/>
      <c r="AO132" s="173"/>
      <c r="AP132" s="173"/>
      <c r="AQ132" s="173"/>
      <c r="AR132" s="173"/>
      <c r="AS132" s="173"/>
      <c r="AT132" s="173"/>
      <c r="AU132" s="173"/>
      <c r="AV132" s="173"/>
      <c r="AW132" s="173"/>
      <c r="AX132" s="173"/>
      <c r="AY132" s="173"/>
      <c r="AZ132" s="173"/>
      <c r="BA132" s="173"/>
    </row>
    <row r="133" spans="1:55" x14ac:dyDescent="0.25">
      <c r="A133" s="642"/>
      <c r="B133" s="770" t="s">
        <v>1330</v>
      </c>
      <c r="C133" s="770"/>
      <c r="D133" s="66"/>
      <c r="E133" s="118"/>
      <c r="F133" s="118"/>
      <c r="G133" s="118"/>
      <c r="H133" s="118"/>
      <c r="I133" s="118"/>
      <c r="J133" s="119">
        <f>IF(ISTEXT('CF Raw'!J$11),'CF Raw'!J19/$A$124,0)</f>
        <v>-0.42643000599999997</v>
      </c>
      <c r="K133" s="119">
        <f>IF(ISTEXT('CF Raw'!K$11),'CF Raw'!K19/$A$124,0)</f>
        <v>0.30575327499999999</v>
      </c>
      <c r="L133" s="119">
        <f>IF(ISTEXT('CF Raw'!L$11),'CF Raw'!L19/$A$124,0)</f>
        <v>-3.7498219999999999E-3</v>
      </c>
      <c r="M133" s="119">
        <f>IF(ISTEXT('CF Raw'!M$11),'CF Raw'!M19/$A$124,0)</f>
        <v>-8.9566700999999999E-2</v>
      </c>
      <c r="N133" s="119">
        <f>IF(ISTEXT('CF Raw'!N$11),'CF Raw'!N19/$A$124,0)</f>
        <v>6.9131554999999997E-2</v>
      </c>
      <c r="O133" s="119">
        <f>IF(ISTEXT('CF Raw'!O$11),'CF Raw'!O19/$A$124,0)</f>
        <v>0.69521357399999995</v>
      </c>
      <c r="P133" s="671">
        <f>IF(ISTEXT('CF Raw'!P$11),'CF Raw'!P19/$A$124,0)</f>
        <v>0</v>
      </c>
      <c r="Q133" s="172">
        <f>IF(ISTEXT('CF Raw'!Q$11),'CF Raw'!Q19/$A$124,0)</f>
        <v>0</v>
      </c>
      <c r="R133" s="172">
        <f>IF(ISTEXT('CF Raw'!R$11),'CF Raw'!R19/$A$124,0)</f>
        <v>0</v>
      </c>
      <c r="S133" s="172">
        <f>IF(ISTEXT('CF Raw'!S$11),'CF Raw'!S19/$A$124,0)</f>
        <v>0</v>
      </c>
      <c r="T133" s="172">
        <f>IF(ISTEXT('CF Raw'!T$11),'CF Raw'!T19/$A$124,0)</f>
        <v>0</v>
      </c>
      <c r="U133" s="172">
        <f>IF(ISTEXT('CF Raw'!U$11),'CF Raw'!U19/$A$124,0)</f>
        <v>0</v>
      </c>
      <c r="V133" s="172">
        <f>IF(ISTEXT('CF Raw'!V$11),'CF Raw'!V19/$A$124,0)</f>
        <v>0</v>
      </c>
      <c r="W133" s="172">
        <f>IF(ISTEXT('CF Raw'!W$11),'CF Raw'!W19/$A$124,0)</f>
        <v>0</v>
      </c>
      <c r="X133" s="172">
        <f>IF(ISTEXT('CF Raw'!X$11),'CF Raw'!X19/$A$124,0)</f>
        <v>0</v>
      </c>
      <c r="Y133" s="172">
        <f>IF(ISTEXT('CF Raw'!Y$11),'CF Raw'!Y19/$A$124,0)</f>
        <v>0</v>
      </c>
      <c r="Z133" s="172">
        <f>IF(ISTEXT('CF Raw'!Z$11),'CF Raw'!Z19/$A$124,0)</f>
        <v>0</v>
      </c>
      <c r="AA133" s="172"/>
      <c r="AB133" s="173"/>
      <c r="AC133" s="173"/>
      <c r="AD133" s="173"/>
      <c r="AE133" s="173"/>
      <c r="AF133" s="173"/>
      <c r="AG133" s="173"/>
      <c r="AH133" s="173"/>
      <c r="AI133" s="173"/>
      <c r="AJ133" s="173"/>
      <c r="AK133" s="173"/>
      <c r="AL133" s="173"/>
      <c r="AM133" s="173"/>
      <c r="AN133" s="173"/>
      <c r="AO133" s="173"/>
      <c r="AP133" s="173"/>
      <c r="AQ133" s="173"/>
      <c r="AR133" s="173"/>
      <c r="AS133" s="173"/>
      <c r="AT133" s="173"/>
      <c r="AU133" s="173"/>
      <c r="AV133" s="173"/>
      <c r="AW133" s="173"/>
      <c r="AX133" s="173"/>
      <c r="AY133" s="173"/>
      <c r="AZ133" s="173"/>
      <c r="BA133" s="173"/>
    </row>
    <row r="134" spans="1:55" x14ac:dyDescent="0.25">
      <c r="A134" s="642"/>
      <c r="B134" s="770" t="s">
        <v>1331</v>
      </c>
      <c r="C134" s="770"/>
      <c r="D134" s="66"/>
      <c r="E134" s="118"/>
      <c r="F134" s="118"/>
      <c r="G134" s="118"/>
      <c r="H134" s="118"/>
      <c r="I134" s="118"/>
      <c r="J134" s="119">
        <f>+J135+J136</f>
        <v>-47.816327004000001</v>
      </c>
      <c r="K134" s="119">
        <f t="shared" ref="K134:Z134" si="21">+K135+K136</f>
        <v>-25.707873975999998</v>
      </c>
      <c r="L134" s="119">
        <f t="shared" si="21"/>
        <v>-25.735579961999999</v>
      </c>
      <c r="M134" s="119">
        <f t="shared" si="21"/>
        <v>-26.3237326</v>
      </c>
      <c r="N134" s="119">
        <f t="shared" si="21"/>
        <v>-27.37118619</v>
      </c>
      <c r="O134" s="119">
        <f t="shared" si="21"/>
        <v>-24.246804957999998</v>
      </c>
      <c r="P134" s="671">
        <f t="shared" si="21"/>
        <v>-24.246804957999998</v>
      </c>
      <c r="Q134" s="172">
        <f t="shared" ca="1" si="21"/>
        <v>-17.147038332660816</v>
      </c>
      <c r="R134" s="172">
        <f t="shared" ca="1" si="21"/>
        <v>-22.538510309889645</v>
      </c>
      <c r="S134" s="172">
        <f t="shared" ca="1" si="21"/>
        <v>-25.72823050976745</v>
      </c>
      <c r="T134" s="172">
        <f t="shared" ca="1" si="21"/>
        <v>-32.164055639101129</v>
      </c>
      <c r="U134" s="172">
        <f t="shared" ca="1" si="21"/>
        <v>-40.591249862676456</v>
      </c>
      <c r="V134" s="172">
        <f t="shared" ca="1" si="21"/>
        <v>-52.437401326562984</v>
      </c>
      <c r="W134" s="172">
        <f t="shared" ca="1" si="21"/>
        <v>-64.008195179952637</v>
      </c>
      <c r="X134" s="172">
        <f t="shared" ca="1" si="21"/>
        <v>-72.94463897556561</v>
      </c>
      <c r="Y134" s="172">
        <f t="shared" ca="1" si="21"/>
        <v>-85.079387646910135</v>
      </c>
      <c r="Z134" s="172">
        <f t="shared" ca="1" si="21"/>
        <v>-97.600234564623094</v>
      </c>
      <c r="AA134" s="172"/>
      <c r="AB134" s="173"/>
      <c r="AC134" s="173"/>
      <c r="AD134" s="173"/>
      <c r="AE134" s="173"/>
      <c r="AF134" s="173"/>
      <c r="AG134" s="173"/>
      <c r="AH134" s="173"/>
      <c r="AI134" s="173"/>
      <c r="AJ134" s="173"/>
      <c r="AK134" s="173"/>
      <c r="AL134" s="173"/>
      <c r="AM134" s="173"/>
      <c r="AN134" s="173"/>
      <c r="AO134" s="173"/>
      <c r="AP134" s="173"/>
      <c r="AQ134" s="173"/>
      <c r="AR134" s="173"/>
      <c r="AS134" s="173"/>
      <c r="AT134" s="173"/>
      <c r="AU134" s="173"/>
      <c r="AV134" s="173"/>
      <c r="AW134" s="173"/>
      <c r="AX134" s="173"/>
      <c r="AY134" s="173"/>
      <c r="AZ134" s="173"/>
      <c r="BA134" s="173"/>
    </row>
    <row r="135" spans="1:55" x14ac:dyDescent="0.25">
      <c r="A135" s="677"/>
      <c r="B135" s="2237" t="s">
        <v>1924</v>
      </c>
      <c r="C135" s="772" t="s">
        <v>1332</v>
      </c>
      <c r="D135" s="679"/>
      <c r="E135" s="696"/>
      <c r="F135" s="696"/>
      <c r="G135" s="696"/>
      <c r="H135" s="696"/>
      <c r="I135" s="696"/>
      <c r="J135" s="697">
        <f>IF(ISTEXT('CF Raw'!J$11),'CF Raw'!J20/'Output-FR (check)'!$A$124,-'Output-FR (check)'!J25)</f>
        <v>0</v>
      </c>
      <c r="K135" s="697">
        <f>IF(ISTEXT('CF Raw'!K$11),'CF Raw'!K20/'Output-FR (check)'!$A$124,-'Output-FR (check)'!K25)</f>
        <v>0</v>
      </c>
      <c r="L135" s="697">
        <f>IF(ISTEXT('CF Raw'!L$11),'CF Raw'!L20/'Output-FR (check)'!$A$124,-'Output-FR (check)'!L25)</f>
        <v>0</v>
      </c>
      <c r="M135" s="697">
        <f>IF(ISTEXT('CF Raw'!M$11),'CF Raw'!M20/'Output-FR (check)'!$A$124,-'Output-FR (check)'!M25)</f>
        <v>0</v>
      </c>
      <c r="N135" s="697">
        <f>IF(ISTEXT('CF Raw'!N$11),'CF Raw'!N20/'Output-FR (check)'!$A$124,-'Output-FR (check)'!N25)</f>
        <v>0</v>
      </c>
      <c r="O135" s="697">
        <f>IF(ISTEXT('CF Raw'!O$11),'CF Raw'!O20/'Output-FR (check)'!$A$124,-'Output-FR (check)'!O25)</f>
        <v>0</v>
      </c>
      <c r="P135" s="698">
        <f>IF(ISTEXT('CF Raw'!P$11),'CF Raw'!P20/'Output-FR (check)'!$A$124,-'Output-FR (check)'!P25)</f>
        <v>0</v>
      </c>
      <c r="Q135" s="699">
        <f>IF(ISTEXT('CF Raw'!Q$11),'CF Raw'!Q20/'Output-FR (check)'!$A$124,-'Output-FR (check)'!Q25)</f>
        <v>0</v>
      </c>
      <c r="R135" s="699">
        <f>IF(ISTEXT('CF Raw'!R$11),'CF Raw'!R20/'Output-FR (check)'!$A$124,-'Output-FR (check)'!R25)</f>
        <v>0</v>
      </c>
      <c r="S135" s="699">
        <f>IF(ISTEXT('CF Raw'!S$11),'CF Raw'!S20/'Output-FR (check)'!$A$124,-'Output-FR (check)'!S25)</f>
        <v>0</v>
      </c>
      <c r="T135" s="699">
        <f>IF(ISTEXT('CF Raw'!T$11),'CF Raw'!T20/'Output-FR (check)'!$A$124,-'Output-FR (check)'!T25)</f>
        <v>0</v>
      </c>
      <c r="U135" s="699">
        <f>IF(ISTEXT('CF Raw'!U$11),'CF Raw'!U20/'Output-FR (check)'!$A$124,-'Output-FR (check)'!U25)</f>
        <v>0</v>
      </c>
      <c r="V135" s="699">
        <f>IF(ISTEXT('CF Raw'!V$11),'CF Raw'!V20/'Output-FR (check)'!$A$124,-'Output-FR (check)'!V25)</f>
        <v>0</v>
      </c>
      <c r="W135" s="699">
        <f>IF(ISTEXT('CF Raw'!W$11),'CF Raw'!W20/'Output-FR (check)'!$A$124,-'Output-FR (check)'!W25)</f>
        <v>0</v>
      </c>
      <c r="X135" s="699">
        <f>IF(ISTEXT('CF Raw'!X$11),'CF Raw'!X20/'Output-FR (check)'!$A$124,-'Output-FR (check)'!X25)</f>
        <v>0</v>
      </c>
      <c r="Y135" s="699">
        <f>IF(ISTEXT('CF Raw'!Y$11),'CF Raw'!Y20/'Output-FR (check)'!$A$124,-'Output-FR (check)'!Y25)</f>
        <v>0</v>
      </c>
      <c r="Z135" s="699">
        <f>IF(ISTEXT('CF Raw'!Z$11),'CF Raw'!Z20/'Output-FR (check)'!$A$124,-'Output-FR (check)'!Z25)</f>
        <v>0</v>
      </c>
      <c r="AA135" s="699"/>
      <c r="AB135" s="700"/>
      <c r="AC135" s="700"/>
      <c r="AD135" s="700"/>
      <c r="AE135" s="700"/>
      <c r="AF135" s="700"/>
      <c r="AG135" s="700"/>
      <c r="AH135" s="700"/>
      <c r="AI135" s="700"/>
      <c r="AJ135" s="700"/>
      <c r="AK135" s="700"/>
      <c r="AL135" s="700"/>
      <c r="AM135" s="700"/>
      <c r="AN135" s="700"/>
      <c r="AO135" s="700"/>
      <c r="AP135" s="700"/>
      <c r="AQ135" s="700"/>
      <c r="AR135" s="700"/>
      <c r="AS135" s="700"/>
      <c r="AT135" s="700"/>
      <c r="AU135" s="700"/>
      <c r="AV135" s="700"/>
      <c r="AW135" s="700"/>
      <c r="AX135" s="700"/>
      <c r="AY135" s="700"/>
      <c r="AZ135" s="700"/>
      <c r="BA135" s="700"/>
    </row>
    <row r="136" spans="1:55" x14ac:dyDescent="0.25">
      <c r="A136" s="677"/>
      <c r="B136" s="2237" t="s">
        <v>1925</v>
      </c>
      <c r="C136" s="772"/>
      <c r="D136" s="679"/>
      <c r="E136" s="696"/>
      <c r="F136" s="696"/>
      <c r="G136" s="696"/>
      <c r="H136" s="696"/>
      <c r="I136" s="696"/>
      <c r="J136" s="697">
        <f>IF(ISTEXT('CF Raw'!J$11),'CF Raw'!J21/'Output-FR (check)'!$A$124,-'Output-FR (check)'!J21)</f>
        <v>-47.816327004000001</v>
      </c>
      <c r="K136" s="697">
        <f>IF(ISTEXT('CF Raw'!K$11),'CF Raw'!K21/'Output-FR (check)'!$A$124,-'Output-FR (check)'!K21)</f>
        <v>-25.707873975999998</v>
      </c>
      <c r="L136" s="697">
        <f>IF(ISTEXT('CF Raw'!L$11),'CF Raw'!L21/'Output-FR (check)'!$A$124,-'Output-FR (check)'!L21)</f>
        <v>-25.735579961999999</v>
      </c>
      <c r="M136" s="697">
        <f>IF(ISTEXT('CF Raw'!M$11),'CF Raw'!M21/'Output-FR (check)'!$A$124,-'Output-FR (check)'!M21)</f>
        <v>-26.3237326</v>
      </c>
      <c r="N136" s="697">
        <f>IF(ISTEXT('CF Raw'!N$11),'CF Raw'!N21/'Output-FR (check)'!$A$124,-'Output-FR (check)'!N21)</f>
        <v>-27.37118619</v>
      </c>
      <c r="O136" s="697">
        <f>IF(ISTEXT('CF Raw'!O$11),'CF Raw'!O21/'Output-FR (check)'!$A$124,-'Output-FR (check)'!O21)</f>
        <v>-24.246804957999998</v>
      </c>
      <c r="P136" s="698">
        <f>IF(ISTEXT('CF Raw'!P$11),'CF Raw'!P21/'Output-FR (check)'!$A$124,-'Output-FR (check)'!P21)</f>
        <v>-24.246804957999998</v>
      </c>
      <c r="Q136" s="699">
        <f ca="1">IF(ISTEXT('CF Raw'!Q$11),'CF Raw'!Q21/'Output-FR (check)'!$A$124,-'Output-FR (check)'!Q21)</f>
        <v>-17.147038332660816</v>
      </c>
      <c r="R136" s="699">
        <f ca="1">IF(ISTEXT('CF Raw'!R$11),'CF Raw'!R21/'Output-FR (check)'!$A$124,-'Output-FR (check)'!R21)</f>
        <v>-22.538510309889645</v>
      </c>
      <c r="S136" s="699">
        <f ca="1">IF(ISTEXT('CF Raw'!S$11),'CF Raw'!S21/'Output-FR (check)'!$A$124,-'Output-FR (check)'!S21)</f>
        <v>-25.72823050976745</v>
      </c>
      <c r="T136" s="699">
        <f ca="1">IF(ISTEXT('CF Raw'!T$11),'CF Raw'!T21/'Output-FR (check)'!$A$124,-'Output-FR (check)'!T21)</f>
        <v>-32.164055639101129</v>
      </c>
      <c r="U136" s="699">
        <f ca="1">IF(ISTEXT('CF Raw'!U$11),'CF Raw'!U21/'Output-FR (check)'!$A$124,-'Output-FR (check)'!U21)</f>
        <v>-40.591249862676456</v>
      </c>
      <c r="V136" s="699">
        <f ca="1">IF(ISTEXT('CF Raw'!V$11),'CF Raw'!V21/'Output-FR (check)'!$A$124,-'Output-FR (check)'!V21)</f>
        <v>-52.437401326562984</v>
      </c>
      <c r="W136" s="699">
        <f ca="1">IF(ISTEXT('CF Raw'!W$11),'CF Raw'!W21/'Output-FR (check)'!$A$124,-'Output-FR (check)'!W21)</f>
        <v>-64.008195179952637</v>
      </c>
      <c r="X136" s="699">
        <f ca="1">IF(ISTEXT('CF Raw'!X$11),'CF Raw'!X21/'Output-FR (check)'!$A$124,-'Output-FR (check)'!X21)</f>
        <v>-72.94463897556561</v>
      </c>
      <c r="Y136" s="699">
        <f ca="1">IF(ISTEXT('CF Raw'!Y$11),'CF Raw'!Y21/'Output-FR (check)'!$A$124,-'Output-FR (check)'!Y21)</f>
        <v>-85.079387646910135</v>
      </c>
      <c r="Z136" s="699">
        <f ca="1">IF(ISTEXT('CF Raw'!Z$11),'CF Raw'!Z21/'Output-FR (check)'!$A$124,-'Output-FR (check)'!Z21)</f>
        <v>-97.600234564623094</v>
      </c>
      <c r="AA136" s="699"/>
      <c r="AB136" s="700"/>
      <c r="AC136" s="700"/>
      <c r="AD136" s="700"/>
      <c r="AE136" s="700"/>
      <c r="AF136" s="700"/>
      <c r="AG136" s="700"/>
      <c r="AH136" s="700"/>
      <c r="AI136" s="700"/>
      <c r="AJ136" s="700"/>
      <c r="AK136" s="700"/>
      <c r="AL136" s="700"/>
      <c r="AM136" s="700"/>
      <c r="AN136" s="700"/>
      <c r="AO136" s="700"/>
      <c r="AP136" s="700"/>
      <c r="AQ136" s="700"/>
      <c r="AR136" s="700"/>
      <c r="AS136" s="700"/>
      <c r="AT136" s="700"/>
      <c r="AU136" s="700"/>
      <c r="AV136" s="700"/>
      <c r="AW136" s="700"/>
      <c r="AX136" s="700"/>
      <c r="AY136" s="700"/>
      <c r="AZ136" s="700"/>
      <c r="BA136" s="700"/>
    </row>
    <row r="137" spans="1:55" s="779" customFormat="1" x14ac:dyDescent="0.25">
      <c r="A137" s="773"/>
      <c r="B137" s="2238" t="s">
        <v>1926</v>
      </c>
      <c r="C137" s="774"/>
      <c r="D137" s="775"/>
      <c r="E137" s="776"/>
      <c r="F137" s="776"/>
      <c r="G137" s="776"/>
      <c r="H137" s="776"/>
      <c r="I137" s="776"/>
      <c r="J137" s="2239">
        <f>-Input!J60</f>
        <v>0</v>
      </c>
      <c r="K137" s="2239">
        <f>-Input!K60</f>
        <v>0</v>
      </c>
      <c r="L137" s="2239">
        <f>-Input!L60</f>
        <v>0</v>
      </c>
      <c r="M137" s="2239">
        <f>-Input!M60</f>
        <v>0</v>
      </c>
      <c r="N137" s="2239">
        <f>-Input!N60</f>
        <v>0</v>
      </c>
      <c r="O137" s="2239">
        <f>-Input!O60</f>
        <v>0</v>
      </c>
      <c r="P137" s="2240">
        <f>-Input!P60</f>
        <v>0</v>
      </c>
      <c r="Q137" s="777">
        <f ca="1">-Input!Q60</f>
        <v>-0.49001040887241598</v>
      </c>
      <c r="R137" s="777">
        <f ca="1">-Input!R60</f>
        <v>-0.68284456770133584</v>
      </c>
      <c r="S137" s="777">
        <f ca="1">-Input!S60</f>
        <v>-0.24740198902860497</v>
      </c>
      <c r="T137" s="777">
        <f ca="1">-Input!T60</f>
        <v>-0.17648897314760989</v>
      </c>
      <c r="U137" s="777">
        <f ca="1">-Input!U60</f>
        <v>-0.22905285447382595</v>
      </c>
      <c r="V137" s="777">
        <f ca="1">-Input!V60</f>
        <v>-0.11276057762400907</v>
      </c>
      <c r="W137" s="777">
        <f ca="1">-Input!W60</f>
        <v>-0.14724957193282245</v>
      </c>
      <c r="X137" s="777">
        <f ca="1">-Input!X60</f>
        <v>-0.36627085280907962</v>
      </c>
      <c r="Y137" s="777">
        <f ca="1">-Input!Y60</f>
        <v>-0.37929094513214262</v>
      </c>
      <c r="Z137" s="777">
        <f ca="1">-Input!Z60</f>
        <v>-0.39059683601589607</v>
      </c>
      <c r="AA137" s="777"/>
      <c r="AB137" s="778"/>
      <c r="AC137" s="778"/>
      <c r="AD137" s="778"/>
      <c r="AE137" s="778"/>
      <c r="AF137" s="778"/>
      <c r="AG137" s="778"/>
      <c r="AH137" s="778"/>
      <c r="AI137" s="778"/>
      <c r="AJ137" s="778"/>
      <c r="AK137" s="778"/>
      <c r="AL137" s="778"/>
      <c r="AM137" s="778"/>
      <c r="AN137" s="778"/>
      <c r="AO137" s="778"/>
      <c r="AP137" s="778"/>
      <c r="AQ137" s="778"/>
      <c r="AR137" s="778"/>
      <c r="AS137" s="778"/>
      <c r="AT137" s="778"/>
      <c r="AU137" s="778"/>
      <c r="AV137" s="778"/>
      <c r="AW137" s="778"/>
      <c r="AX137" s="778"/>
      <c r="AY137" s="778"/>
      <c r="AZ137" s="778"/>
      <c r="BA137" s="778"/>
    </row>
    <row r="138" spans="1:55" x14ac:dyDescent="0.25">
      <c r="A138" s="642"/>
      <c r="B138" s="770" t="s">
        <v>1333</v>
      </c>
      <c r="C138" s="770"/>
      <c r="D138" s="66"/>
      <c r="E138" s="118"/>
      <c r="F138" s="118"/>
      <c r="G138" s="118"/>
      <c r="H138" s="118"/>
      <c r="I138" s="118"/>
      <c r="J138" s="119">
        <f>IF(ISTEXT('CF Raw'!J$11),'CF Raw'!J22/'Output-FR (check)'!$A$124,'Output-FR (check)'!J23)</f>
        <v>5.4477752500000003</v>
      </c>
      <c r="K138" s="119">
        <f>IF(ISTEXT('CF Raw'!K$11),'CF Raw'!K22/'Output-FR (check)'!$A$124,'Output-FR (check)'!K23)</f>
        <v>4.4980130369999998</v>
      </c>
      <c r="L138" s="119">
        <f>IF(ISTEXT('CF Raw'!L$11),'CF Raw'!L22/'Output-FR (check)'!$A$124,'Output-FR (check)'!L23)</f>
        <v>6.8281941420000001</v>
      </c>
      <c r="M138" s="119">
        <f>IF(ISTEXT('CF Raw'!M$11),'CF Raw'!M22/'Output-FR (check)'!$A$124,'Output-FR (check)'!M23)</f>
        <v>8.3658396649999993</v>
      </c>
      <c r="N138" s="119">
        <f>IF(ISTEXT('CF Raw'!N$11),'CF Raw'!N22/'Output-FR (check)'!$A$124,'Output-FR (check)'!N23)</f>
        <v>10.314154786</v>
      </c>
      <c r="O138" s="119">
        <f>IF(ISTEXT('CF Raw'!O$11),'CF Raw'!O22/'Output-FR (check)'!$A$124,'Output-FR (check)'!O23)</f>
        <v>6.5888547370000001</v>
      </c>
      <c r="P138" s="671">
        <f>IF(ISTEXT('CF Raw'!P$11),'CF Raw'!P22/'Output-FR (check)'!$A$124,'Output-FR (check)'!P23)</f>
        <v>1.3245273529999999</v>
      </c>
      <c r="Q138" s="172">
        <f ca="1">IF(ISTEXT('CF Raw'!Q$11),'CF Raw'!Q22/'Output-FR (check)'!$A$124,'Output-FR (check)'!Q23)</f>
        <v>12.916923249096442</v>
      </c>
      <c r="R138" s="172">
        <f ca="1">IF(ISTEXT('CF Raw'!R$11),'CF Raw'!R22/'Output-FR (check)'!$A$124,'Output-FR (check)'!R23)</f>
        <v>22.838884529150331</v>
      </c>
      <c r="S138" s="172">
        <f ca="1">IF(ISTEXT('CF Raw'!S$11),'CF Raw'!S22/'Output-FR (check)'!$A$124,'Output-FR (check)'!S23)</f>
        <v>24.366173368748793</v>
      </c>
      <c r="T138" s="172">
        <f ca="1">IF(ISTEXT('CF Raw'!T$11),'CF Raw'!T22/'Output-FR (check)'!$A$124,'Output-FR (check)'!T23)</f>
        <v>19.843671313066856</v>
      </c>
      <c r="U138" s="172">
        <f ca="1">IF(ISTEXT('CF Raw'!U$11),'CF Raw'!U22/'Output-FR (check)'!$A$124,'Output-FR (check)'!U23)</f>
        <v>15.160595635021753</v>
      </c>
      <c r="V138" s="172">
        <f ca="1">IF(ISTEXT('CF Raw'!V$11),'CF Raw'!V22/'Output-FR (check)'!$A$124,'Output-FR (check)'!V23)</f>
        <v>11.043318682656746</v>
      </c>
      <c r="W138" s="172">
        <f ca="1">IF(ISTEXT('CF Raw'!W$11),'CF Raw'!W22/'Output-FR (check)'!$A$124,'Output-FR (check)'!W23)</f>
        <v>8.2279871133458933</v>
      </c>
      <c r="X138" s="172">
        <f ca="1">IF(ISTEXT('CF Raw'!X$11),'CF Raw'!X22/'Output-FR (check)'!$A$124,'Output-FR (check)'!X23)</f>
        <v>7.8933156905878956</v>
      </c>
      <c r="Y138" s="172">
        <f ca="1">IF(ISTEXT('CF Raw'!Y$11),'CF Raw'!Y22/'Output-FR (check)'!$A$124,'Output-FR (check)'!Y23)</f>
        <v>8.1675499886462966</v>
      </c>
      <c r="Z138" s="172">
        <f ca="1">IF(ISTEXT('CF Raw'!Z$11),'CF Raw'!Z22/'Output-FR (check)'!$A$124,'Output-FR (check)'!Z23)</f>
        <v>8.4450135190520097</v>
      </c>
      <c r="AA138" s="119"/>
      <c r="AB138" s="173"/>
      <c r="AC138" s="173"/>
      <c r="AD138" s="173"/>
      <c r="AE138" s="173"/>
      <c r="AF138" s="173"/>
      <c r="AG138" s="173"/>
      <c r="AH138" s="173"/>
      <c r="AI138" s="173"/>
      <c r="AJ138" s="173"/>
      <c r="AK138" s="173"/>
      <c r="AL138" s="173"/>
      <c r="AM138" s="173"/>
      <c r="AN138" s="173"/>
      <c r="AO138" s="173"/>
      <c r="AP138" s="173"/>
      <c r="AQ138" s="173"/>
      <c r="AR138" s="173"/>
      <c r="AS138" s="173"/>
      <c r="AT138" s="173"/>
      <c r="AU138" s="173"/>
      <c r="AV138" s="173"/>
      <c r="AW138" s="173"/>
      <c r="AX138" s="173"/>
      <c r="AY138" s="173"/>
      <c r="AZ138" s="173"/>
      <c r="BA138" s="173"/>
    </row>
    <row r="139" spans="1:55" x14ac:dyDescent="0.25">
      <c r="A139" s="642"/>
      <c r="B139" s="770" t="s">
        <v>1334</v>
      </c>
      <c r="C139" s="770"/>
      <c r="D139" s="66"/>
      <c r="E139" s="118"/>
      <c r="F139" s="118"/>
      <c r="G139" s="118"/>
      <c r="H139" s="118"/>
      <c r="I139" s="118"/>
      <c r="J139" s="119">
        <f>IF(ISTEXT('CF Raw'!J$11),'CF Raw'!J24/$A$124,0)</f>
        <v>12</v>
      </c>
      <c r="K139" s="119">
        <f>IF(ISTEXT('CF Raw'!K$11),'CF Raw'!K24/$A$124,0)</f>
        <v>17</v>
      </c>
      <c r="L139" s="119">
        <f>IF(ISTEXT('CF Raw'!L$11),'CF Raw'!L24/$A$124,0)</f>
        <v>15</v>
      </c>
      <c r="M139" s="119">
        <f>IF(ISTEXT('CF Raw'!M$11),'CF Raw'!M24/$A$124,0)</f>
        <v>0</v>
      </c>
      <c r="N139" s="119">
        <f>IF(ISTEXT('CF Raw'!N$11),'CF Raw'!N24/$A$124,0)</f>
        <v>-1.5017455</v>
      </c>
      <c r="O139" s="119">
        <f>IF(ISTEXT('CF Raw'!O$11),'CF Raw'!O24/$A$124,0)</f>
        <v>1.4646581000000001E-2</v>
      </c>
      <c r="P139" s="671">
        <f>IF(ISTEXT('CF Raw'!P$11),'CF Raw'!P24/$A$124,0)</f>
        <v>0</v>
      </c>
      <c r="Q139" s="172">
        <f>IF(ISTEXT('CF Raw'!Q$11),'CF Raw'!Q24/$A$124,0)</f>
        <v>0</v>
      </c>
      <c r="R139" s="172">
        <f>IF(ISTEXT('CF Raw'!R$11),'CF Raw'!R24/$A$124,0)</f>
        <v>0</v>
      </c>
      <c r="S139" s="172">
        <f>IF(ISTEXT('CF Raw'!S$11),'CF Raw'!S24/$A$124,0)</f>
        <v>0</v>
      </c>
      <c r="T139" s="172">
        <f>IF(ISTEXT('CF Raw'!T$11),'CF Raw'!T24/$A$124,0)</f>
        <v>0</v>
      </c>
      <c r="U139" s="172">
        <f>IF(ISTEXT('CF Raw'!U$11),'CF Raw'!U24/$A$124,0)</f>
        <v>0</v>
      </c>
      <c r="V139" s="172">
        <f>IF(ISTEXT('CF Raw'!V$11),'CF Raw'!V24/$A$124,0)</f>
        <v>0</v>
      </c>
      <c r="W139" s="172">
        <f>IF(ISTEXT('CF Raw'!W$11),'CF Raw'!W24/$A$124,0)</f>
        <v>0</v>
      </c>
      <c r="X139" s="172">
        <f>IF(ISTEXT('CF Raw'!X$11),'CF Raw'!X24/$A$124,0)</f>
        <v>0</v>
      </c>
      <c r="Y139" s="172">
        <f>IF(ISTEXT('CF Raw'!Y$11),'CF Raw'!Y24/$A$124,0)</f>
        <v>0</v>
      </c>
      <c r="Z139" s="172">
        <f>IF(ISTEXT('CF Raw'!Z$11),'CF Raw'!Z24/$A$124,0)</f>
        <v>0</v>
      </c>
      <c r="AA139" s="172"/>
      <c r="AB139" s="173"/>
      <c r="AC139" s="173"/>
      <c r="AD139" s="173"/>
      <c r="AE139" s="173"/>
      <c r="AF139" s="173"/>
      <c r="AG139" s="173"/>
      <c r="AH139" s="173"/>
      <c r="AI139" s="173"/>
      <c r="AJ139" s="173"/>
      <c r="AK139" s="173"/>
      <c r="AL139" s="173"/>
      <c r="AM139" s="173"/>
      <c r="AN139" s="173"/>
      <c r="AO139" s="173"/>
      <c r="AP139" s="173"/>
      <c r="AQ139" s="173"/>
      <c r="AR139" s="173"/>
      <c r="AS139" s="173"/>
      <c r="AT139" s="173"/>
      <c r="AU139" s="173"/>
      <c r="AV139" s="173"/>
      <c r="AW139" s="173"/>
      <c r="AX139" s="173"/>
      <c r="AY139" s="173"/>
      <c r="AZ139" s="173"/>
      <c r="BA139" s="173"/>
    </row>
    <row r="140" spans="1:55" x14ac:dyDescent="0.25">
      <c r="A140" s="780"/>
      <c r="B140" s="771" t="s">
        <v>1335</v>
      </c>
      <c r="C140" s="771" t="s">
        <v>1336</v>
      </c>
      <c r="D140" s="44"/>
      <c r="E140" s="152"/>
      <c r="F140" s="152"/>
      <c r="G140" s="152"/>
      <c r="H140" s="152"/>
      <c r="I140" s="152"/>
      <c r="J140" s="374">
        <f>+J128+J131+J132+J133+J134+J138+J139</f>
        <v>308.06553004499995</v>
      </c>
      <c r="K140" s="374">
        <f t="shared" ref="K140:Z140" si="22">+K128+K131+K132+K133+K134+K138+K139</f>
        <v>200.62120223799991</v>
      </c>
      <c r="L140" s="374">
        <f t="shared" si="22"/>
        <v>233.85477590399998</v>
      </c>
      <c r="M140" s="374">
        <f t="shared" si="22"/>
        <v>220.6165051590001</v>
      </c>
      <c r="N140" s="374">
        <f t="shared" si="22"/>
        <v>198.016512431</v>
      </c>
      <c r="O140" s="374">
        <f t="shared" si="22"/>
        <v>222.34066275499998</v>
      </c>
      <c r="P140" s="767">
        <f t="shared" si="22"/>
        <v>265.10140071900008</v>
      </c>
      <c r="Q140" s="375">
        <f t="shared" ca="1" si="22"/>
        <v>387.68668176624647</v>
      </c>
      <c r="R140" s="375">
        <f t="shared" ca="1" si="22"/>
        <v>420.54193319599193</v>
      </c>
      <c r="S140" s="375">
        <f t="shared" ca="1" si="22"/>
        <v>555.83665079637922</v>
      </c>
      <c r="T140" s="375">
        <f t="shared" ca="1" si="22"/>
        <v>567.93821752533495</v>
      </c>
      <c r="U140" s="375">
        <f t="shared" ca="1" si="22"/>
        <v>627.23437448083632</v>
      </c>
      <c r="V140" s="375">
        <f t="shared" ca="1" si="22"/>
        <v>675.14824160965361</v>
      </c>
      <c r="W140" s="375">
        <f t="shared" ca="1" si="22"/>
        <v>736.34544300873438</v>
      </c>
      <c r="X140" s="375">
        <f t="shared" ca="1" si="22"/>
        <v>769.90704575444795</v>
      </c>
      <c r="Y140" s="375">
        <f t="shared" ca="1" si="22"/>
        <v>805.96443031187925</v>
      </c>
      <c r="Z140" s="375">
        <f t="shared" ca="1" si="22"/>
        <v>844.7510762429049</v>
      </c>
      <c r="AA140" s="375"/>
      <c r="AB140" s="376"/>
      <c r="AC140" s="376"/>
      <c r="AD140" s="376"/>
      <c r="AE140" s="376"/>
      <c r="AF140" s="376"/>
      <c r="AG140" s="376"/>
      <c r="AH140" s="376"/>
      <c r="AI140" s="376"/>
      <c r="AJ140" s="376"/>
      <c r="AK140" s="376"/>
      <c r="AL140" s="376"/>
      <c r="AM140" s="376"/>
      <c r="AN140" s="376"/>
      <c r="AO140" s="376"/>
      <c r="AP140" s="376"/>
      <c r="AQ140" s="376"/>
      <c r="AR140" s="376"/>
      <c r="AS140" s="376"/>
      <c r="AT140" s="376"/>
      <c r="AU140" s="376"/>
      <c r="AV140" s="376"/>
      <c r="AW140" s="376"/>
      <c r="AX140" s="376"/>
      <c r="AY140" s="376"/>
      <c r="AZ140" s="376"/>
      <c r="BA140" s="376"/>
    </row>
    <row r="141" spans="1:55" x14ac:dyDescent="0.25">
      <c r="A141" s="642"/>
      <c r="B141" s="770"/>
      <c r="C141" s="770"/>
      <c r="D141" s="66"/>
      <c r="E141" s="118"/>
      <c r="F141" s="118"/>
      <c r="G141" s="118"/>
      <c r="H141" s="118"/>
      <c r="I141" s="118"/>
      <c r="J141" s="118"/>
      <c r="K141" s="118"/>
      <c r="L141" s="118"/>
      <c r="M141" s="118"/>
      <c r="N141" s="118"/>
      <c r="O141" s="118"/>
      <c r="P141" s="218"/>
      <c r="Q141" s="173"/>
      <c r="R141" s="173"/>
      <c r="S141" s="173"/>
      <c r="T141" s="173"/>
      <c r="U141" s="173"/>
      <c r="V141" s="173"/>
      <c r="W141" s="173"/>
      <c r="X141" s="173"/>
      <c r="Y141" s="173"/>
      <c r="Z141" s="173"/>
      <c r="AA141" s="118"/>
      <c r="AB141" s="118"/>
      <c r="AC141" s="118"/>
      <c r="AD141" s="118"/>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c r="BA141" s="118"/>
    </row>
    <row r="142" spans="1:55" x14ac:dyDescent="0.25">
      <c r="A142" s="642"/>
      <c r="B142" s="770" t="s">
        <v>1337</v>
      </c>
      <c r="C142" s="770" t="s">
        <v>1338</v>
      </c>
      <c r="D142" s="66"/>
      <c r="E142" s="118"/>
      <c r="F142" s="118"/>
      <c r="G142" s="118"/>
      <c r="H142" s="118"/>
      <c r="I142" s="118"/>
      <c r="J142" s="119">
        <f>IF(ISTEXT('CF Raw'!J$11),'CF Raw'!J26/'Output-FR (check)'!$A$124,('Output-FR (check)'!I63-'Output-FR (check)'!J63)+('Output-FR (check)'!I69-'Output-FR (check)'!J69)+('Output-FR (check)'!I65-'Output-FR (check)'!J65)+('Output-FR (check)'!I76-'Output-FR (check)'!J76))</f>
        <v>131.732486094</v>
      </c>
      <c r="K142" s="119">
        <f>IF(ISTEXT('CF Raw'!K$11),'CF Raw'!K26/'Output-FR (check)'!$A$124,('Output-FR (check)'!J63-'Output-FR (check)'!K63)+('Output-FR (check)'!J69-'Output-FR (check)'!K69)+('Output-FR (check)'!J65-'Output-FR (check)'!K65)+('Output-FR (check)'!J76-'Output-FR (check)'!K76))</f>
        <v>-94.864570333000003</v>
      </c>
      <c r="L142" s="119">
        <f>IF(ISTEXT('CF Raw'!L$11),'CF Raw'!L26/'Output-FR (check)'!$A$124,('Output-FR (check)'!K63-'Output-FR (check)'!L63)+('Output-FR (check)'!K69-'Output-FR (check)'!L69)+('Output-FR (check)'!K65-'Output-FR (check)'!L65)+('Output-FR (check)'!K76-'Output-FR (check)'!L76))</f>
        <v>-27.298477963</v>
      </c>
      <c r="M142" s="119">
        <f>IF(ISTEXT('CF Raw'!M$11),'CF Raw'!M26/'Output-FR (check)'!$A$124,('Output-FR (check)'!L63-'Output-FR (check)'!M63)+('Output-FR (check)'!L69-'Output-FR (check)'!M69)+('Output-FR (check)'!L65-'Output-FR (check)'!M65)+('Output-FR (check)'!L76-'Output-FR (check)'!M76))</f>
        <v>-9.071726473</v>
      </c>
      <c r="N142" s="119">
        <f>IF(ISTEXT('CF Raw'!N$11),'CF Raw'!N26/'Output-FR (check)'!$A$124,('Output-FR (check)'!M63-'Output-FR (check)'!N63)+('Output-FR (check)'!M69-'Output-FR (check)'!N69)+('Output-FR (check)'!M65-'Output-FR (check)'!N65)+('Output-FR (check)'!M76-'Output-FR (check)'!N76))</f>
        <v>-58.929509742</v>
      </c>
      <c r="O142" s="119">
        <f>IF(ISTEXT('CF Raw'!O$11),'CF Raw'!O26/'Output-FR (check)'!$A$124,('Output-FR (check)'!N63-'Output-FR (check)'!O63)+('Output-FR (check)'!N69-'Output-FR (check)'!O69)+('Output-FR (check)'!N65-'Output-FR (check)'!O65)+('Output-FR (check)'!N76-'Output-FR (check)'!O76))</f>
        <v>29.325193930000001</v>
      </c>
      <c r="P142" s="671">
        <f>IF(ISTEXT('CF Raw'!P$11),'CF Raw'!P26/'Output-FR (check)'!$A$124,('Output-FR (check)'!O63-'Output-FR (check)'!P63)+('Output-FR (check)'!O69-'Output-FR (check)'!P69)+('Output-FR (check)'!O65-'Output-FR (check)'!P65)+('Output-FR (check)'!O76-'Output-FR (check)'!P76))</f>
        <v>-84.79</v>
      </c>
      <c r="Q142" s="172">
        <f>IF(ISTEXT('CF Raw'!Q$11),'CF Raw'!Q26/'Output-FR (check)'!$A$124,('Output-FR (check)'!P63-'Output-FR (check)'!Q63)+('Output-FR (check)'!P69-'Output-FR (check)'!Q69)+('Output-FR (check)'!P65-'Output-FR (check)'!Q65)+('Output-FR (check)'!P76-'Output-FR (check)'!Q76))</f>
        <v>-68.233062260602765</v>
      </c>
      <c r="R142" s="172">
        <f>IF(ISTEXT('CF Raw'!R$11),'CF Raw'!R26/'Output-FR (check)'!$A$124,('Output-FR (check)'!Q63-'Output-FR (check)'!R63)+('Output-FR (check)'!Q69-'Output-FR (check)'!R69)+('Output-FR (check)'!Q65-'Output-FR (check)'!R65)+('Output-FR (check)'!Q76-'Output-FR (check)'!R76))</f>
        <v>-31.275972395575909</v>
      </c>
      <c r="S142" s="172">
        <f>IF(ISTEXT('CF Raw'!S$11),'CF Raw'!S26/'Output-FR (check)'!$A$124,('Output-FR (check)'!R63-'Output-FR (check)'!S63)+('Output-FR (check)'!R69-'Output-FR (check)'!S69)+('Output-FR (check)'!R65-'Output-FR (check)'!S65)+('Output-FR (check)'!R76-'Output-FR (check)'!S76))</f>
        <v>-170.59197108072041</v>
      </c>
      <c r="T142" s="172">
        <f>IF(ISTEXT('CF Raw'!T$11),'CF Raw'!T26/'Output-FR (check)'!$A$124,('Output-FR (check)'!S63-'Output-FR (check)'!T63)+('Output-FR (check)'!S69-'Output-FR (check)'!T69)+('Output-FR (check)'!S65-'Output-FR (check)'!T65)+('Output-FR (check)'!S76-'Output-FR (check)'!T76))</f>
        <v>-57.956493983277312</v>
      </c>
      <c r="U142" s="172">
        <f>IF(ISTEXT('CF Raw'!U$11),'CF Raw'!U26/'Output-FR (check)'!$A$124,('Output-FR (check)'!T63-'Output-FR (check)'!U63)+('Output-FR (check)'!T69-'Output-FR (check)'!U69)+('Output-FR (check)'!T65-'Output-FR (check)'!U65)+('Output-FR (check)'!T76-'Output-FR (check)'!U76))</f>
        <v>-50.440823175636311</v>
      </c>
      <c r="V142" s="172">
        <f>IF(ISTEXT('CF Raw'!V$11),'CF Raw'!V26/'Output-FR (check)'!$A$124,('Output-FR (check)'!U63-'Output-FR (check)'!V63)+('Output-FR (check)'!U69-'Output-FR (check)'!V69)+('Output-FR (check)'!U65-'Output-FR (check)'!V65)+('Output-FR (check)'!U76-'Output-FR (check)'!V76))</f>
        <v>-39.853055022358589</v>
      </c>
      <c r="W142" s="172">
        <f>IF(ISTEXT('CF Raw'!W$11),'CF Raw'!W26/'Output-FR (check)'!$A$124,('Output-FR (check)'!V63-'Output-FR (check)'!W63)+('Output-FR (check)'!V69-'Output-FR (check)'!W69)+('Output-FR (check)'!V65-'Output-FR (check)'!W65)+('Output-FR (check)'!V76-'Output-FR (check)'!W76))</f>
        <v>-53.87074895353075</v>
      </c>
      <c r="X142" s="172">
        <f>IF(ISTEXT('CF Raw'!X$11),'CF Raw'!X26/'Output-FR (check)'!$A$124,('Output-FR (check)'!W63-'Output-FR (check)'!X63)+('Output-FR (check)'!W69-'Output-FR (check)'!X69)+('Output-FR (check)'!W65-'Output-FR (check)'!X65)+('Output-FR (check)'!W76-'Output-FR (check)'!X76))</f>
        <v>-122.16525454231368</v>
      </c>
      <c r="Y142" s="172">
        <f>IF(ISTEXT('CF Raw'!Y$11),'CF Raw'!Y26/'Output-FR (check)'!$A$124,('Output-FR (check)'!X63-'Output-FR (check)'!Y63)+('Output-FR (check)'!X69-'Output-FR (check)'!Y69)+('Output-FR (check)'!X65-'Output-FR (check)'!Y65)+('Output-FR (check)'!X76-'Output-FR (check)'!Y76))</f>
        <v>-42.614735649763247</v>
      </c>
      <c r="Z142" s="172">
        <f>IF(ISTEXT('CF Raw'!Z$11),'CF Raw'!Z26/'Output-FR (check)'!$A$124,('Output-FR (check)'!Y63-'Output-FR (check)'!Z63)+('Output-FR (check)'!Y69-'Output-FR (check)'!Z69)+('Output-FR (check)'!Y65-'Output-FR (check)'!Z65)+('Output-FR (check)'!Y76-'Output-FR (check)'!Z76))</f>
        <v>-81.104811812599408</v>
      </c>
      <c r="AA142" s="172"/>
      <c r="AB142" s="173"/>
      <c r="AC142" s="173"/>
      <c r="AD142" s="173"/>
      <c r="AE142" s="173"/>
      <c r="AF142" s="173"/>
      <c r="AG142" s="173"/>
      <c r="AH142" s="173"/>
      <c r="AI142" s="173"/>
      <c r="AJ142" s="173"/>
      <c r="AK142" s="173"/>
      <c r="AL142" s="173"/>
      <c r="AM142" s="173"/>
      <c r="AN142" s="173"/>
      <c r="AO142" s="173"/>
      <c r="AP142" s="173"/>
      <c r="AQ142" s="173"/>
      <c r="AR142" s="173"/>
      <c r="AS142" s="173"/>
      <c r="AT142" s="173"/>
      <c r="AU142" s="173"/>
      <c r="AV142" s="173"/>
      <c r="AW142" s="173"/>
      <c r="AX142" s="173"/>
      <c r="AY142" s="173"/>
      <c r="AZ142" s="173"/>
      <c r="BA142" s="173"/>
    </row>
    <row r="143" spans="1:55" x14ac:dyDescent="0.25">
      <c r="A143" s="642"/>
      <c r="B143" s="770" t="s">
        <v>1339</v>
      </c>
      <c r="C143" s="770" t="s">
        <v>1340</v>
      </c>
      <c r="D143" s="66"/>
      <c r="E143" s="118"/>
      <c r="F143" s="118"/>
      <c r="G143" s="118"/>
      <c r="H143" s="118"/>
      <c r="I143" s="118"/>
      <c r="J143" s="119">
        <f>IF(ISTEXT('CF Raw'!J$11),'CF Raw'!J27/'Output-FR (check)'!$A$124,'Output-FR (check)'!I64-'Output-FR (check)'!J64)</f>
        <v>31.206107569</v>
      </c>
      <c r="K143" s="119">
        <f>IF(ISTEXT('CF Raw'!K$11),'CF Raw'!K27/'Output-FR (check)'!$A$124,'Output-FR (check)'!J64-'Output-FR (check)'!K64)</f>
        <v>-56.924962448000002</v>
      </c>
      <c r="L143" s="119">
        <f>IF(ISTEXT('CF Raw'!L$11),'CF Raw'!L27/'Output-FR (check)'!$A$124,'Output-FR (check)'!K64-'Output-FR (check)'!L64)</f>
        <v>-58.777699458000001</v>
      </c>
      <c r="M143" s="119">
        <f>IF(ISTEXT('CF Raw'!M$11),'CF Raw'!M27/'Output-FR (check)'!$A$124,'Output-FR (check)'!L64-'Output-FR (check)'!M64)</f>
        <v>20.167714642</v>
      </c>
      <c r="N143" s="119">
        <f>IF(ISTEXT('CF Raw'!N$11),'CF Raw'!N27/'Output-FR (check)'!$A$124,'Output-FR (check)'!M64-'Output-FR (check)'!N64)</f>
        <v>-43.238317809999998</v>
      </c>
      <c r="O143" s="119">
        <f>IF(ISTEXT('CF Raw'!O$11),'CF Raw'!O27/'Output-FR (check)'!$A$124,'Output-FR (check)'!N64-'Output-FR (check)'!O64)</f>
        <v>98.059353512000001</v>
      </c>
      <c r="P143" s="671">
        <f>IF(ISTEXT('CF Raw'!P$11),'CF Raw'!P27/'Output-FR (check)'!$A$124,'Output-FR (check)'!O64-'Output-FR (check)'!P64)</f>
        <v>-39.14</v>
      </c>
      <c r="Q143" s="172">
        <f>IF(ISTEXT('CF Raw'!Q$11),'CF Raw'!Q27/'Output-FR (check)'!$A$124,'Output-FR (check)'!P64-'Output-FR (check)'!Q64)</f>
        <v>-25.452387291812016</v>
      </c>
      <c r="R143" s="172">
        <f>IF(ISTEXT('CF Raw'!R$11),'CF Raw'!R27/'Output-FR (check)'!$A$124,'Output-FR (check)'!Q64-'Output-FR (check)'!R64)</f>
        <v>-15.509657393277394</v>
      </c>
      <c r="S143" s="172">
        <f>IF(ISTEXT('CF Raw'!S$11),'CF Raw'!S27/'Output-FR (check)'!$A$124,'Output-FR (check)'!R64-'Output-FR (check)'!S64)</f>
        <v>-62.817897872235108</v>
      </c>
      <c r="T143" s="172">
        <f>IF(ISTEXT('CF Raw'!T$11),'CF Raw'!T27/'Output-FR (check)'!$A$124,'Output-FR (check)'!S64-'Output-FR (check)'!T64)</f>
        <v>-16.828543616798697</v>
      </c>
      <c r="U143" s="172">
        <f>IF(ISTEXT('CF Raw'!U$11),'CF Raw'!U27/'Output-FR (check)'!$A$124,'Output-FR (check)'!T64-'Output-FR (check)'!U64)</f>
        <v>-14.756006255289321</v>
      </c>
      <c r="V143" s="172">
        <f>IF(ISTEXT('CF Raw'!V$11),'CF Raw'!V27/'Output-FR (check)'!$A$124,'Output-FR (check)'!U64-'Output-FR (check)'!V64)</f>
        <v>-15.160415770963823</v>
      </c>
      <c r="W143" s="172">
        <f>IF(ISTEXT('CF Raw'!W$11),'CF Raw'!W27/'Output-FR (check)'!$A$124,'Output-FR (check)'!V64-'Output-FR (check)'!W64)</f>
        <v>-18.365702723204095</v>
      </c>
      <c r="X143" s="172">
        <f>IF(ISTEXT('CF Raw'!X$11),'CF Raw'!X27/'Output-FR (check)'!$A$124,'Output-FR (check)'!W64-'Output-FR (check)'!X64)</f>
        <v>-99.881941601127778</v>
      </c>
      <c r="Y143" s="172">
        <f>IF(ISTEXT('CF Raw'!Y$11),'CF Raw'!Y27/'Output-FR (check)'!$A$124,'Output-FR (check)'!X64-'Output-FR (check)'!Y64)</f>
        <v>-20.622330596062284</v>
      </c>
      <c r="Z143" s="172">
        <f>IF(ISTEXT('CF Raw'!Z$11),'CF Raw'!Z27/'Output-FR (check)'!$A$124,'Output-FR (check)'!Y64-'Output-FR (check)'!Z64)</f>
        <v>-41.141509909813522</v>
      </c>
      <c r="AA143" s="172"/>
      <c r="AB143" s="173"/>
      <c r="AC143" s="173"/>
      <c r="AD143" s="173"/>
      <c r="AE143" s="173"/>
      <c r="AF143" s="173"/>
      <c r="AG143" s="173"/>
      <c r="AH143" s="173"/>
      <c r="AI143" s="173"/>
      <c r="AJ143" s="173"/>
      <c r="AK143" s="173"/>
      <c r="AL143" s="173"/>
      <c r="AM143" s="173"/>
      <c r="AN143" s="173"/>
      <c r="AO143" s="173"/>
      <c r="AP143" s="173"/>
      <c r="AQ143" s="173"/>
      <c r="AR143" s="173"/>
      <c r="AS143" s="173"/>
      <c r="AT143" s="173"/>
      <c r="AU143" s="173"/>
      <c r="AV143" s="173"/>
      <c r="AW143" s="173"/>
      <c r="AX143" s="173"/>
      <c r="AY143" s="173"/>
      <c r="AZ143" s="173"/>
      <c r="BA143" s="173"/>
    </row>
    <row r="144" spans="1:55" x14ac:dyDescent="0.25">
      <c r="A144" s="642"/>
      <c r="B144" s="770" t="s">
        <v>1341</v>
      </c>
      <c r="C144" s="770" t="s">
        <v>1342</v>
      </c>
      <c r="D144" s="66"/>
      <c r="E144" s="118"/>
      <c r="F144" s="118"/>
      <c r="G144" s="118"/>
      <c r="H144" s="118"/>
      <c r="I144" s="118"/>
      <c r="J144" s="119">
        <f>IF(ISTEXT('CF Raw'!J$11),'CF Raw'!J28/'Output-FR (check)'!$A$124,('Output-FR (check)'!J85-'Output-FR (check)'!I85)+('Output-FR (check)'!J86-'Output-FR (check)'!I86)+('Output-FR (check)'!J87-'Output-FR (check)'!I87)+('Output-FR (check)'!J91-'Output-FR (check)'!I91)+('Output-FR (check)'!J97-'Output-FR (check)'!I97))</f>
        <v>-179.942912992</v>
      </c>
      <c r="K144" s="119">
        <f>IF(ISTEXT('CF Raw'!K$11),'CF Raw'!K28/'Output-FR (check)'!$A$124,('Output-FR (check)'!K85-'Output-FR (check)'!J85)+('Output-FR (check)'!K86-'Output-FR (check)'!J86)+('Output-FR (check)'!K87-'Output-FR (check)'!J87)+('Output-FR (check)'!K91-'Output-FR (check)'!J91)+('Output-FR (check)'!K97-'Output-FR (check)'!J97))</f>
        <v>110.018251689</v>
      </c>
      <c r="L144" s="119">
        <f>IF(ISTEXT('CF Raw'!L$11),'CF Raw'!L28/'Output-FR (check)'!$A$124,('Output-FR (check)'!L85-'Output-FR (check)'!K85)+('Output-FR (check)'!L86-'Output-FR (check)'!K86)+('Output-FR (check)'!L87-'Output-FR (check)'!K87)+('Output-FR (check)'!L91-'Output-FR (check)'!K91)+('Output-FR (check)'!L97-'Output-FR (check)'!K97))</f>
        <v>-69.781216995999998</v>
      </c>
      <c r="M144" s="119">
        <f>IF(ISTEXT('CF Raw'!M$11),'CF Raw'!M28/'Output-FR (check)'!$A$124,('Output-FR (check)'!M85-'Output-FR (check)'!L85)+('Output-FR (check)'!M86-'Output-FR (check)'!L86)+('Output-FR (check)'!M87-'Output-FR (check)'!L87)+('Output-FR (check)'!M91-'Output-FR (check)'!L91)+('Output-FR (check)'!M97-'Output-FR (check)'!L97))</f>
        <v>-37.906551088000001</v>
      </c>
      <c r="N144" s="119">
        <f>IF(ISTEXT('CF Raw'!N$11),'CF Raw'!N28/'Output-FR (check)'!$A$124,('Output-FR (check)'!N85-'Output-FR (check)'!M85)+('Output-FR (check)'!N86-'Output-FR (check)'!M86)+('Output-FR (check)'!N87-'Output-FR (check)'!M87)+('Output-FR (check)'!N91-'Output-FR (check)'!M91)+('Output-FR (check)'!N97-'Output-FR (check)'!M97))</f>
        <v>-20.184527359000001</v>
      </c>
      <c r="O144" s="119">
        <f>IF(ISTEXT('CF Raw'!O$11),'CF Raw'!O28/'Output-FR (check)'!$A$124,('Output-FR (check)'!O85-'Output-FR (check)'!N85)+('Output-FR (check)'!O86-'Output-FR (check)'!N86)+('Output-FR (check)'!O87-'Output-FR (check)'!N87)+('Output-FR (check)'!O91-'Output-FR (check)'!N91)+('Output-FR (check)'!O97-'Output-FR (check)'!N97))</f>
        <v>-71.593351248000005</v>
      </c>
      <c r="P144" s="671">
        <f>IF(ISTEXT('CF Raw'!P$11),'CF Raw'!P28/'Output-FR (check)'!$A$124,('Output-FR (check)'!P85-'Output-FR (check)'!O85)+('Output-FR (check)'!P86-'Output-FR (check)'!O86)+('Output-FR (check)'!P87-'Output-FR (check)'!O87)+('Output-FR (check)'!P91-'Output-FR (check)'!O91)+('Output-FR (check)'!P97-'Output-FR (check)'!O97))</f>
        <v>-44.64</v>
      </c>
      <c r="Q144" s="172">
        <f>IF(ISTEXT('CF Raw'!Q$11),'CF Raw'!Q28/'Output-FR (check)'!$A$124,('Output-FR (check)'!Q85-'Output-FR (check)'!P85)+('Output-FR (check)'!Q86-'Output-FR (check)'!P86)+('Output-FR (check)'!Q87-'Output-FR (check)'!P87)+('Output-FR (check)'!Q91-'Output-FR (check)'!P91)+('Output-FR (check)'!Q97-'Output-FR (check)'!P97))</f>
        <v>179.20085146798166</v>
      </c>
      <c r="R144" s="172">
        <f>IF(ISTEXT('CF Raw'!R$11),'CF Raw'!R28/'Output-FR (check)'!$A$124,('Output-FR (check)'!R85-'Output-FR (check)'!Q85)+('Output-FR (check)'!R86-'Output-FR (check)'!Q86)+('Output-FR (check)'!R87-'Output-FR (check)'!Q87)+('Output-FR (check)'!R91-'Output-FR (check)'!Q91)+('Output-FR (check)'!R97-'Output-FR (check)'!Q97))</f>
        <v>14.202325015762677</v>
      </c>
      <c r="S144" s="172">
        <f>IF(ISTEXT('CF Raw'!S$11),'CF Raw'!S28/'Output-FR (check)'!$A$124,('Output-FR (check)'!S85-'Output-FR (check)'!R85)+('Output-FR (check)'!S86-'Output-FR (check)'!R86)+('Output-FR (check)'!S87-'Output-FR (check)'!R87)+('Output-FR (check)'!S91-'Output-FR (check)'!R91)+('Output-FR (check)'!S97-'Output-FR (check)'!R97))</f>
        <v>119.19714143262252</v>
      </c>
      <c r="T144" s="172">
        <f>IF(ISTEXT('CF Raw'!T$11),'CF Raw'!T28/'Output-FR (check)'!$A$124,('Output-FR (check)'!T85-'Output-FR (check)'!S85)+('Output-FR (check)'!T86-'Output-FR (check)'!S86)+('Output-FR (check)'!T87-'Output-FR (check)'!S87)+('Output-FR (check)'!T91-'Output-FR (check)'!S91)+('Output-FR (check)'!T97-'Output-FR (check)'!S97))</f>
        <v>34.742052774296624</v>
      </c>
      <c r="U144" s="172">
        <f>IF(ISTEXT('CF Raw'!U$11),'CF Raw'!U28/'Output-FR (check)'!$A$124,('Output-FR (check)'!U85-'Output-FR (check)'!T85)+('Output-FR (check)'!U86-'Output-FR (check)'!T86)+('Output-FR (check)'!U87-'Output-FR (check)'!T87)+('Output-FR (check)'!U91-'Output-FR (check)'!T91)+('Output-FR (check)'!U97-'Output-FR (check)'!T97))</f>
        <v>-63.408599835851547</v>
      </c>
      <c r="V144" s="172">
        <f>IF(ISTEXT('CF Raw'!V$11),'CF Raw'!V28/'Output-FR (check)'!$A$124,('Output-FR (check)'!V85-'Output-FR (check)'!U85)+('Output-FR (check)'!V86-'Output-FR (check)'!U86)+('Output-FR (check)'!V87-'Output-FR (check)'!U87)+('Output-FR (check)'!V91-'Output-FR (check)'!U91)+('Output-FR (check)'!V97-'Output-FR (check)'!U97))</f>
        <v>29.467835352653388</v>
      </c>
      <c r="W144" s="172">
        <f>IF(ISTEXT('CF Raw'!W$11),'CF Raw'!W28/'Output-FR (check)'!$A$124,('Output-FR (check)'!W85-'Output-FR (check)'!V85)+('Output-FR (check)'!W86-'Output-FR (check)'!V86)+('Output-FR (check)'!W87-'Output-FR (check)'!V87)+('Output-FR (check)'!W91-'Output-FR (check)'!V91)+('Output-FR (check)'!W97-'Output-FR (check)'!V97))</f>
        <v>-101.92219748854461</v>
      </c>
      <c r="X144" s="172">
        <f>IF(ISTEXT('CF Raw'!X$11),'CF Raw'!X28/'Output-FR (check)'!$A$124,('Output-FR (check)'!X85-'Output-FR (check)'!W85)+('Output-FR (check)'!X86-'Output-FR (check)'!W86)+('Output-FR (check)'!X87-'Output-FR (check)'!W87)+('Output-FR (check)'!X91-'Output-FR (check)'!W91)+('Output-FR (check)'!X97-'Output-FR (check)'!W97))</f>
        <v>20.579132093770522</v>
      </c>
      <c r="Y144" s="172">
        <f>IF(ISTEXT('CF Raw'!Y$11),'CF Raw'!Y28/'Output-FR (check)'!$A$124,('Output-FR (check)'!Y85-'Output-FR (check)'!X85)+('Output-FR (check)'!Y86-'Output-FR (check)'!X86)+('Output-FR (check)'!Y87-'Output-FR (check)'!X87)+('Output-FR (check)'!Y91-'Output-FR (check)'!X91)+('Output-FR (check)'!Y97-'Output-FR (check)'!X97))</f>
        <v>-7.6915775446661243</v>
      </c>
      <c r="Z144" s="172">
        <f>IF(ISTEXT('CF Raw'!Z$11),'CF Raw'!Z28/'Output-FR (check)'!$A$124,('Output-FR (check)'!Z85-'Output-FR (check)'!Y85)+('Output-FR (check)'!Z86-'Output-FR (check)'!Y86)+('Output-FR (check)'!Z87-'Output-FR (check)'!Y87)+('Output-FR (check)'!Z91-'Output-FR (check)'!Y91)+('Output-FR (check)'!Z97-'Output-FR (check)'!Y97))</f>
        <v>-8.3392718759052258</v>
      </c>
      <c r="AA144" s="172"/>
      <c r="AB144" s="173"/>
      <c r="AC144" s="173"/>
      <c r="AD144" s="173"/>
      <c r="AE144" s="173"/>
      <c r="AF144" s="173"/>
      <c r="AG144" s="173"/>
      <c r="AH144" s="173"/>
      <c r="AI144" s="173"/>
      <c r="AJ144" s="173"/>
      <c r="AK144" s="173"/>
      <c r="AL144" s="173"/>
      <c r="AM144" s="173"/>
      <c r="AN144" s="173"/>
      <c r="AO144" s="173"/>
      <c r="AP144" s="173"/>
      <c r="AQ144" s="173"/>
      <c r="AR144" s="173"/>
      <c r="AS144" s="173"/>
      <c r="AT144" s="173"/>
      <c r="AU144" s="173"/>
      <c r="AV144" s="173"/>
      <c r="AW144" s="173"/>
      <c r="AX144" s="173"/>
      <c r="AY144" s="173"/>
      <c r="AZ144" s="173"/>
      <c r="BA144" s="173"/>
    </row>
    <row r="145" spans="1:53" x14ac:dyDescent="0.25">
      <c r="A145" s="642"/>
      <c r="B145" s="770" t="s">
        <v>1343</v>
      </c>
      <c r="C145" s="770" t="s">
        <v>1344</v>
      </c>
      <c r="D145" s="66"/>
      <c r="E145" s="118"/>
      <c r="F145" s="118"/>
      <c r="G145" s="118"/>
      <c r="H145" s="118"/>
      <c r="I145" s="118"/>
      <c r="J145" s="119">
        <f>IF(ISTEXT('CF Raw'!J$11),'CF Raw'!J29/'Output-FR (check)'!$A$124,)</f>
        <v>6.4463687000000006E-2</v>
      </c>
      <c r="K145" s="119">
        <f>IF(ISTEXT('CF Raw'!K$11),'CF Raw'!K29/'Output-FR (check)'!$A$124,)</f>
        <v>-2.4204371400000002</v>
      </c>
      <c r="L145" s="119">
        <f>IF(ISTEXT('CF Raw'!L$11),'CF Raw'!L29/'Output-FR (check)'!$A$124,)</f>
        <v>-3.6040333169999998</v>
      </c>
      <c r="M145" s="119">
        <f>IF(ISTEXT('CF Raw'!M$11),'CF Raw'!M29/'Output-FR (check)'!$A$124,)</f>
        <v>7.3074077429999997</v>
      </c>
      <c r="N145" s="119">
        <f>IF(ISTEXT('CF Raw'!N$11),'CF Raw'!N29/'Output-FR (check)'!$A$124,)</f>
        <v>-14.511307378</v>
      </c>
      <c r="O145" s="119">
        <f>IF(ISTEXT('CF Raw'!O$11),'CF Raw'!O29/'Output-FR (check)'!$A$124,)</f>
        <v>-1.4024092560000001</v>
      </c>
      <c r="P145" s="671">
        <f>IF(ISTEXT('CF Raw'!P$11),'CF Raw'!P29/'Output-FR (check)'!$A$124,)</f>
        <v>-1.4024092560000001</v>
      </c>
      <c r="Q145" s="172">
        <f>IF(ISTEXT('CF Raw'!Q$11),'CF Raw'!Q29/'Output-FR (check)'!$A$124,)</f>
        <v>0</v>
      </c>
      <c r="R145" s="172">
        <f>IF(ISTEXT('CF Raw'!R$11),'CF Raw'!R29/'Output-FR (check)'!$A$124,)</f>
        <v>0</v>
      </c>
      <c r="S145" s="172">
        <f>IF(ISTEXT('CF Raw'!S$11),'CF Raw'!S29/'Output-FR (check)'!$A$124,)</f>
        <v>0</v>
      </c>
      <c r="T145" s="172">
        <f>IF(ISTEXT('CF Raw'!T$11),'CF Raw'!T29/'Output-FR (check)'!$A$124,)</f>
        <v>0</v>
      </c>
      <c r="U145" s="172">
        <f>IF(ISTEXT('CF Raw'!U$11),'CF Raw'!U29/'Output-FR (check)'!$A$124,)</f>
        <v>0</v>
      </c>
      <c r="V145" s="172">
        <f>IF(ISTEXT('CF Raw'!V$11),'CF Raw'!V29/'Output-FR (check)'!$A$124,)</f>
        <v>0</v>
      </c>
      <c r="W145" s="172">
        <f>IF(ISTEXT('CF Raw'!W$11),'CF Raw'!W29/'Output-FR (check)'!$A$124,)</f>
        <v>0</v>
      </c>
      <c r="X145" s="172">
        <f>IF(ISTEXT('CF Raw'!X$11),'CF Raw'!X29/'Output-FR (check)'!$A$124,)</f>
        <v>0</v>
      </c>
      <c r="Y145" s="172">
        <f>IF(ISTEXT('CF Raw'!Y$11),'CF Raw'!Y29/'Output-FR (check)'!$A$124,)</f>
        <v>0</v>
      </c>
      <c r="Z145" s="172">
        <f>IF(ISTEXT('CF Raw'!Z$11),'CF Raw'!Z29/'Output-FR (check)'!$A$124,)</f>
        <v>0</v>
      </c>
      <c r="AA145" s="172"/>
      <c r="AB145" s="173"/>
      <c r="AC145" s="173"/>
      <c r="AD145" s="173"/>
      <c r="AE145" s="173"/>
      <c r="AF145" s="173"/>
      <c r="AG145" s="173"/>
      <c r="AH145" s="173"/>
      <c r="AI145" s="173"/>
      <c r="AJ145" s="173"/>
      <c r="AK145" s="173"/>
      <c r="AL145" s="173"/>
      <c r="AM145" s="173"/>
      <c r="AN145" s="173"/>
      <c r="AO145" s="173"/>
      <c r="AP145" s="173"/>
      <c r="AQ145" s="173"/>
      <c r="AR145" s="173"/>
      <c r="AS145" s="173"/>
      <c r="AT145" s="173"/>
      <c r="AU145" s="173"/>
      <c r="AV145" s="173"/>
      <c r="AW145" s="173"/>
      <c r="AX145" s="173"/>
      <c r="AY145" s="173"/>
      <c r="AZ145" s="173"/>
      <c r="BA145" s="173"/>
    </row>
    <row r="146" spans="1:53" x14ac:dyDescent="0.25">
      <c r="A146" s="642"/>
      <c r="B146" s="770" t="s">
        <v>1345</v>
      </c>
      <c r="C146" s="770" t="s">
        <v>1346</v>
      </c>
      <c r="D146" s="66"/>
      <c r="E146" s="118"/>
      <c r="F146" s="118"/>
      <c r="G146" s="118"/>
      <c r="H146" s="118"/>
      <c r="I146" s="118"/>
      <c r="J146" s="119">
        <f>IF(ISTEXT('CF Raw'!J$11),'CF Raw'!J31/'Output-FR (check)'!$A$124,-J138)</f>
        <v>-5.4477752500000003</v>
      </c>
      <c r="K146" s="119">
        <f>IF(ISTEXT('CF Raw'!K$11),'CF Raw'!K31/'Output-FR (check)'!$A$124,-K138)</f>
        <v>-4.4980130369999998</v>
      </c>
      <c r="L146" s="119">
        <f>IF(ISTEXT('CF Raw'!L$11),'CF Raw'!L31/'Output-FR (check)'!$A$124,-L138)</f>
        <v>-3.1723536569999999</v>
      </c>
      <c r="M146" s="119">
        <f>IF(ISTEXT('CF Raw'!M$11),'CF Raw'!M31/'Output-FR (check)'!$A$124,-M138)</f>
        <v>-5.6269254929999999</v>
      </c>
      <c r="N146" s="119">
        <f>IF(ISTEXT('CF Raw'!N$11),'CF Raw'!N31/'Output-FR (check)'!$A$124,-N138)</f>
        <v>-9.9552668139999998</v>
      </c>
      <c r="O146" s="119">
        <f>IF(ISTEXT('CF Raw'!O$11),'CF Raw'!O31/'Output-FR (check)'!$A$124,-O138)</f>
        <v>-5.9139720880000004</v>
      </c>
      <c r="P146" s="671">
        <f>IF(ISTEXT('CF Raw'!P$11),'CF Raw'!P31/'Output-FR (check)'!$A$124,-P138)</f>
        <v>-1.146632369</v>
      </c>
      <c r="Q146" s="172">
        <f ca="1">IF(ISTEXT('CF Raw'!Q$11),'CF Raw'!Q31/'Output-FR (check)'!$A$124,-Q138)</f>
        <v>-12.916923249096442</v>
      </c>
      <c r="R146" s="172">
        <f ca="1">IF(ISTEXT('CF Raw'!R$11),'CF Raw'!R31/'Output-FR (check)'!$A$124,-R138)</f>
        <v>-22.838884529150331</v>
      </c>
      <c r="S146" s="172">
        <f ca="1">IF(ISTEXT('CF Raw'!S$11),'CF Raw'!S31/'Output-FR (check)'!$A$124,-S138)</f>
        <v>-24.366173368748793</v>
      </c>
      <c r="T146" s="172">
        <f ca="1">IF(ISTEXT('CF Raw'!T$11),'CF Raw'!T31/'Output-FR (check)'!$A$124,-T138)</f>
        <v>-19.843671313066856</v>
      </c>
      <c r="U146" s="172">
        <f ca="1">IF(ISTEXT('CF Raw'!U$11),'CF Raw'!U31/'Output-FR (check)'!$A$124,-U138)</f>
        <v>-15.160595635021753</v>
      </c>
      <c r="V146" s="172">
        <f ca="1">IF(ISTEXT('CF Raw'!V$11),'CF Raw'!V31/'Output-FR (check)'!$A$124,-V138)</f>
        <v>-11.043318682656746</v>
      </c>
      <c r="W146" s="172">
        <f ca="1">IF(ISTEXT('CF Raw'!W$11),'CF Raw'!W31/'Output-FR (check)'!$A$124,-W138)</f>
        <v>-8.2279871133458933</v>
      </c>
      <c r="X146" s="172">
        <f ca="1">IF(ISTEXT('CF Raw'!X$11),'CF Raw'!X31/'Output-FR (check)'!$A$124,-X138)</f>
        <v>-7.8933156905878956</v>
      </c>
      <c r="Y146" s="172">
        <f ca="1">IF(ISTEXT('CF Raw'!Y$11),'CF Raw'!Y31/'Output-FR (check)'!$A$124,-Y138)</f>
        <v>-8.1675499886462966</v>
      </c>
      <c r="Z146" s="172">
        <f ca="1">IF(ISTEXT('CF Raw'!Z$11),'CF Raw'!Z31/'Output-FR (check)'!$A$124,-Z138)</f>
        <v>-8.4450135190520097</v>
      </c>
      <c r="AA146" s="172"/>
      <c r="AB146" s="173"/>
      <c r="AC146" s="173"/>
      <c r="AD146" s="173"/>
      <c r="AE146" s="173"/>
      <c r="AF146" s="173"/>
      <c r="AG146" s="173"/>
      <c r="AH146" s="173"/>
      <c r="AI146" s="173"/>
      <c r="AJ146" s="173"/>
      <c r="AK146" s="173"/>
      <c r="AL146" s="173"/>
      <c r="AM146" s="173"/>
      <c r="AN146" s="173"/>
      <c r="AO146" s="173"/>
      <c r="AP146" s="173"/>
      <c r="AQ146" s="173"/>
      <c r="AR146" s="173"/>
      <c r="AS146" s="173"/>
      <c r="AT146" s="173"/>
      <c r="AU146" s="173"/>
      <c r="AV146" s="173"/>
      <c r="AW146" s="173"/>
      <c r="AX146" s="173"/>
      <c r="AY146" s="173"/>
      <c r="AZ146" s="173"/>
      <c r="BA146" s="173"/>
    </row>
    <row r="147" spans="1:53" x14ac:dyDescent="0.25">
      <c r="A147" s="642"/>
      <c r="B147" s="770" t="s">
        <v>1347</v>
      </c>
      <c r="C147" s="770"/>
      <c r="D147" s="66"/>
      <c r="E147" s="118"/>
      <c r="F147" s="118"/>
      <c r="G147" s="118"/>
      <c r="H147" s="118"/>
      <c r="I147" s="118"/>
      <c r="J147" s="119">
        <f>IF(ISTEXT('CF Raw'!J$11),'CF Raw'!J32/'Output-FR (check)'!$A$124,-'Output-FR (check)'!J31)</f>
        <v>-57.700405330999999</v>
      </c>
      <c r="K147" s="119">
        <f>IF(ISTEXT('CF Raw'!K$11),'CF Raw'!K32/'Output-FR (check)'!$A$124,-'Output-FR (check)'!K31)</f>
        <v>-42.250007555000003</v>
      </c>
      <c r="L147" s="119">
        <f>IF(ISTEXT('CF Raw'!L$11),'CF Raw'!L32/'Output-FR (check)'!$A$124,-'Output-FR (check)'!L31)</f>
        <v>-30.389506355999998</v>
      </c>
      <c r="M147" s="119">
        <f>IF(ISTEXT('CF Raw'!M$11),'CF Raw'!M32/'Output-FR (check)'!$A$124,-'Output-FR (check)'!M31)</f>
        <v>-57.205654510999999</v>
      </c>
      <c r="N147" s="119">
        <f>IF(ISTEXT('CF Raw'!N$11),'CF Raw'!N32/'Output-FR (check)'!$A$124,-'Output-FR (check)'!N31)</f>
        <v>-13.021545806000001</v>
      </c>
      <c r="O147" s="119">
        <f>IF(ISTEXT('CF Raw'!O$11),'CF Raw'!O32/'Output-FR (check)'!$A$124,-'Output-FR (check)'!O31)</f>
        <v>-44.512938286000001</v>
      </c>
      <c r="P147" s="671">
        <f>IF(ISTEXT('CF Raw'!P$11),'CF Raw'!P32/'Output-FR (check)'!$A$124,-'Output-FR (check)'!P31)</f>
        <v>-52.85947556</v>
      </c>
      <c r="Q147" s="172">
        <f ca="1">IF(ISTEXT('CF Raw'!Q$11),'CF Raw'!Q32/'Output-FR (check)'!$A$124,-'Output-FR (check)'!Q31)</f>
        <v>-60.592918242469587</v>
      </c>
      <c r="R147" s="172">
        <f ca="1">IF(ISTEXT('CF Raw'!R$11),'CF Raw'!R32/'Output-FR (check)'!$A$124,-'Output-FR (check)'!R31)</f>
        <v>-59.850526979177332</v>
      </c>
      <c r="S147" s="172">
        <f ca="1">IF(ISTEXT('CF Raw'!S$11),'CF Raw'!S32/'Output-FR (check)'!$A$124,-'Output-FR (check)'!S31)</f>
        <v>-86.954507543444166</v>
      </c>
      <c r="T147" s="172">
        <f ca="1">IF(ISTEXT('CF Raw'!T$11),'CF Raw'!T32/'Output-FR (check)'!$A$124,-'Output-FR (check)'!T31)</f>
        <v>-100.29377905850556</v>
      </c>
      <c r="U147" s="172">
        <f ca="1">IF(ISTEXT('CF Raw'!U$11),'CF Raw'!U32/'Output-FR (check)'!$A$124,-'Output-FR (check)'!U31)</f>
        <v>-115.72397729698234</v>
      </c>
      <c r="V147" s="172">
        <f ca="1">IF(ISTEXT('CF Raw'!V$11),'CF Raw'!V32/'Output-FR (check)'!$A$124,-'Output-FR (check)'!V31)</f>
        <v>-127.21062876889265</v>
      </c>
      <c r="W147" s="172">
        <f ca="1">IF(ISTEXT('CF Raw'!W$11),'CF Raw'!W32/'Output-FR (check)'!$A$124,-'Output-FR (check)'!W31)</f>
        <v>-140.97214600479941</v>
      </c>
      <c r="X147" s="172">
        <f ca="1">IF(ISTEXT('CF Raw'!X$11),'CF Raw'!X32/'Output-FR (check)'!$A$124,-'Output-FR (check)'!X31)</f>
        <v>-148.16417001351473</v>
      </c>
      <c r="Y147" s="172">
        <f ca="1">IF(ISTEXT('CF Raw'!Y$11),'CF Raw'!Y32/'Output-FR (check)'!$A$124,-'Output-FR (check)'!Y31)</f>
        <v>-156.3437984771609</v>
      </c>
      <c r="Z147" s="172">
        <f ca="1">IF(ISTEXT('CF Raw'!Z$11),'CF Raw'!Z32/'Output-FR (check)'!$A$124,-'Output-FR (check)'!Z31)</f>
        <v>-165.09228341095891</v>
      </c>
      <c r="AA147" s="172"/>
      <c r="AB147" s="173"/>
      <c r="AC147" s="173"/>
      <c r="AD147" s="173"/>
      <c r="AE147" s="173"/>
      <c r="AF147" s="173"/>
      <c r="AG147" s="173"/>
      <c r="AH147" s="173"/>
      <c r="AI147" s="173"/>
      <c r="AJ147" s="173"/>
      <c r="AK147" s="173"/>
      <c r="AL147" s="173"/>
      <c r="AM147" s="173"/>
      <c r="AN147" s="173"/>
      <c r="AO147" s="173"/>
      <c r="AP147" s="173"/>
      <c r="AQ147" s="173"/>
      <c r="AR147" s="173"/>
      <c r="AS147" s="173"/>
      <c r="AT147" s="173"/>
      <c r="AU147" s="173"/>
      <c r="AV147" s="173"/>
      <c r="AW147" s="173"/>
      <c r="AX147" s="173"/>
      <c r="AY147" s="173"/>
      <c r="AZ147" s="173"/>
      <c r="BA147" s="173"/>
    </row>
    <row r="148" spans="1:53" x14ac:dyDescent="0.25">
      <c r="A148" s="642"/>
      <c r="B148" s="770" t="s">
        <v>1348</v>
      </c>
      <c r="C148" s="770" t="s">
        <v>1349</v>
      </c>
      <c r="D148" s="66"/>
      <c r="E148" s="118"/>
      <c r="F148" s="118"/>
      <c r="G148" s="118"/>
      <c r="H148" s="118"/>
      <c r="I148" s="118"/>
      <c r="J148" s="119">
        <f>IF(ISTEXT('CF Raw'!J$11),'CF Raw'!J34/'Output-FR (check)'!$A$124,0)</f>
        <v>-12.885550612999999</v>
      </c>
      <c r="K148" s="119">
        <f>IF(ISTEXT('CF Raw'!K$11),'CF Raw'!K34/'Output-FR (check)'!$A$124,0)</f>
        <v>-9.2413352320000008</v>
      </c>
      <c r="L148" s="119">
        <f>IF(ISTEXT('CF Raw'!L$11),'CF Raw'!L34/'Output-FR (check)'!$A$124,0)</f>
        <v>-32.373812948000001</v>
      </c>
      <c r="M148" s="119">
        <f>IF(ISTEXT('CF Raw'!M$11),'CF Raw'!M34/'Output-FR (check)'!$A$124,0)</f>
        <v>-33.353303353999998</v>
      </c>
      <c r="N148" s="119">
        <f>IF(ISTEXT('CF Raw'!N$11),'CF Raw'!N34/'Output-FR (check)'!$A$124,0)</f>
        <v>-42.408961748999999</v>
      </c>
      <c r="O148" s="119">
        <f>IF(ISTEXT('CF Raw'!O$11),'CF Raw'!O34/'Output-FR (check)'!$A$124,0)</f>
        <v>-16.441270192000001</v>
      </c>
      <c r="P148" s="671">
        <f>IF(ISTEXT('CF Raw'!P$11),'CF Raw'!P34/'Output-FR (check)'!$A$124,0)</f>
        <v>-16.441270192000001</v>
      </c>
      <c r="Q148" s="172">
        <f>IF(ISTEXT('CF Raw'!Q$11),'CF Raw'!Q34/'Output-FR (check)'!$A$124,0)</f>
        <v>0</v>
      </c>
      <c r="R148" s="172">
        <f>IF(ISTEXT('CF Raw'!R$11),'CF Raw'!R34/'Output-FR (check)'!$A$124,0)</f>
        <v>0</v>
      </c>
      <c r="S148" s="172">
        <f>IF(ISTEXT('CF Raw'!S$11),'CF Raw'!S34/'Output-FR (check)'!$A$124,0)</f>
        <v>0</v>
      </c>
      <c r="T148" s="172">
        <f>IF(ISTEXT('CF Raw'!T$11),'CF Raw'!T34/'Output-FR (check)'!$A$124,0)</f>
        <v>0</v>
      </c>
      <c r="U148" s="172">
        <f>IF(ISTEXT('CF Raw'!U$11),'CF Raw'!U34/'Output-FR (check)'!$A$124,0)</f>
        <v>0</v>
      </c>
      <c r="V148" s="172">
        <f>IF(ISTEXT('CF Raw'!V$11),'CF Raw'!V34/'Output-FR (check)'!$A$124,0)</f>
        <v>0</v>
      </c>
      <c r="W148" s="172">
        <f>IF(ISTEXT('CF Raw'!W$11),'CF Raw'!W34/'Output-FR (check)'!$A$124,0)</f>
        <v>0</v>
      </c>
      <c r="X148" s="172">
        <f>IF(ISTEXT('CF Raw'!X$11),'CF Raw'!X34/'Output-FR (check)'!$A$124,0)</f>
        <v>0</v>
      </c>
      <c r="Y148" s="172">
        <f>IF(ISTEXT('CF Raw'!Y$11),'CF Raw'!Y34/'Output-FR (check)'!$A$124,0)</f>
        <v>0</v>
      </c>
      <c r="Z148" s="172">
        <f>IF(ISTEXT('CF Raw'!Z$11),'CF Raw'!Z34/'Output-FR (check)'!$A$124,0)</f>
        <v>0</v>
      </c>
      <c r="AA148" s="172"/>
      <c r="AB148" s="173"/>
      <c r="AC148" s="173"/>
      <c r="AD148" s="173"/>
      <c r="AE148" s="173"/>
      <c r="AF148" s="173"/>
      <c r="AG148" s="173"/>
      <c r="AH148" s="173"/>
      <c r="AI148" s="173"/>
      <c r="AJ148" s="173"/>
      <c r="AK148" s="173"/>
      <c r="AL148" s="173"/>
      <c r="AM148" s="173"/>
      <c r="AN148" s="173"/>
      <c r="AO148" s="173"/>
      <c r="AP148" s="173"/>
      <c r="AQ148" s="173"/>
      <c r="AR148" s="173"/>
      <c r="AS148" s="173"/>
      <c r="AT148" s="173"/>
      <c r="AU148" s="173"/>
      <c r="AV148" s="173"/>
      <c r="AW148" s="173"/>
      <c r="AX148" s="173"/>
      <c r="AY148" s="173"/>
      <c r="AZ148" s="173"/>
      <c r="BA148" s="173"/>
    </row>
    <row r="149" spans="1:53" x14ac:dyDescent="0.25">
      <c r="A149" s="642"/>
      <c r="B149" s="770" t="s">
        <v>1350</v>
      </c>
      <c r="C149" s="770" t="s">
        <v>1351</v>
      </c>
      <c r="D149" s="66"/>
      <c r="E149" s="118"/>
      <c r="F149" s="118"/>
      <c r="G149" s="118"/>
      <c r="H149" s="118"/>
      <c r="I149" s="118"/>
      <c r="J149" s="119">
        <f>IF(ISTEXT('CF Raw'!J$11),'CF Raw'!J33/'Output-FR (check)'!$A$124,0)</f>
        <v>46.761590800999997</v>
      </c>
      <c r="K149" s="119">
        <f>IF(ISTEXT('CF Raw'!K$11),'CF Raw'!K33/'Output-FR (check)'!$A$124,0)</f>
        <v>14.046154281</v>
      </c>
      <c r="L149" s="119">
        <f>IF(ISTEXT('CF Raw'!L$11),'CF Raw'!L33/'Output-FR (check)'!$A$124,0)</f>
        <v>9.2583085000000001</v>
      </c>
      <c r="M149" s="119">
        <f>IF(ISTEXT('CF Raw'!M$11),'CF Raw'!M33/'Output-FR (check)'!$A$124,0)</f>
        <v>2.9337780000000002</v>
      </c>
      <c r="N149" s="119">
        <f>IF(ISTEXT('CF Raw'!N$11),'CF Raw'!N33/'Output-FR (check)'!$A$124,0)</f>
        <v>3.1967460220000001</v>
      </c>
      <c r="O149" s="119">
        <f>IF(ISTEXT('CF Raw'!O$11),'CF Raw'!O33/'Output-FR (check)'!$A$124,0)</f>
        <v>3.0462413860000002</v>
      </c>
      <c r="P149" s="671">
        <f>IF(ISTEXT('CF Raw'!P$11),'CF Raw'!P33/'Output-FR (check)'!$A$124,0)</f>
        <v>3.0462413860000002</v>
      </c>
      <c r="Q149" s="172">
        <f>IF(ISTEXT('CF Raw'!Q$11),'CF Raw'!Q33/'Output-FR (check)'!$A$124,0)</f>
        <v>0</v>
      </c>
      <c r="R149" s="172">
        <f>IF(ISTEXT('CF Raw'!R$11),'CF Raw'!R33/'Output-FR (check)'!$A$124,0)</f>
        <v>0</v>
      </c>
      <c r="S149" s="172">
        <f>IF(ISTEXT('CF Raw'!S$11),'CF Raw'!S33/'Output-FR (check)'!$A$124,0)</f>
        <v>0</v>
      </c>
      <c r="T149" s="172">
        <f>IF(ISTEXT('CF Raw'!T$11),'CF Raw'!T33/'Output-FR (check)'!$A$124,0)</f>
        <v>0</v>
      </c>
      <c r="U149" s="172">
        <f>IF(ISTEXT('CF Raw'!U$11),'CF Raw'!U33/'Output-FR (check)'!$A$124,0)</f>
        <v>0</v>
      </c>
      <c r="V149" s="172">
        <f>IF(ISTEXT('CF Raw'!V$11),'CF Raw'!V33/'Output-FR (check)'!$A$124,0)</f>
        <v>0</v>
      </c>
      <c r="W149" s="172">
        <f>IF(ISTEXT('CF Raw'!W$11),'CF Raw'!W33/'Output-FR (check)'!$A$124,0)</f>
        <v>0</v>
      </c>
      <c r="X149" s="172">
        <f>IF(ISTEXT('CF Raw'!X$11),'CF Raw'!X33/'Output-FR (check)'!$A$124,0)</f>
        <v>0</v>
      </c>
      <c r="Y149" s="172">
        <f>IF(ISTEXT('CF Raw'!Y$11),'CF Raw'!Y33/'Output-FR (check)'!$A$124,0)</f>
        <v>0</v>
      </c>
      <c r="Z149" s="172">
        <f>IF(ISTEXT('CF Raw'!Z$11),'CF Raw'!Z33/'Output-FR (check)'!$A$124,0)</f>
        <v>0</v>
      </c>
      <c r="AA149" s="172"/>
      <c r="AB149" s="173"/>
      <c r="AC149" s="173"/>
      <c r="AD149" s="173"/>
      <c r="AE149" s="173"/>
      <c r="AF149" s="173"/>
      <c r="AG149" s="173"/>
      <c r="AH149" s="173"/>
      <c r="AI149" s="173"/>
      <c r="AJ149" s="173"/>
      <c r="AK149" s="173"/>
      <c r="AL149" s="173"/>
      <c r="AM149" s="173"/>
      <c r="AN149" s="173"/>
      <c r="AO149" s="173"/>
      <c r="AP149" s="173"/>
      <c r="AQ149" s="173"/>
      <c r="AR149" s="173"/>
      <c r="AS149" s="173"/>
      <c r="AT149" s="173"/>
      <c r="AU149" s="173"/>
      <c r="AV149" s="173"/>
      <c r="AW149" s="173"/>
      <c r="AX149" s="173"/>
      <c r="AY149" s="173"/>
      <c r="AZ149" s="173"/>
      <c r="BA149" s="173"/>
    </row>
    <row r="150" spans="1:53" x14ac:dyDescent="0.25">
      <c r="A150" s="642"/>
      <c r="B150" s="770" t="s">
        <v>514</v>
      </c>
      <c r="C150" s="770"/>
      <c r="D150" s="66"/>
      <c r="E150" s="118"/>
      <c r="F150" s="118"/>
      <c r="G150" s="118"/>
      <c r="H150" s="118"/>
      <c r="I150" s="118"/>
      <c r="J150" s="119">
        <f>IF(ISTEXT('CF Raw'!J$11),'CF Raw'!J30/'Output-FR (check)'!$A$124,0)</f>
        <v>0</v>
      </c>
      <c r="K150" s="119">
        <f>IF(ISTEXT('CF Raw'!K$11),'CF Raw'!K30/'Output-FR (check)'!$A$124,0)</f>
        <v>0</v>
      </c>
      <c r="L150" s="119">
        <f>IF(ISTEXT('CF Raw'!L$11),'CF Raw'!L30/'Output-FR (check)'!$A$124,0)</f>
        <v>0</v>
      </c>
      <c r="M150" s="119">
        <f>IF(ISTEXT('CF Raw'!M$11),'CF Raw'!M30/'Output-FR (check)'!$A$124,0)</f>
        <v>0</v>
      </c>
      <c r="N150" s="119">
        <f>IF(ISTEXT('CF Raw'!N$11),'CF Raw'!N30/'Output-FR (check)'!$A$124,0)</f>
        <v>0</v>
      </c>
      <c r="O150" s="119">
        <f>IF(ISTEXT('CF Raw'!O$11),'CF Raw'!O30/'Output-FR (check)'!$A$124,0)</f>
        <v>0</v>
      </c>
      <c r="P150" s="671">
        <f>IF(ISTEXT('CF Raw'!P$11),'CF Raw'!P30/'Output-FR (check)'!$A$124,0)</f>
        <v>0</v>
      </c>
      <c r="Q150" s="172">
        <f>IF(ISTEXT('CF Raw'!Q$11),'CF Raw'!Q30/'Output-FR (check)'!$A$124,0)</f>
        <v>0</v>
      </c>
      <c r="R150" s="172">
        <f>IF(ISTEXT('CF Raw'!R$11),'CF Raw'!R30/'Output-FR (check)'!$A$124,0)</f>
        <v>0</v>
      </c>
      <c r="S150" s="172">
        <f>IF(ISTEXT('CF Raw'!S$11),'CF Raw'!S30/'Output-FR (check)'!$A$124,0)</f>
        <v>0</v>
      </c>
      <c r="T150" s="172">
        <f>IF(ISTEXT('CF Raw'!T$11),'CF Raw'!T30/'Output-FR (check)'!$A$124,0)</f>
        <v>0</v>
      </c>
      <c r="U150" s="172">
        <f>IF(ISTEXT('CF Raw'!U$11),'CF Raw'!U30/'Output-FR (check)'!$A$124,0)</f>
        <v>0</v>
      </c>
      <c r="V150" s="172">
        <f>IF(ISTEXT('CF Raw'!V$11),'CF Raw'!V30/'Output-FR (check)'!$A$124,0)</f>
        <v>0</v>
      </c>
      <c r="W150" s="172">
        <f>IF(ISTEXT('CF Raw'!W$11),'CF Raw'!W30/'Output-FR (check)'!$A$124,0)</f>
        <v>0</v>
      </c>
      <c r="X150" s="172">
        <f>IF(ISTEXT('CF Raw'!X$11),'CF Raw'!X30/'Output-FR (check)'!$A$124,0)</f>
        <v>0</v>
      </c>
      <c r="Y150" s="172">
        <f>IF(ISTEXT('CF Raw'!Y$11),'CF Raw'!Y30/'Output-FR (check)'!$A$124,0)</f>
        <v>0</v>
      </c>
      <c r="Z150" s="172">
        <f>IF(ISTEXT('CF Raw'!Z$11),'CF Raw'!Z30/'Output-FR (check)'!$A$124,0)</f>
        <v>0</v>
      </c>
      <c r="AA150" s="172"/>
      <c r="AB150" s="173"/>
      <c r="AC150" s="173"/>
      <c r="AD150" s="173"/>
      <c r="AE150" s="173"/>
      <c r="AF150" s="173"/>
      <c r="AG150" s="173"/>
      <c r="AH150" s="173"/>
      <c r="AI150" s="173"/>
      <c r="AJ150" s="173"/>
      <c r="AK150" s="173"/>
      <c r="AL150" s="173"/>
      <c r="AM150" s="173"/>
      <c r="AN150" s="173"/>
      <c r="AO150" s="173"/>
      <c r="AP150" s="173"/>
      <c r="AQ150" s="173"/>
      <c r="AR150" s="173"/>
      <c r="AS150" s="173"/>
      <c r="AT150" s="173"/>
      <c r="AU150" s="173"/>
      <c r="AV150" s="173"/>
      <c r="AW150" s="173"/>
      <c r="AX150" s="173"/>
      <c r="AY150" s="173"/>
      <c r="AZ150" s="173"/>
      <c r="BA150" s="173"/>
    </row>
    <row r="151" spans="1:53" x14ac:dyDescent="0.25">
      <c r="A151" s="642"/>
      <c r="B151" s="770" t="s">
        <v>1267</v>
      </c>
      <c r="C151" s="770"/>
      <c r="D151" s="66"/>
      <c r="E151" s="118"/>
      <c r="F151" s="118"/>
      <c r="G151" s="118"/>
      <c r="H151" s="118"/>
      <c r="I151" s="118"/>
      <c r="J151" s="119">
        <f>IF(ISTEXT('CF Raw'!J$11),0,-'Output-FR (check)'!J37)</f>
        <v>0</v>
      </c>
      <c r="K151" s="119">
        <f>IF(ISTEXT('CF Raw'!K$11),0,-'Output-FR (check)'!K37)</f>
        <v>0</v>
      </c>
      <c r="L151" s="119">
        <f>IF(ISTEXT('CF Raw'!L$11),0,-'Output-FR (check)'!L37)</f>
        <v>0</v>
      </c>
      <c r="M151" s="119">
        <f>IF(ISTEXT('CF Raw'!M$11),0,-'Output-FR (check)'!M37)</f>
        <v>0</v>
      </c>
      <c r="N151" s="119">
        <f>IF(ISTEXT('CF Raw'!N$11),0,-'Output-FR (check)'!N37)</f>
        <v>0</v>
      </c>
      <c r="O151" s="119">
        <f>IF(ISTEXT('CF Raw'!O$11),0,-'Output-FR (check)'!O37)</f>
        <v>0</v>
      </c>
      <c r="P151" s="671">
        <f>IF(ISTEXT('CF Raw'!P$11),0,-'Output-FR (check)'!P37)</f>
        <v>0</v>
      </c>
      <c r="Q151" s="172">
        <f ca="1">IF(ISTEXT('CF Raw'!Q$11),0,-'Output-FR (check)'!Q37)</f>
        <v>-30.463986956335713</v>
      </c>
      <c r="R151" s="172">
        <f ca="1">IF(ISTEXT('CF Raw'!R$11),0,-'Output-FR (check)'!R37)</f>
        <v>-29.863593778030303</v>
      </c>
      <c r="S151" s="172">
        <f ca="1">IF(ISTEXT('CF Raw'!S$11),0,-'Output-FR (check)'!S37)</f>
        <v>-43.231592255088081</v>
      </c>
      <c r="T151" s="172">
        <f ca="1">IF(ISTEXT('CF Raw'!T$11),0,-'Output-FR (check)'!T37)</f>
        <v>-49.708416211466798</v>
      </c>
      <c r="U151" s="172">
        <f ca="1">IF(ISTEXT('CF Raw'!U$11),0,-'Output-FR (check)'!U37)</f>
        <v>-56.779281888075801</v>
      </c>
      <c r="V151" s="172">
        <f ca="1">IF(ISTEXT('CF Raw'!V$11),0,-'Output-FR (check)'!V37)</f>
        <v>-63.067833252756309</v>
      </c>
      <c r="W151" s="172">
        <f ca="1">IF(ISTEXT('CF Raw'!W$11),0,-'Output-FR (check)'!W37)</f>
        <v>-70.717078393246027</v>
      </c>
      <c r="X151" s="172">
        <f ca="1">IF(ISTEXT('CF Raw'!X$11),0,-'Output-FR (check)'!X37)</f>
        <v>-73.713684148849225</v>
      </c>
      <c r="Y151" s="172">
        <f ca="1">IF(ISTEXT('CF Raw'!Y$11),0,-'Output-FR (check)'!Y37)</f>
        <v>-77.665874579060045</v>
      </c>
      <c r="Z151" s="172">
        <f ca="1">IF(ISTEXT('CF Raw'!Z$11),0,-'Output-FR (check)'!Z37)</f>
        <v>-81.959768741772962</v>
      </c>
      <c r="AA151" s="172"/>
      <c r="AB151" s="173"/>
      <c r="AC151" s="173"/>
      <c r="AD151" s="173"/>
      <c r="AE151" s="173"/>
      <c r="AF151" s="173"/>
      <c r="AG151" s="173"/>
      <c r="AH151" s="173"/>
      <c r="AI151" s="173"/>
      <c r="AJ151" s="173"/>
      <c r="AK151" s="173"/>
      <c r="AL151" s="173"/>
      <c r="AM151" s="173"/>
      <c r="AN151" s="173"/>
      <c r="AO151" s="173"/>
      <c r="AP151" s="173"/>
      <c r="AQ151" s="173"/>
      <c r="AR151" s="173"/>
      <c r="AS151" s="173"/>
      <c r="AT151" s="173"/>
      <c r="AU151" s="173"/>
      <c r="AV151" s="173"/>
      <c r="AW151" s="173"/>
      <c r="AX151" s="173"/>
      <c r="AY151" s="173"/>
      <c r="AZ151" s="173"/>
      <c r="BA151" s="173"/>
    </row>
    <row r="152" spans="1:53" x14ac:dyDescent="0.25">
      <c r="A152" s="642"/>
      <c r="B152" s="770"/>
      <c r="C152" s="770"/>
      <c r="D152" s="66"/>
      <c r="E152" s="118"/>
      <c r="F152" s="118"/>
      <c r="G152" s="118"/>
      <c r="H152" s="118"/>
      <c r="I152" s="118"/>
      <c r="J152" s="118"/>
      <c r="K152" s="118"/>
      <c r="L152" s="118"/>
      <c r="M152" s="118"/>
      <c r="N152" s="118"/>
      <c r="O152" s="118"/>
      <c r="P152" s="218"/>
      <c r="Q152" s="173"/>
      <c r="R152" s="173"/>
      <c r="S152" s="173"/>
      <c r="T152" s="173"/>
      <c r="U152" s="173"/>
      <c r="V152" s="173"/>
      <c r="W152" s="173"/>
      <c r="X152" s="173"/>
      <c r="Y152" s="173"/>
      <c r="Z152" s="173"/>
      <c r="AA152" s="173"/>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c r="BA152" s="118"/>
    </row>
    <row r="153" spans="1:53" x14ac:dyDescent="0.25">
      <c r="A153" s="780"/>
      <c r="B153" s="771" t="s">
        <v>1352</v>
      </c>
      <c r="C153" s="771"/>
      <c r="D153" s="44"/>
      <c r="E153" s="152"/>
      <c r="F153" s="152"/>
      <c r="G153" s="152"/>
      <c r="H153" s="152"/>
      <c r="I153" s="152"/>
      <c r="J153" s="374">
        <f>+SUM(J142:J150)</f>
        <v>-46.211996034999984</v>
      </c>
      <c r="K153" s="374">
        <f t="shared" ref="K153:Z153" si="23">+SUM(K142:K150)</f>
        <v>-86.134919774999986</v>
      </c>
      <c r="L153" s="374">
        <f t="shared" si="23"/>
        <v>-216.13879219499998</v>
      </c>
      <c r="M153" s="374">
        <f t="shared" si="23"/>
        <v>-112.75526053399999</v>
      </c>
      <c r="N153" s="374">
        <f t="shared" si="23"/>
        <v>-199.05269063600002</v>
      </c>
      <c r="O153" s="374">
        <f t="shared" si="23"/>
        <v>-9.4331522420000073</v>
      </c>
      <c r="P153" s="767">
        <f t="shared" si="23"/>
        <v>-237.37354599099999</v>
      </c>
      <c r="Q153" s="375">
        <f t="shared" ca="1" si="23"/>
        <v>12.005560424000855</v>
      </c>
      <c r="R153" s="375">
        <f t="shared" ca="1" si="23"/>
        <v>-115.27271628141828</v>
      </c>
      <c r="S153" s="375">
        <f t="shared" ca="1" si="23"/>
        <v>-225.53340843252596</v>
      </c>
      <c r="T153" s="375">
        <f t="shared" ca="1" si="23"/>
        <v>-160.18043519735181</v>
      </c>
      <c r="U153" s="375">
        <f t="shared" ca="1" si="23"/>
        <v>-259.49000219878127</v>
      </c>
      <c r="V153" s="375">
        <f t="shared" ca="1" si="23"/>
        <v>-163.79958289221841</v>
      </c>
      <c r="W153" s="375">
        <f t="shared" ca="1" si="23"/>
        <v>-323.35878228342477</v>
      </c>
      <c r="X153" s="375">
        <f t="shared" ca="1" si="23"/>
        <v>-357.52554975377359</v>
      </c>
      <c r="Y153" s="375">
        <f t="shared" ca="1" si="23"/>
        <v>-235.43999225629886</v>
      </c>
      <c r="Z153" s="375">
        <f t="shared" ca="1" si="23"/>
        <v>-304.12289052832909</v>
      </c>
      <c r="AA153" s="375"/>
      <c r="AB153" s="376"/>
      <c r="AC153" s="376"/>
      <c r="AD153" s="376"/>
      <c r="AE153" s="376"/>
      <c r="AF153" s="376"/>
      <c r="AG153" s="376"/>
      <c r="AH153" s="376"/>
      <c r="AI153" s="376"/>
      <c r="AJ153" s="376"/>
      <c r="AK153" s="376"/>
      <c r="AL153" s="376"/>
      <c r="AM153" s="376"/>
      <c r="AN153" s="376"/>
      <c r="AO153" s="376"/>
      <c r="AP153" s="376"/>
      <c r="AQ153" s="376"/>
      <c r="AR153" s="376"/>
      <c r="AS153" s="376"/>
      <c r="AT153" s="376"/>
      <c r="AU153" s="376"/>
      <c r="AV153" s="376"/>
      <c r="AW153" s="376"/>
      <c r="AX153" s="376"/>
      <c r="AY153" s="376"/>
      <c r="AZ153" s="376"/>
      <c r="BA153" s="376"/>
    </row>
    <row r="154" spans="1:53" x14ac:dyDescent="0.25">
      <c r="A154" s="780"/>
      <c r="B154" s="783" t="s">
        <v>1353</v>
      </c>
      <c r="C154" s="783" t="s">
        <v>1354</v>
      </c>
      <c r="D154" s="784"/>
      <c r="E154" s="759"/>
      <c r="F154" s="759"/>
      <c r="G154" s="759"/>
      <c r="H154" s="759"/>
      <c r="I154" s="759"/>
      <c r="J154" s="760">
        <f>J140+J151+J153</f>
        <v>261.85353400999998</v>
      </c>
      <c r="K154" s="760">
        <f t="shared" ref="K154:Z154" si="24">K140+K151+K153</f>
        <v>114.48628246299992</v>
      </c>
      <c r="L154" s="760">
        <f t="shared" si="24"/>
        <v>17.715983709</v>
      </c>
      <c r="M154" s="760">
        <f t="shared" si="24"/>
        <v>107.86124462500011</v>
      </c>
      <c r="N154" s="760">
        <f t="shared" si="24"/>
        <v>-1.0361782050000272</v>
      </c>
      <c r="O154" s="760">
        <f t="shared" si="24"/>
        <v>212.90751051299998</v>
      </c>
      <c r="P154" s="761">
        <f t="shared" si="24"/>
        <v>27.727854728000096</v>
      </c>
      <c r="Q154" s="762">
        <f t="shared" ca="1" si="24"/>
        <v>369.22825523391163</v>
      </c>
      <c r="R154" s="762">
        <f t="shared" ca="1" si="24"/>
        <v>275.40562313654334</v>
      </c>
      <c r="S154" s="762">
        <f t="shared" ca="1" si="24"/>
        <v>287.07165010876514</v>
      </c>
      <c r="T154" s="762">
        <f t="shared" ca="1" si="24"/>
        <v>358.04936611651635</v>
      </c>
      <c r="U154" s="762">
        <f t="shared" ca="1" si="24"/>
        <v>310.96509039397921</v>
      </c>
      <c r="V154" s="762">
        <f t="shared" ca="1" si="24"/>
        <v>448.28082546467897</v>
      </c>
      <c r="W154" s="762">
        <f t="shared" ca="1" si="24"/>
        <v>342.26958233206364</v>
      </c>
      <c r="X154" s="762">
        <f t="shared" ca="1" si="24"/>
        <v>338.66781185182515</v>
      </c>
      <c r="Y154" s="762">
        <f t="shared" ca="1" si="24"/>
        <v>492.85856347652032</v>
      </c>
      <c r="Z154" s="762">
        <f t="shared" ca="1" si="24"/>
        <v>458.6684169728029</v>
      </c>
      <c r="AA154" s="760"/>
      <c r="AB154" s="763"/>
      <c r="AC154" s="763"/>
      <c r="AD154" s="763"/>
      <c r="AE154" s="763"/>
      <c r="AF154" s="763"/>
      <c r="AG154" s="763"/>
      <c r="AH154" s="763"/>
      <c r="AI154" s="763"/>
      <c r="AJ154" s="763"/>
      <c r="AK154" s="763"/>
      <c r="AL154" s="763"/>
      <c r="AM154" s="763"/>
      <c r="AN154" s="763"/>
      <c r="AO154" s="763"/>
      <c r="AP154" s="763"/>
      <c r="AQ154" s="763"/>
      <c r="AR154" s="763"/>
      <c r="AS154" s="763"/>
      <c r="AT154" s="763"/>
      <c r="AU154" s="763"/>
      <c r="AV154" s="763"/>
      <c r="AW154" s="763"/>
      <c r="AX154" s="763"/>
      <c r="AY154" s="763"/>
      <c r="AZ154" s="763"/>
      <c r="BA154" s="763"/>
    </row>
    <row r="155" spans="1:53" x14ac:dyDescent="0.25">
      <c r="A155" s="426"/>
      <c r="B155" s="785" t="s">
        <v>468</v>
      </c>
      <c r="C155" s="785"/>
      <c r="D155" s="428"/>
      <c r="E155" s="428"/>
      <c r="F155" s="428"/>
      <c r="G155" s="428"/>
      <c r="H155" s="428"/>
      <c r="I155" s="428"/>
      <c r="J155" s="429">
        <f>IF(ISTEXT('CF Raw'!J$11),J154-'CF Raw'!J35/'Output-FR (check)'!$A$124,"Chưa có BCTC")</f>
        <v>0</v>
      </c>
      <c r="K155" s="429">
        <f>IF(ISTEXT('CF Raw'!K$11),K154-'CF Raw'!K35/'Output-FR (check)'!$A$124,"Chưa có BCTC")</f>
        <v>-7.1054273576010019E-14</v>
      </c>
      <c r="L155" s="429">
        <f>IF(ISTEXT('CF Raw'!L$11),L154-'CF Raw'!L35/'Output-FR (check)'!$A$124,"Chưa có BCTC")</f>
        <v>0</v>
      </c>
      <c r="M155" s="429">
        <f>IF(ISTEXT('CF Raw'!M$11),M154-'CF Raw'!M35/'Output-FR (check)'!$A$124,"Chưa có BCTC")</f>
        <v>1.1368683772161603E-13</v>
      </c>
      <c r="N155" s="429">
        <f>IF(ISTEXT('CF Raw'!N$11),N154-'CF Raw'!N35/'Output-FR (check)'!$A$124,"Chưa có BCTC")</f>
        <v>-2.7311486405778851E-14</v>
      </c>
      <c r="O155" s="429">
        <f>IF(ISTEXT('CF Raw'!O$11),O154-'CF Raw'!O35/'Output-FR (check)'!$A$124,"Chưa có BCTC")</f>
        <v>-2.8421709430404007E-14</v>
      </c>
      <c r="P155" s="786">
        <f>IF(ISTEXT('CF Raw'!P$11),P154-'CF Raw'!P35/'Output-FR (check)'!$A$124,"Chưa có BCTC")</f>
        <v>-2.1452719999039971E-3</v>
      </c>
      <c r="Q155" s="1894" t="str">
        <f>IF(ISTEXT('CF Raw'!Q$11),Q154-'CF Raw'!Q35/'Output-FR (check)'!$A$124,"Chưa có BCTC")</f>
        <v>Chưa có BCTC</v>
      </c>
      <c r="R155" s="1894" t="str">
        <f>IF(ISTEXT('CF Raw'!R$11),R154-'CF Raw'!R35/'Output-FR (check)'!$A$124,"Chưa có BCTC")</f>
        <v>Chưa có BCTC</v>
      </c>
      <c r="S155" s="1894" t="str">
        <f>IF(ISTEXT('CF Raw'!S$11),S154-'CF Raw'!S35/'Output-FR (check)'!$A$124,"Chưa có BCTC")</f>
        <v>Chưa có BCTC</v>
      </c>
      <c r="T155" s="1894" t="str">
        <f>IF(ISTEXT('CF Raw'!T$11),T154-'CF Raw'!T35/'Output-FR (check)'!$A$124,"Chưa có BCTC")</f>
        <v>Chưa có BCTC</v>
      </c>
      <c r="U155" s="1894" t="str">
        <f>IF(ISTEXT('CF Raw'!U$11),U154-'CF Raw'!U35/'Output-FR (check)'!$A$124,"Chưa có BCTC")</f>
        <v>Chưa có BCTC</v>
      </c>
      <c r="V155" s="1894" t="str">
        <f>IF(ISTEXT('CF Raw'!V$11),V154-'CF Raw'!V35/'Output-FR (check)'!$A$124,"Chưa có BCTC")</f>
        <v>Chưa có BCTC</v>
      </c>
      <c r="W155" s="1894" t="str">
        <f>IF(ISTEXT('CF Raw'!W$11),W154-'CF Raw'!W35/'Output-FR (check)'!$A$124,"Chưa có BCTC")</f>
        <v>Chưa có BCTC</v>
      </c>
      <c r="X155" s="1894" t="str">
        <f>IF(ISTEXT('CF Raw'!X$11),X154-'CF Raw'!X35/'Output-FR (check)'!$A$124,"Chưa có BCTC")</f>
        <v>Chưa có BCTC</v>
      </c>
      <c r="Y155" s="1894" t="str">
        <f>IF(ISTEXT('CF Raw'!Y$11),Y154-'CF Raw'!Y35/'Output-FR (check)'!$A$124,"Chưa có BCTC")</f>
        <v>Chưa có BCTC</v>
      </c>
      <c r="Z155" s="1894" t="str">
        <f>IF(ISTEXT('CF Raw'!Z$11),Z154-'CF Raw'!Z35/'Output-FR (check)'!$A$124,"Chưa có BCTC")</f>
        <v>Chưa có BCTC</v>
      </c>
      <c r="AA155" s="429"/>
      <c r="AB155" s="787"/>
      <c r="AC155" s="787"/>
      <c r="AD155" s="787"/>
      <c r="AE155" s="787"/>
      <c r="AF155" s="787"/>
      <c r="AG155" s="787"/>
      <c r="AH155" s="787"/>
      <c r="AI155" s="787"/>
      <c r="AJ155" s="787"/>
      <c r="AK155" s="787"/>
      <c r="AL155" s="787"/>
      <c r="AM155" s="787"/>
      <c r="AN155" s="787"/>
      <c r="AO155" s="787"/>
      <c r="AP155" s="787"/>
      <c r="AQ155" s="787"/>
      <c r="AR155" s="787"/>
      <c r="AS155" s="787"/>
      <c r="AT155" s="787"/>
      <c r="AU155" s="787"/>
      <c r="AV155" s="787"/>
      <c r="AW155" s="787"/>
      <c r="AX155" s="787"/>
      <c r="AY155" s="787"/>
      <c r="AZ155" s="787"/>
      <c r="BA155" s="787"/>
    </row>
    <row r="156" spans="1:53" x14ac:dyDescent="0.25">
      <c r="A156" s="642"/>
      <c r="B156" s="770"/>
      <c r="C156" s="770"/>
      <c r="D156" s="66"/>
      <c r="E156" s="66"/>
      <c r="F156" s="66"/>
      <c r="G156" s="66"/>
      <c r="H156" s="66"/>
      <c r="I156" s="66"/>
      <c r="J156" s="66"/>
      <c r="K156" s="66"/>
      <c r="L156" s="66"/>
      <c r="M156" s="66"/>
      <c r="N156" s="118"/>
      <c r="O156" s="118"/>
      <c r="P156" s="218"/>
      <c r="Q156" s="118"/>
      <c r="R156" s="118"/>
      <c r="S156" s="118"/>
      <c r="T156" s="118"/>
      <c r="U156" s="118"/>
      <c r="V156" s="118"/>
      <c r="W156" s="118"/>
      <c r="X156" s="118"/>
      <c r="Y156" s="118"/>
      <c r="Z156" s="118"/>
      <c r="AA156" s="118"/>
      <c r="AB156" s="118"/>
      <c r="AC156" s="118"/>
      <c r="AD156" s="118"/>
      <c r="AE156" s="118"/>
      <c r="AF156" s="118"/>
      <c r="AG156" s="118"/>
      <c r="AH156" s="118"/>
      <c r="AI156" s="118"/>
      <c r="AJ156" s="118"/>
      <c r="AK156" s="118"/>
      <c r="AL156" s="118"/>
      <c r="AM156" s="118"/>
      <c r="AN156" s="118"/>
      <c r="AO156" s="118"/>
      <c r="AP156" s="118"/>
      <c r="AQ156" s="118"/>
      <c r="AR156" s="118"/>
      <c r="AS156" s="118"/>
      <c r="AT156" s="118"/>
      <c r="AU156" s="118"/>
      <c r="AV156" s="118"/>
      <c r="AW156" s="118"/>
      <c r="AX156" s="118"/>
      <c r="AY156" s="118"/>
      <c r="AZ156" s="118"/>
      <c r="BA156" s="118"/>
    </row>
    <row r="157" spans="1:53" x14ac:dyDescent="0.25">
      <c r="A157" s="642"/>
      <c r="B157" s="770" t="s">
        <v>1355</v>
      </c>
      <c r="C157" s="770" t="s">
        <v>1356</v>
      </c>
      <c r="D157" s="66"/>
      <c r="E157" s="118"/>
      <c r="F157" s="118"/>
      <c r="G157" s="118"/>
      <c r="H157" s="118"/>
      <c r="I157" s="118"/>
      <c r="J157" s="119">
        <f>IF(ISTEXT('CF Raw'!J$11),('CF Raw'!J36+'CF Raw'!J37)/'Output-FR (check)'!$A$124,-'LT. Asset'!J9)</f>
        <v>-40.701219500999997</v>
      </c>
      <c r="K157" s="119">
        <f>IF(ISTEXT('CF Raw'!K$11),('CF Raw'!K36+'CF Raw'!K37)/'Output-FR (check)'!$A$124,-'LT. Asset'!K9)</f>
        <v>-115.31445511699999</v>
      </c>
      <c r="L157" s="119">
        <f>IF(ISTEXT('CF Raw'!L$11),('CF Raw'!L36+'CF Raw'!L37)/'Output-FR (check)'!$A$124,-'LT. Asset'!L9)</f>
        <v>-49.726230184000002</v>
      </c>
      <c r="M157" s="119">
        <f>IF(ISTEXT('CF Raw'!M$11),('CF Raw'!M36+'CF Raw'!M37)/'Output-FR (check)'!$A$124,-'LT. Asset'!M9)</f>
        <v>-44.080067954999997</v>
      </c>
      <c r="N157" s="119">
        <f>IF(ISTEXT('CF Raw'!N$11),('CF Raw'!N36+'CF Raw'!N37)/'Output-FR (check)'!$A$124,-'LT. Asset'!N9)</f>
        <v>-149.62789548699999</v>
      </c>
      <c r="O157" s="119">
        <f>IF(ISTEXT('CF Raw'!O$11),('CF Raw'!O36+'CF Raw'!O37)/'Output-FR (check)'!$A$124,-'LT. Asset'!O9)</f>
        <v>-55.734319657999997</v>
      </c>
      <c r="P157" s="671">
        <f>IF(ISTEXT('CF Raw'!P$11),('CF Raw'!P36+'CF Raw'!P37)/'Output-FR (check)'!$A$124,-'LT. Asset'!P9)</f>
        <v>0</v>
      </c>
      <c r="Q157" s="172">
        <f>IF(ISTEXT('CF Raw'!Q$11),('CF Raw'!Q36+'CF Raw'!Q37)/'Output-FR (check)'!$A$124,-'LT. Asset'!Q9)</f>
        <v>-451.02885356693275</v>
      </c>
      <c r="R157" s="172">
        <f>IF(ISTEXT('CF Raw'!R$11),('CF Raw'!R36+'CF Raw'!R37)/'Output-FR (check)'!$A$124,-'LT. Asset'!R9)</f>
        <v>-354.63249581806161</v>
      </c>
      <c r="S157" s="172">
        <f>IF(ISTEXT('CF Raw'!S$11),('CF Raw'!S36+'CF Raw'!S37)/'Output-FR (check)'!$A$124,-'LT. Asset'!S9)</f>
        <v>-79.482834742685924</v>
      </c>
      <c r="T157" s="172">
        <f>IF(ISTEXT('CF Raw'!T$11),('CF Raw'!T36+'CF Raw'!T37)/'Output-FR (check)'!$A$124,-'LT. Asset'!T9)</f>
        <v>-89.864940627648025</v>
      </c>
      <c r="U157" s="172">
        <f>IF(ISTEXT('CF Raw'!U$11),('CF Raw'!U36+'CF Raw'!U37)/'Output-FR (check)'!$A$124,-'LT. Asset'!U9)</f>
        <v>-91.651435783446118</v>
      </c>
      <c r="V157" s="172">
        <f>IF(ISTEXT('CF Raw'!V$11),('CF Raw'!V36+'CF Raw'!V37)/'Output-FR (check)'!$A$124,-'LT. Asset'!V9)</f>
        <v>-98.591712970382872</v>
      </c>
      <c r="W157" s="172">
        <f>IF(ISTEXT('CF Raw'!W$11),('CF Raw'!W36+'CF Raw'!W37)/'Output-FR (check)'!$A$124,-'LT. Asset'!W9)</f>
        <v>-107.61073435163705</v>
      </c>
      <c r="X157" s="172">
        <f>IF(ISTEXT('CF Raw'!X$11),('CF Raw'!X36+'CF Raw'!X37)/'Output-FR (check)'!$A$124,-'LT. Asset'!X9)</f>
        <v>-93.298140814281055</v>
      </c>
      <c r="Y157" s="172">
        <f>IF(ISTEXT('CF Raw'!Y$11),('CF Raw'!Y36+'CF Raw'!Y37)/'Output-FR (check)'!$A$124,-'LT. Asset'!Y9)</f>
        <v>-97.248723054039104</v>
      </c>
      <c r="Z157" s="172">
        <f>IF(ISTEXT('CF Raw'!Z$11),('CF Raw'!Z36+'CF Raw'!Z37)/'Output-FR (check)'!$A$124,-'LT. Asset'!Z9)</f>
        <v>-101.56085577511773</v>
      </c>
      <c r="AA157" s="172"/>
      <c r="AB157" s="173"/>
      <c r="AC157" s="173"/>
      <c r="AD157" s="173"/>
      <c r="AE157" s="173"/>
      <c r="AF157" s="173"/>
      <c r="AG157" s="173"/>
      <c r="AH157" s="173"/>
      <c r="AI157" s="173"/>
      <c r="AJ157" s="173"/>
      <c r="AK157" s="173"/>
      <c r="AL157" s="173"/>
      <c r="AM157" s="173"/>
      <c r="AN157" s="173"/>
      <c r="AO157" s="173"/>
      <c r="AP157" s="173"/>
      <c r="AQ157" s="173"/>
      <c r="AR157" s="173"/>
      <c r="AS157" s="173"/>
      <c r="AT157" s="173"/>
      <c r="AU157" s="173"/>
      <c r="AV157" s="173"/>
      <c r="AW157" s="173"/>
      <c r="AX157" s="173"/>
      <c r="AY157" s="173"/>
      <c r="AZ157" s="173"/>
      <c r="BA157" s="173"/>
    </row>
    <row r="158" spans="1:53" x14ac:dyDescent="0.25">
      <c r="A158" s="642"/>
      <c r="B158" s="770" t="s">
        <v>1357</v>
      </c>
      <c r="C158" s="770" t="s">
        <v>1358</v>
      </c>
      <c r="D158" s="66"/>
      <c r="E158" s="118"/>
      <c r="F158" s="118"/>
      <c r="G158" s="118"/>
      <c r="H158" s="118"/>
      <c r="I158" s="118"/>
      <c r="J158" s="119">
        <f>IF(ISTEXT('CF Raw'!J$11),0,-J135)</f>
        <v>0</v>
      </c>
      <c r="K158" s="119">
        <f>IF(ISTEXT('CF Raw'!K$11),0,-K135)</f>
        <v>0</v>
      </c>
      <c r="L158" s="119">
        <f>IF(ISTEXT('CF Raw'!L$11),0,-L135)</f>
        <v>0</v>
      </c>
      <c r="M158" s="119">
        <f>IF(ISTEXT('CF Raw'!M$11),0,-M135)</f>
        <v>0</v>
      </c>
      <c r="N158" s="119">
        <f>IF(ISTEXT('CF Raw'!N$11),0,-N135)</f>
        <v>0</v>
      </c>
      <c r="O158" s="119">
        <f>IF(ISTEXT('CF Raw'!O$11),0,-O135)</f>
        <v>0</v>
      </c>
      <c r="P158" s="671">
        <f>IF(ISTEXT('CF Raw'!P$11),0,-P135)</f>
        <v>0</v>
      </c>
      <c r="Q158" s="172">
        <f>IF(ISTEXT('CF Raw'!Q$11),0,-Q135)</f>
        <v>0</v>
      </c>
      <c r="R158" s="172">
        <f>IF(ISTEXT('CF Raw'!R$11),0,-R135)</f>
        <v>0</v>
      </c>
      <c r="S158" s="172">
        <f>IF(ISTEXT('CF Raw'!S$11),0,-S135)</f>
        <v>0</v>
      </c>
      <c r="T158" s="172">
        <f>IF(ISTEXT('CF Raw'!T$11),0,-T135)</f>
        <v>0</v>
      </c>
      <c r="U158" s="172">
        <f>IF(ISTEXT('CF Raw'!U$11),0,-U135)</f>
        <v>0</v>
      </c>
      <c r="V158" s="172">
        <f>IF(ISTEXT('CF Raw'!V$11),0,-V135)</f>
        <v>0</v>
      </c>
      <c r="W158" s="172">
        <f>IF(ISTEXT('CF Raw'!W$11),0,-W135)</f>
        <v>0</v>
      </c>
      <c r="X158" s="172">
        <f>IF(ISTEXT('CF Raw'!X$11),0,-X135)</f>
        <v>0</v>
      </c>
      <c r="Y158" s="172">
        <f>IF(ISTEXT('CF Raw'!Y$11),0,-Y135)</f>
        <v>0</v>
      </c>
      <c r="Z158" s="172">
        <f>IF(ISTEXT('CF Raw'!Z$11),0,-Z135)</f>
        <v>0</v>
      </c>
      <c r="AA158" s="172"/>
      <c r="AB158" s="173"/>
      <c r="AC158" s="173"/>
      <c r="AD158" s="173"/>
      <c r="AE158" s="173"/>
      <c r="AF158" s="173"/>
      <c r="AG158" s="173"/>
      <c r="AH158" s="173"/>
      <c r="AI158" s="173"/>
      <c r="AJ158" s="173"/>
      <c r="AK158" s="173"/>
      <c r="AL158" s="173"/>
      <c r="AM158" s="173"/>
      <c r="AN158" s="173"/>
      <c r="AO158" s="173"/>
      <c r="AP158" s="173"/>
      <c r="AQ158" s="173"/>
      <c r="AR158" s="173"/>
      <c r="AS158" s="173"/>
      <c r="AT158" s="173"/>
      <c r="AU158" s="173"/>
      <c r="AV158" s="173"/>
      <c r="AW158" s="173"/>
      <c r="AX158" s="173"/>
      <c r="AY158" s="173"/>
      <c r="AZ158" s="173"/>
      <c r="BA158" s="173"/>
    </row>
    <row r="159" spans="1:53" x14ac:dyDescent="0.25">
      <c r="A159" s="642"/>
      <c r="B159" s="770" t="s">
        <v>1359</v>
      </c>
      <c r="C159" s="770"/>
      <c r="D159" s="66"/>
      <c r="E159" s="118"/>
      <c r="F159" s="118"/>
      <c r="G159" s="118"/>
      <c r="H159" s="118"/>
      <c r="I159" s="118"/>
      <c r="J159" s="119">
        <f>IF(ISTEXT('CF Raw'!J$11),'CF Raw'!J42/'Output-FR (check)'!$A$124,-J136)</f>
        <v>14.499025676</v>
      </c>
      <c r="K159" s="119">
        <f>IF(ISTEXT('CF Raw'!K$11),'CF Raw'!K42/'Output-FR (check)'!$A$124,-K136)</f>
        <v>13.178431081999999</v>
      </c>
      <c r="L159" s="119">
        <f>IF(ISTEXT('CF Raw'!L$11),'CF Raw'!L42/'Output-FR (check)'!$A$124,-L136)</f>
        <v>18.071891587</v>
      </c>
      <c r="M159" s="119">
        <f>IF(ISTEXT('CF Raw'!M$11),'CF Raw'!M42/'Output-FR (check)'!$A$124,-M136)</f>
        <v>21.682975744</v>
      </c>
      <c r="N159" s="119">
        <f>IF(ISTEXT('CF Raw'!N$11),'CF Raw'!N42/'Output-FR (check)'!$A$124,-N136)</f>
        <v>21.615407874999999</v>
      </c>
      <c r="O159" s="119">
        <f>IF(ISTEXT('CF Raw'!O$11),'CF Raw'!O42/'Output-FR (check)'!$A$124,-O136)</f>
        <v>9.2733607070000001</v>
      </c>
      <c r="P159" s="671">
        <f>IF(ISTEXT('CF Raw'!P$11),'CF Raw'!P42/'Output-FR (check)'!$A$124,-P136)</f>
        <v>0</v>
      </c>
      <c r="Q159" s="172">
        <f ca="1">IF(ISTEXT('CF Raw'!Q$11),'CF Raw'!Q42/'Output-FR (check)'!$A$124,-Q136)</f>
        <v>17.147038332660816</v>
      </c>
      <c r="R159" s="172">
        <f ca="1">IF(ISTEXT('CF Raw'!R$11),'CF Raw'!R42/'Output-FR (check)'!$A$124,-R136)</f>
        <v>22.538510309889645</v>
      </c>
      <c r="S159" s="172">
        <f ca="1">IF(ISTEXT('CF Raw'!S$11),'CF Raw'!S42/'Output-FR (check)'!$A$124,-S136)</f>
        <v>25.72823050976745</v>
      </c>
      <c r="T159" s="172">
        <f ca="1">IF(ISTEXT('CF Raw'!T$11),'CF Raw'!T42/'Output-FR (check)'!$A$124,-T136)</f>
        <v>32.164055639101129</v>
      </c>
      <c r="U159" s="172">
        <f ca="1">IF(ISTEXT('CF Raw'!U$11),'CF Raw'!U42/'Output-FR (check)'!$A$124,-U136)</f>
        <v>40.591249862676456</v>
      </c>
      <c r="V159" s="172">
        <f ca="1">IF(ISTEXT('CF Raw'!V$11),'CF Raw'!V42/'Output-FR (check)'!$A$124,-V136)</f>
        <v>52.437401326562984</v>
      </c>
      <c r="W159" s="172">
        <f ca="1">IF(ISTEXT('CF Raw'!W$11),'CF Raw'!W42/'Output-FR (check)'!$A$124,-W136)</f>
        <v>64.008195179952637</v>
      </c>
      <c r="X159" s="172">
        <f ca="1">IF(ISTEXT('CF Raw'!X$11),'CF Raw'!X42/'Output-FR (check)'!$A$124,-X136)</f>
        <v>72.94463897556561</v>
      </c>
      <c r="Y159" s="172">
        <f ca="1">IF(ISTEXT('CF Raw'!Y$11),'CF Raw'!Y42/'Output-FR (check)'!$A$124,-Y136)</f>
        <v>85.079387646910135</v>
      </c>
      <c r="Z159" s="172">
        <f ca="1">IF(ISTEXT('CF Raw'!Z$11),'CF Raw'!Z42/'Output-FR (check)'!$A$124,-Z136)</f>
        <v>97.600234564623094</v>
      </c>
      <c r="AA159" s="172"/>
      <c r="AB159" s="173"/>
      <c r="AC159" s="173"/>
      <c r="AD159" s="173"/>
      <c r="AE159" s="173"/>
      <c r="AF159" s="173"/>
      <c r="AG159" s="173"/>
      <c r="AH159" s="173"/>
      <c r="AI159" s="173"/>
      <c r="AJ159" s="173"/>
      <c r="AK159" s="173"/>
      <c r="AL159" s="173"/>
      <c r="AM159" s="173"/>
      <c r="AN159" s="173"/>
      <c r="AO159" s="173"/>
      <c r="AP159" s="173"/>
      <c r="AQ159" s="173"/>
      <c r="AR159" s="173"/>
      <c r="AS159" s="173"/>
      <c r="AT159" s="173"/>
      <c r="AU159" s="173"/>
      <c r="AV159" s="173"/>
      <c r="AW159" s="173"/>
      <c r="AX159" s="173"/>
      <c r="AY159" s="173"/>
      <c r="AZ159" s="173"/>
      <c r="BA159" s="173"/>
    </row>
    <row r="160" spans="1:53" x14ac:dyDescent="0.25">
      <c r="A160" s="642"/>
      <c r="B160" s="770" t="s">
        <v>1360</v>
      </c>
      <c r="C160" s="770" t="s">
        <v>1361</v>
      </c>
      <c r="D160" s="66"/>
      <c r="E160" s="118"/>
      <c r="F160" s="118"/>
      <c r="G160" s="118"/>
      <c r="H160" s="118"/>
      <c r="I160" s="118"/>
      <c r="J160" s="119">
        <f>IF(ISTEXT('CF Raw'!J$11),('CF Raw'!J38+'CF Raw'!J39)/'Output-FR (check)'!$A$124,'Output-FR (check)'!I62-'Output-FR (check)'!J62)</f>
        <v>-110</v>
      </c>
      <c r="K160" s="119">
        <f>IF(ISTEXT('CF Raw'!K$11),('CF Raw'!K38+'CF Raw'!K39)/'Output-FR (check)'!$A$124,'Output-FR (check)'!J62-'Output-FR (check)'!K62)</f>
        <v>-164.11099999999999</v>
      </c>
      <c r="L160" s="119">
        <f>IF(ISTEXT('CF Raw'!L$11),('CF Raw'!L38+'CF Raw'!L39)/'Output-FR (check)'!$A$124,'Output-FR (check)'!K62-'Output-FR (check)'!L62)</f>
        <v>-39.689</v>
      </c>
      <c r="M160" s="119">
        <f>IF(ISTEXT('CF Raw'!M$11),('CF Raw'!M38+'CF Raw'!M39)/'Output-FR (check)'!$A$124,'Output-FR (check)'!L62-'Output-FR (check)'!M62)</f>
        <v>91.1</v>
      </c>
      <c r="N160" s="119">
        <f>IF(ISTEXT('CF Raw'!N$11),('CF Raw'!N38+'CF Raw'!N39)/'Output-FR (check)'!$A$124,'Output-FR (check)'!M62-'Output-FR (check)'!N62)</f>
        <v>108.76</v>
      </c>
      <c r="O160" s="119">
        <f>IF(ISTEXT('CF Raw'!O$11),('CF Raw'!O38+'CF Raw'!O39)/'Output-FR (check)'!$A$124,'Output-FR (check)'!N62-'Output-FR (check)'!O62)</f>
        <v>31.3180835</v>
      </c>
      <c r="P160" s="671">
        <f>IF(ISTEXT('CF Raw'!P$11),('CF Raw'!P38+'CF Raw'!P39)/'Output-FR (check)'!$A$124,'Output-FR (check)'!O62-'Output-FR (check)'!P62)</f>
        <v>-45.86</v>
      </c>
      <c r="Q160" s="172">
        <f>IF(ISTEXT('CF Raw'!Q$11),('CF Raw'!Q38+'CF Raw'!Q39)/'Output-FR (check)'!$A$124,'Output-FR (check)'!P62-'Output-FR (check)'!Q62)</f>
        <v>0.4422681614295243</v>
      </c>
      <c r="R160" s="172">
        <f>IF(ISTEXT('CF Raw'!R$11),('CF Raw'!R38+'CF Raw'!R39)/'Output-FR (check)'!$A$124,'Output-FR (check)'!Q62-'Output-FR (check)'!R62)</f>
        <v>-13.302028762776871</v>
      </c>
      <c r="S160" s="172">
        <f>IF(ISTEXT('CF Raw'!S$11),('CF Raw'!S38+'CF Raw'!S39)/'Output-FR (check)'!$A$124,'Output-FR (check)'!R62-'Output-FR (check)'!S62)</f>
        <v>-150.91136246362723</v>
      </c>
      <c r="T160" s="172">
        <f>IF(ISTEXT('CF Raw'!T$11),('CF Raw'!T38+'CF Raw'!T39)/'Output-FR (check)'!$A$124,'Output-FR (check)'!S62-'Output-FR (check)'!T62)</f>
        <v>-109.00025110767797</v>
      </c>
      <c r="U160" s="172">
        <f>IF(ISTEXT('CF Raw'!U$11),('CF Raw'!U38+'CF Raw'!U39)/'Output-FR (check)'!$A$124,'Output-FR (check)'!T62-'Output-FR (check)'!U62)</f>
        <v>-98.002641212987896</v>
      </c>
      <c r="V160" s="172">
        <f>IF(ISTEXT('CF Raw'!V$11),('CF Raw'!V38+'CF Raw'!V39)/'Output-FR (check)'!$A$124,'Output-FR (check)'!U62-'Output-FR (check)'!V62)</f>
        <v>-190.18911977589391</v>
      </c>
      <c r="W160" s="172">
        <f>IF(ISTEXT('CF Raw'!W$11),('CF Raw'!W38+'CF Raw'!W39)/'Output-FR (check)'!$A$124,'Output-FR (check)'!V62-'Output-FR (check)'!W62)</f>
        <v>-62.78126600051155</v>
      </c>
      <c r="X160" s="172">
        <f>IF(ISTEXT('CF Raw'!X$11),('CF Raw'!X38+'CF Raw'!X39)/'Output-FR (check)'!$A$124,'Output-FR (check)'!W62-'Output-FR (check)'!X62)</f>
        <v>-100.78531246135503</v>
      </c>
      <c r="Y160" s="172">
        <f>IF(ISTEXT('CF Raw'!Y$11),('CF Raw'!Y38+'CF Raw'!Y39)/'Output-FR (check)'!$A$124,'Output-FR (check)'!X62-'Output-FR (check)'!Y62)</f>
        <v>-169.54683550968809</v>
      </c>
      <c r="Z160" s="172">
        <f>IF(ISTEXT('CF Raw'!Z$11),('CF Raw'!Z38+'CF Raw'!Z39)/'Output-FR (check)'!$A$124,'Output-FR (check)'!Y62-'Output-FR (check)'!Z62)</f>
        <v>-107.93396881715512</v>
      </c>
      <c r="AA160" s="172"/>
      <c r="AB160" s="173"/>
      <c r="AC160" s="173"/>
      <c r="AD160" s="173"/>
      <c r="AE160" s="173"/>
      <c r="AF160" s="173"/>
      <c r="AG160" s="173"/>
      <c r="AH160" s="173"/>
      <c r="AI160" s="173"/>
      <c r="AJ160" s="173"/>
      <c r="AK160" s="173"/>
      <c r="AL160" s="173"/>
      <c r="AM160" s="173"/>
      <c r="AN160" s="173"/>
      <c r="AO160" s="173"/>
      <c r="AP160" s="173"/>
      <c r="AQ160" s="173"/>
      <c r="AR160" s="173"/>
      <c r="AS160" s="173"/>
      <c r="AT160" s="173"/>
      <c r="AU160" s="173"/>
      <c r="AV160" s="173"/>
      <c r="AW160" s="173"/>
      <c r="AX160" s="173"/>
      <c r="AY160" s="173"/>
      <c r="AZ160" s="173"/>
      <c r="BA160" s="173"/>
    </row>
    <row r="161" spans="1:53" x14ac:dyDescent="0.25">
      <c r="A161" s="642"/>
      <c r="B161" s="770" t="s">
        <v>1362</v>
      </c>
      <c r="C161" s="770" t="s">
        <v>1363</v>
      </c>
      <c r="D161" s="66"/>
      <c r="E161" s="118"/>
      <c r="F161" s="118"/>
      <c r="G161" s="118"/>
      <c r="H161" s="118"/>
      <c r="I161" s="118"/>
      <c r="J161" s="119">
        <f>IF(ISTEXT('CF Raw'!J$11),('CF Raw'!J40+'CF Raw'!J41)/'Output-FR (check)'!$A$124,'Output-FR (check)'!I75-'Output-FR (check)'!J75)</f>
        <v>1.4602999999999999</v>
      </c>
      <c r="K161" s="119">
        <f>IF(ISTEXT('CF Raw'!K$11),('CF Raw'!K40+'CF Raw'!K41)/'Output-FR (check)'!$A$124,'Output-FR (check)'!J75-'Output-FR (check)'!K75)</f>
        <v>0</v>
      </c>
      <c r="L161" s="119">
        <f>IF(ISTEXT('CF Raw'!L$11),('CF Raw'!L40+'CF Raw'!L41)/'Output-FR (check)'!$A$124,'Output-FR (check)'!K75-'Output-FR (check)'!L75)</f>
        <v>0</v>
      </c>
      <c r="M161" s="119">
        <f>IF(ISTEXT('CF Raw'!M$11),('CF Raw'!M40+'CF Raw'!M41)/'Output-FR (check)'!$A$124,'Output-FR (check)'!L75-'Output-FR (check)'!M75)</f>
        <v>0</v>
      </c>
      <c r="N161" s="119">
        <f>IF(ISTEXT('CF Raw'!N$11),('CF Raw'!N40+'CF Raw'!N41)/'Output-FR (check)'!$A$124,'Output-FR (check)'!M75-'Output-FR (check)'!N75)</f>
        <v>0</v>
      </c>
      <c r="O161" s="119">
        <f>IF(ISTEXT('CF Raw'!O$11),('CF Raw'!O40+'CF Raw'!O41)/'Output-FR (check)'!$A$124,'Output-FR (check)'!N75-'Output-FR (check)'!O75)</f>
        <v>13</v>
      </c>
      <c r="P161" s="671">
        <f>IF(ISTEXT('CF Raw'!P$11),('CF Raw'!P40+'CF Raw'!P41)/'Output-FR (check)'!$A$124,'Output-FR (check)'!O75-'Output-FR (check)'!P75)</f>
        <v>0</v>
      </c>
      <c r="Q161" s="172">
        <f>IF(ISTEXT('CF Raw'!Q$11),('CF Raw'!Q40+'CF Raw'!Q41)/'Output-FR (check)'!$A$124,'Output-FR (check)'!P75-'Output-FR (check)'!Q75)</f>
        <v>0</v>
      </c>
      <c r="R161" s="172">
        <f>IF(ISTEXT('CF Raw'!R$11),('CF Raw'!R40+'CF Raw'!R41)/'Output-FR (check)'!$A$124,'Output-FR (check)'!Q75-'Output-FR (check)'!R75)</f>
        <v>0</v>
      </c>
      <c r="S161" s="172">
        <f>IF(ISTEXT('CF Raw'!S$11),('CF Raw'!S40+'CF Raw'!S41)/'Output-FR (check)'!$A$124,'Output-FR (check)'!R75-'Output-FR (check)'!S75)</f>
        <v>0</v>
      </c>
      <c r="T161" s="172">
        <f>IF(ISTEXT('CF Raw'!T$11),('CF Raw'!T40+'CF Raw'!T41)/'Output-FR (check)'!$A$124,'Output-FR (check)'!S75-'Output-FR (check)'!T75)</f>
        <v>0</v>
      </c>
      <c r="U161" s="172">
        <f>IF(ISTEXT('CF Raw'!U$11),('CF Raw'!U40+'CF Raw'!U41)/'Output-FR (check)'!$A$124,'Output-FR (check)'!T75-'Output-FR (check)'!U75)</f>
        <v>0</v>
      </c>
      <c r="V161" s="172">
        <f>IF(ISTEXT('CF Raw'!V$11),('CF Raw'!V40+'CF Raw'!V41)/'Output-FR (check)'!$A$124,'Output-FR (check)'!U75-'Output-FR (check)'!V75)</f>
        <v>0</v>
      </c>
      <c r="W161" s="172">
        <f>IF(ISTEXT('CF Raw'!W$11),('CF Raw'!W40+'CF Raw'!W41)/'Output-FR (check)'!$A$124,'Output-FR (check)'!V75-'Output-FR (check)'!W75)</f>
        <v>0</v>
      </c>
      <c r="X161" s="172">
        <f>IF(ISTEXT('CF Raw'!X$11),('CF Raw'!X40+'CF Raw'!X41)/'Output-FR (check)'!$A$124,'Output-FR (check)'!W75-'Output-FR (check)'!X75)</f>
        <v>0</v>
      </c>
      <c r="Y161" s="172">
        <f>IF(ISTEXT('CF Raw'!Y$11),('CF Raw'!Y40+'CF Raw'!Y41)/'Output-FR (check)'!$A$124,'Output-FR (check)'!X75-'Output-FR (check)'!Y75)</f>
        <v>0</v>
      </c>
      <c r="Z161" s="172">
        <f>IF(ISTEXT('CF Raw'!Z$11),('CF Raw'!Z40+'CF Raw'!Z41)/'Output-FR (check)'!$A$124,'Output-FR (check)'!Y75-'Output-FR (check)'!Z75)</f>
        <v>0</v>
      </c>
      <c r="AA161" s="172"/>
      <c r="AB161" s="173"/>
      <c r="AC161" s="173"/>
      <c r="AD161" s="173"/>
      <c r="AE161" s="173"/>
      <c r="AF161" s="173"/>
      <c r="AG161" s="173"/>
      <c r="AH161" s="173"/>
      <c r="AI161" s="173"/>
      <c r="AJ161" s="173"/>
      <c r="AK161" s="173"/>
      <c r="AL161" s="173"/>
      <c r="AM161" s="173"/>
      <c r="AN161" s="173"/>
      <c r="AO161" s="173"/>
      <c r="AP161" s="173"/>
      <c r="AQ161" s="173"/>
      <c r="AR161" s="173"/>
      <c r="AS161" s="173"/>
      <c r="AT161" s="173"/>
      <c r="AU161" s="173"/>
      <c r="AV161" s="173"/>
      <c r="AW161" s="173"/>
      <c r="AX161" s="173"/>
      <c r="AY161" s="173"/>
      <c r="AZ161" s="173"/>
      <c r="BA161" s="173"/>
    </row>
    <row r="162" spans="1:53" x14ac:dyDescent="0.25">
      <c r="A162" s="780"/>
      <c r="B162" s="783" t="s">
        <v>1364</v>
      </c>
      <c r="C162" s="783" t="s">
        <v>1365</v>
      </c>
      <c r="D162" s="784"/>
      <c r="E162" s="759"/>
      <c r="F162" s="759"/>
      <c r="G162" s="759"/>
      <c r="H162" s="759"/>
      <c r="I162" s="759"/>
      <c r="J162" s="760">
        <f>SUM(J157:J161)</f>
        <v>-134.74189382500001</v>
      </c>
      <c r="K162" s="760">
        <f t="shared" ref="K162:Z162" si="25">SUM(K157:K161)</f>
        <v>-266.24702403499998</v>
      </c>
      <c r="L162" s="760">
        <f t="shared" si="25"/>
        <v>-71.343338596999999</v>
      </c>
      <c r="M162" s="760">
        <f t="shared" si="25"/>
        <v>68.702907788999994</v>
      </c>
      <c r="N162" s="760">
        <f t="shared" si="25"/>
        <v>-19.252487611999996</v>
      </c>
      <c r="O162" s="760">
        <f t="shared" si="25"/>
        <v>-2.1428754509999948</v>
      </c>
      <c r="P162" s="761">
        <f t="shared" si="25"/>
        <v>-45.86</v>
      </c>
      <c r="Q162" s="762">
        <f t="shared" ca="1" si="25"/>
        <v>-433.4395470728424</v>
      </c>
      <c r="R162" s="762">
        <f t="shared" ca="1" si="25"/>
        <v>-345.39601427094885</v>
      </c>
      <c r="S162" s="762">
        <f t="shared" ca="1" si="25"/>
        <v>-204.66596669654569</v>
      </c>
      <c r="T162" s="762">
        <f t="shared" ca="1" si="25"/>
        <v>-166.70113609622487</v>
      </c>
      <c r="U162" s="762">
        <f t="shared" ca="1" si="25"/>
        <v>-149.06282713375757</v>
      </c>
      <c r="V162" s="762">
        <f t="shared" ca="1" si="25"/>
        <v>-236.3434314197138</v>
      </c>
      <c r="W162" s="762">
        <f t="shared" ca="1" si="25"/>
        <v>-106.38380517219596</v>
      </c>
      <c r="X162" s="762">
        <f t="shared" ca="1" si="25"/>
        <v>-121.13881430007048</v>
      </c>
      <c r="Y162" s="762">
        <f t="shared" ca="1" si="25"/>
        <v>-181.71617091681708</v>
      </c>
      <c r="Z162" s="762">
        <f t="shared" ca="1" si="25"/>
        <v>-111.89459002764976</v>
      </c>
      <c r="AA162" s="762"/>
      <c r="AB162" s="763"/>
      <c r="AC162" s="763"/>
      <c r="AD162" s="763"/>
      <c r="AE162" s="763"/>
      <c r="AF162" s="763"/>
      <c r="AG162" s="763"/>
      <c r="AH162" s="763"/>
      <c r="AI162" s="763"/>
      <c r="AJ162" s="763"/>
      <c r="AK162" s="763"/>
      <c r="AL162" s="763"/>
      <c r="AM162" s="763"/>
      <c r="AN162" s="763"/>
      <c r="AO162" s="763"/>
      <c r="AP162" s="763"/>
      <c r="AQ162" s="763"/>
      <c r="AR162" s="763"/>
      <c r="AS162" s="763"/>
      <c r="AT162" s="763"/>
      <c r="AU162" s="763"/>
      <c r="AV162" s="763"/>
      <c r="AW162" s="763"/>
      <c r="AX162" s="763"/>
      <c r="AY162" s="763"/>
      <c r="AZ162" s="763"/>
      <c r="BA162" s="763"/>
    </row>
    <row r="163" spans="1:53" x14ac:dyDescent="0.25">
      <c r="A163" s="642"/>
      <c r="B163" s="785" t="s">
        <v>468</v>
      </c>
      <c r="C163" s="770"/>
      <c r="D163" s="66"/>
      <c r="E163" s="428"/>
      <c r="F163" s="428"/>
      <c r="G163" s="428"/>
      <c r="H163" s="428"/>
      <c r="I163" s="428"/>
      <c r="J163" s="429">
        <f>IF(ISTEXT('CF Raw'!J$11),J162-'CF Raw'!J43/'Output-FR (check)'!$A$124,"Chưa có BCTC")</f>
        <v>0</v>
      </c>
      <c r="K163" s="429">
        <f>IF(ISTEXT('CF Raw'!K$11),K162-'CF Raw'!K43/'Output-FR (check)'!$A$124,"Chưa có BCTC")</f>
        <v>0</v>
      </c>
      <c r="L163" s="429">
        <f>IF(ISTEXT('CF Raw'!L$11),L162-'CF Raw'!L43/'Output-FR (check)'!$A$124,"Chưa có BCTC")</f>
        <v>0</v>
      </c>
      <c r="M163" s="429">
        <f>IF(ISTEXT('CF Raw'!M$11),M162-'CF Raw'!M43/'Output-FR (check)'!$A$124,"Chưa có BCTC")</f>
        <v>0</v>
      </c>
      <c r="N163" s="429">
        <f>IF(ISTEXT('CF Raw'!N$11),N162-'CF Raw'!N43/'Output-FR (check)'!$A$124,"Chưa có BCTC")</f>
        <v>3.5527136788005009E-15</v>
      </c>
      <c r="O163" s="429">
        <f>IF(ISTEXT('CF Raw'!O$11),O162-'CF Raw'!O43/'Output-FR (check)'!$A$124,"Chưa có BCTC")</f>
        <v>5.3290705182007514E-15</v>
      </c>
      <c r="P163" s="429">
        <f>IF(ISTEXT('CF Raw'!P$11),P162-'CF Raw'!P43/'Output-FR (check)'!$A$124,"Chưa có BCTC")</f>
        <v>0</v>
      </c>
      <c r="Q163" s="429" t="str">
        <f>IF(ISTEXT('CF Raw'!Q$11),Q162-'CF Raw'!Q43/'Output-FR (check)'!$A$124,"Chưa có BCTC")</f>
        <v>Chưa có BCTC</v>
      </c>
      <c r="R163" s="429" t="str">
        <f>IF(ISTEXT('CF Raw'!R$11),R162-'CF Raw'!R43/'Output-FR (check)'!$A$124,"Chưa có BCTC")</f>
        <v>Chưa có BCTC</v>
      </c>
      <c r="S163" s="429" t="str">
        <f>IF(ISTEXT('CF Raw'!S$11),S162-'CF Raw'!S43/'Output-FR (check)'!$A$124,"Chưa có BCTC")</f>
        <v>Chưa có BCTC</v>
      </c>
      <c r="T163" s="429" t="str">
        <f>IF(ISTEXT('CF Raw'!T$11),T162-'CF Raw'!T43/'Output-FR (check)'!$A$124,"Chưa có BCTC")</f>
        <v>Chưa có BCTC</v>
      </c>
      <c r="U163" s="429" t="str">
        <f>IF(ISTEXT('CF Raw'!U$11),U162-'CF Raw'!U43/'Output-FR (check)'!$A$124,"Chưa có BCTC")</f>
        <v>Chưa có BCTC</v>
      </c>
      <c r="V163" s="429" t="str">
        <f>IF(ISTEXT('CF Raw'!V$11),V162-'CF Raw'!V43/'Output-FR (check)'!$A$124,"Chưa có BCTC")</f>
        <v>Chưa có BCTC</v>
      </c>
      <c r="W163" s="429" t="str">
        <f>IF(ISTEXT('CF Raw'!W$11),W162-'CF Raw'!W43/'Output-FR (check)'!$A$124,"Chưa có BCTC")</f>
        <v>Chưa có BCTC</v>
      </c>
      <c r="X163" s="429" t="str">
        <f>IF(ISTEXT('CF Raw'!X$11),X162-'CF Raw'!X43/'Output-FR (check)'!$A$124,"Chưa có BCTC")</f>
        <v>Chưa có BCTC</v>
      </c>
      <c r="Y163" s="429" t="str">
        <f>IF(ISTEXT('CF Raw'!Y$11),Y162-'CF Raw'!Y43/'Output-FR (check)'!$A$124,"Chưa có BCTC")</f>
        <v>Chưa có BCTC</v>
      </c>
      <c r="Z163" s="429" t="str">
        <f>IF(ISTEXT('CF Raw'!Z$11),Z162-'CF Raw'!Z43/'Output-FR (check)'!$A$124,"Chưa có BCTC")</f>
        <v>Chưa có BCTC</v>
      </c>
      <c r="AA163" s="787"/>
      <c r="AB163" s="787"/>
      <c r="AC163" s="787"/>
      <c r="AD163" s="787"/>
      <c r="AE163" s="787"/>
      <c r="AF163" s="787"/>
      <c r="AG163" s="787"/>
      <c r="AH163" s="787"/>
      <c r="AI163" s="787"/>
      <c r="AJ163" s="787"/>
      <c r="AK163" s="787"/>
      <c r="AL163" s="787"/>
      <c r="AM163" s="787"/>
      <c r="AN163" s="787"/>
      <c r="AO163" s="787"/>
      <c r="AP163" s="787"/>
      <c r="AQ163" s="787"/>
      <c r="AR163" s="787"/>
      <c r="AS163" s="787"/>
      <c r="AT163" s="787"/>
      <c r="AU163" s="787"/>
      <c r="AV163" s="787"/>
      <c r="AW163" s="787"/>
      <c r="AX163" s="787"/>
      <c r="AY163" s="787"/>
      <c r="AZ163" s="787"/>
      <c r="BA163" s="787"/>
    </row>
    <row r="164" spans="1:53" x14ac:dyDescent="0.25">
      <c r="A164" s="642"/>
      <c r="B164" s="770"/>
      <c r="C164" s="770"/>
      <c r="D164" s="66"/>
      <c r="E164" s="118"/>
      <c r="F164" s="118"/>
      <c r="G164" s="118"/>
      <c r="H164" s="118"/>
      <c r="I164" s="118"/>
      <c r="J164" s="118"/>
      <c r="K164" s="118"/>
      <c r="L164" s="118"/>
      <c r="M164" s="118"/>
      <c r="N164" s="118"/>
      <c r="O164" s="118"/>
      <c r="P164" s="218"/>
      <c r="Q164" s="118"/>
      <c r="R164" s="118"/>
      <c r="S164" s="118"/>
      <c r="T164" s="118"/>
      <c r="U164" s="118"/>
      <c r="V164" s="118"/>
      <c r="W164" s="118"/>
      <c r="X164" s="118"/>
      <c r="Y164" s="118"/>
      <c r="Z164" s="118"/>
      <c r="AA164" s="118"/>
      <c r="AB164" s="118"/>
      <c r="AC164" s="118"/>
      <c r="AD164" s="118"/>
      <c r="AE164" s="118"/>
      <c r="AF164" s="118"/>
      <c r="AG164" s="118"/>
      <c r="AH164" s="118"/>
      <c r="AI164" s="118"/>
      <c r="AJ164" s="118"/>
      <c r="AK164" s="118"/>
      <c r="AL164" s="118"/>
      <c r="AM164" s="118"/>
      <c r="AN164" s="118"/>
      <c r="AO164" s="118"/>
      <c r="AP164" s="118"/>
      <c r="AQ164" s="118"/>
      <c r="AR164" s="118"/>
      <c r="AS164" s="118"/>
      <c r="AT164" s="118"/>
      <c r="AU164" s="118"/>
      <c r="AV164" s="118"/>
      <c r="AW164" s="118"/>
      <c r="AX164" s="118"/>
      <c r="AY164" s="118"/>
      <c r="AZ164" s="118"/>
      <c r="BA164" s="118"/>
    </row>
    <row r="165" spans="1:53" x14ac:dyDescent="0.25">
      <c r="A165" s="642"/>
      <c r="B165" s="770" t="s">
        <v>1927</v>
      </c>
      <c r="C165" s="770"/>
      <c r="D165" s="66"/>
      <c r="E165" s="118"/>
      <c r="F165" s="118"/>
      <c r="G165" s="118"/>
      <c r="H165" s="118"/>
      <c r="I165" s="118"/>
      <c r="J165" s="119">
        <f>IF(ISTEXT('CF Raw'!J$11),('CF Raw'!J46+'CF Raw'!J47)/'Output-FR (check)'!$A$124,'Output-FR (check)'!J82-'Output-FR (check)'!I82+J92-I92)</f>
        <v>-28.558979695000005</v>
      </c>
      <c r="K165" s="119">
        <f>IF(ISTEXT('CF Raw'!K$11),('CF Raw'!K46+'CF Raw'!K47)/'Output-FR (check)'!$A$124,'Output-FR (check)'!K82-'Output-FR (check)'!J82+K92-J92)</f>
        <v>-11.967708891000001</v>
      </c>
      <c r="L165" s="119">
        <f>IF(ISTEXT('CF Raw'!L$11),('CF Raw'!L46+'CF Raw'!L47)/'Output-FR (check)'!$A$124,'Output-FR (check)'!L82-'Output-FR (check)'!K82+L92-K92)</f>
        <v>119.34790403199997</v>
      </c>
      <c r="M165" s="119">
        <f>IF(ISTEXT('CF Raw'!M$11),('CF Raw'!M46+'CF Raw'!M47)/'Output-FR (check)'!$A$124,'Output-FR (check)'!M82-'Output-FR (check)'!L82+M92-L92)</f>
        <v>-101.93763064299998</v>
      </c>
      <c r="N165" s="119">
        <f>IF(ISTEXT('CF Raw'!N$11),('CF Raw'!N46+'CF Raw'!N47)/'Output-FR (check)'!$A$124,'Output-FR (check)'!N82-'Output-FR (check)'!M82+N92-M92)</f>
        <v>144.42526952499998</v>
      </c>
      <c r="O165" s="119">
        <f>IF(ISTEXT('CF Raw'!O$11),('CF Raw'!O46+'CF Raw'!O47)/'Output-FR (check)'!$A$124,'Output-FR (check)'!O82-'Output-FR (check)'!N82+O92-N92)</f>
        <v>-159.698652998</v>
      </c>
      <c r="P165" s="671">
        <f>IF(ISTEXT('CF Raw'!P$11),('CF Raw'!P46+'CF Raw'!P47)/'Output-FR (check)'!$A$124,'Output-FR (check)'!P82-'Output-FR (check)'!O82+P92-O92)</f>
        <v>0.93</v>
      </c>
      <c r="Q165" s="172">
        <f ca="1">IF(ISTEXT('CF Raw'!Q$11),('CF Raw'!Q46+'CF Raw'!Q47)/'Output-FR (check)'!$A$124,'Output-FR (check)'!Q82-'Output-FR (check)'!P82+Q92-P92)</f>
        <v>212.94587039615118</v>
      </c>
      <c r="R165" s="172">
        <f ca="1">IF(ISTEXT('CF Raw'!R$11),('CF Raw'!R46+'CF Raw'!R47)/'Output-FR (check)'!$A$124,'Output-FR (check)'!R82-'Output-FR (check)'!Q82+R92-Q92)</f>
        <v>93.622062432706059</v>
      </c>
      <c r="S165" s="172">
        <f ca="1">IF(ISTEXT('CF Raw'!S$11),('CF Raw'!S46+'CF Raw'!S47)/'Output-FR (check)'!$A$124,'Output-FR (check)'!S82-'Output-FR (check)'!R82+S92-R92)</f>
        <v>-41.448296561061682</v>
      </c>
      <c r="T165" s="172">
        <f ca="1">IF(ISTEXT('CF Raw'!T$11),('CF Raw'!T46+'CF Raw'!T47)/'Output-FR (check)'!$A$124,'Output-FR (check)'!T82-'Output-FR (check)'!S82+T92-S92)</f>
        <v>-81.39701959818666</v>
      </c>
      <c r="U165" s="172">
        <f ca="1">IF(ISTEXT('CF Raw'!U$11),('CF Raw'!U46+'CF Raw'!U47)/'Output-FR (check)'!$A$124,'Output-FR (check)'!U82-'Output-FR (check)'!T82+U92-T92)</f>
        <v>-52.887153743431327</v>
      </c>
      <c r="V165" s="172">
        <f ca="1">IF(ISTEXT('CF Raw'!V$11),('CF Raw'!V46+'CF Raw'!V47)/'Output-FR (check)'!$A$124,'Output-FR (check)'!V82-'Output-FR (check)'!U82+V92-U92)</f>
        <v>-69.026541023640348</v>
      </c>
      <c r="W165" s="172">
        <f ca="1">IF(ISTEXT('CF Raw'!W$11),('CF Raw'!W46+'CF Raw'!W47)/'Output-FR (check)'!$A$124,'Output-FR (check)'!W82-'Output-FR (check)'!V82+W92-V92)</f>
        <v>-19.234319185649944</v>
      </c>
      <c r="X165" s="172">
        <f ca="1">IF(ISTEXT('CF Raw'!X$11),('CF Raw'!X46+'CF Raw'!X47)/'Output-FR (check)'!$A$124,'Output-FR (check)'!X82-'Output-FR (check)'!W82+X92-W92)</f>
        <v>9.2819257317798431</v>
      </c>
      <c r="Y165" s="172">
        <f ca="1">IF(ISTEXT('CF Raw'!Y$11),('CF Raw'!Y46+'CF Raw'!Y47)/'Output-FR (check)'!$A$124,'Output-FR (check)'!Y82-'Output-FR (check)'!X82+Y92-X92)</f>
        <v>0.93287382800045293</v>
      </c>
      <c r="Z165" s="172">
        <f ca="1">IF(ISTEXT('CF Raw'!Z$11),('CF Raw'!Z46+'CF Raw'!Z47)/'Output-FR (check)'!$A$124,'Output-FR (check)'!Z82-'Output-FR (check)'!Y82+Z92-Y92)</f>
        <v>9.0633061116563738</v>
      </c>
      <c r="AA165" s="172"/>
      <c r="AB165" s="118"/>
      <c r="AC165" s="118"/>
      <c r="AD165" s="118"/>
      <c r="AE165" s="118"/>
      <c r="AF165" s="118"/>
      <c r="AG165" s="118"/>
      <c r="AH165" s="118"/>
      <c r="AI165" s="118"/>
      <c r="AJ165" s="118"/>
      <c r="AK165" s="118"/>
      <c r="AL165" s="118"/>
      <c r="AM165" s="118"/>
      <c r="AN165" s="118"/>
      <c r="AO165" s="118"/>
      <c r="AP165" s="118"/>
      <c r="AQ165" s="118"/>
      <c r="AR165" s="118"/>
      <c r="AS165" s="118"/>
      <c r="AT165" s="118"/>
      <c r="AU165" s="118"/>
      <c r="AV165" s="118"/>
      <c r="AW165" s="118"/>
      <c r="AX165" s="118"/>
      <c r="AY165" s="118"/>
      <c r="AZ165" s="118"/>
      <c r="BA165" s="118"/>
    </row>
    <row r="166" spans="1:53" x14ac:dyDescent="0.25">
      <c r="A166" s="642"/>
      <c r="B166" s="770" t="s">
        <v>1366</v>
      </c>
      <c r="C166" s="770" t="s">
        <v>1367</v>
      </c>
      <c r="D166" s="66"/>
      <c r="E166" s="118"/>
      <c r="F166" s="118"/>
      <c r="G166" s="118"/>
      <c r="H166" s="118"/>
      <c r="I166" s="118"/>
      <c r="J166" s="119"/>
      <c r="K166" s="119"/>
      <c r="L166" s="119"/>
      <c r="M166" s="119"/>
      <c r="N166" s="119"/>
      <c r="O166" s="119"/>
      <c r="P166" s="671"/>
      <c r="Q166" s="172">
        <f ca="1">IF(ISTEXT('CF Raw'!Q$11),('CF Raw'!Q46+'CF Raw'!Q47)/'Output-FR (check)'!$A$124,'Output-FR (check)'!Q82-'Output-FR (check)'!P82)</f>
        <v>51.618032544887974</v>
      </c>
      <c r="R166" s="172">
        <f ca="1">IF(ISTEXT('CF Raw'!R$11),('CF Raw'!R46+'CF Raw'!R47)/'Output-FR (check)'!$A$124,'Output-FR (check)'!R82-'Output-FR (check)'!Q82)</f>
        <v>3.422799430765636</v>
      </c>
      <c r="S166" s="172">
        <f ca="1">IF(ISTEXT('CF Raw'!S$11),('CF Raw'!S46+'CF Raw'!S47)/'Output-FR (check)'!$A$124,'Output-FR (check)'!S82-'Output-FR (check)'!R82)</f>
        <v>18.890978741311883</v>
      </c>
      <c r="T166" s="172">
        <f ca="1">IF(ISTEXT('CF Raw'!T$11),('CF Raw'!T46+'CF Raw'!T47)/'Output-FR (check)'!$A$124,'Output-FR (check)'!T82-'Output-FR (check)'!S82)</f>
        <v>6.3741210996716546</v>
      </c>
      <c r="U166" s="172">
        <f ca="1">IF(ISTEXT('CF Raw'!U$11),('CF Raw'!U46+'CF Raw'!U47)/'Output-FR (check)'!$A$124,'Output-FR (check)'!U82-'Output-FR (check)'!T82)</f>
        <v>6.1876155768595993</v>
      </c>
      <c r="V166" s="172">
        <f ca="1">IF(ISTEXT('CF Raw'!V$11),('CF Raw'!V46+'CF Raw'!V47)/'Output-FR (check)'!$A$124,'Output-FR (check)'!V82-'Output-FR (check)'!U82)</f>
        <v>5.7888483672407602</v>
      </c>
      <c r="W166" s="172">
        <f ca="1">IF(ISTEXT('CF Raw'!W$11),('CF Raw'!W46+'CF Raw'!W47)/'Output-FR (check)'!$A$124,'Output-FR (check)'!W82-'Output-FR (check)'!V82)</f>
        <v>7.8559724680127232</v>
      </c>
      <c r="X166" s="172">
        <f ca="1">IF(ISTEXT('CF Raw'!X$11),('CF Raw'!X46+'CF Raw'!X47)/'Output-FR (check)'!$A$124,'Output-FR (check)'!X82-'Output-FR (check)'!W82)</f>
        <v>18.15270309406111</v>
      </c>
      <c r="Y166" s="172">
        <f ca="1">IF(ISTEXT('CF Raw'!Y$11),('CF Raw'!Y46+'CF Raw'!Y47)/'Output-FR (check)'!$A$124,'Output-FR (check)'!Y82-'Output-FR (check)'!X82)</f>
        <v>7.3098452452376534</v>
      </c>
      <c r="Z166" s="172">
        <f ca="1">IF(ISTEXT('CF Raw'!Z$11),('CF Raw'!Z46+'CF Raw'!Z47)/'Output-FR (check)'!$A$124,'Output-FR (check)'!Z82-'Output-FR (check)'!Y82)</f>
        <v>12.251791820274974</v>
      </c>
      <c r="AA166" s="172"/>
      <c r="AB166" s="173"/>
      <c r="AC166" s="173"/>
      <c r="AD166" s="173"/>
      <c r="AE166" s="173"/>
      <c r="AF166" s="173"/>
      <c r="AG166" s="173"/>
      <c r="AH166" s="173"/>
      <c r="AI166" s="173"/>
      <c r="AJ166" s="173"/>
      <c r="AK166" s="173"/>
      <c r="AL166" s="173"/>
      <c r="AM166" s="173"/>
      <c r="AN166" s="173"/>
      <c r="AO166" s="173"/>
      <c r="AP166" s="173"/>
      <c r="AQ166" s="173"/>
      <c r="AR166" s="173"/>
      <c r="AS166" s="173"/>
      <c r="AT166" s="173"/>
      <c r="AU166" s="173"/>
      <c r="AV166" s="173"/>
      <c r="AW166" s="173"/>
      <c r="AX166" s="173"/>
      <c r="AY166" s="173"/>
      <c r="AZ166" s="173"/>
      <c r="BA166" s="173"/>
    </row>
    <row r="167" spans="1:53" x14ac:dyDescent="0.25">
      <c r="A167" s="642"/>
      <c r="B167" s="770" t="s">
        <v>1368</v>
      </c>
      <c r="C167" s="770" t="s">
        <v>1369</v>
      </c>
      <c r="D167" s="66"/>
      <c r="E167" s="118"/>
      <c r="F167" s="118"/>
      <c r="G167" s="118"/>
      <c r="H167" s="118"/>
      <c r="I167" s="118"/>
      <c r="J167" s="118"/>
      <c r="K167" s="118"/>
      <c r="L167" s="118"/>
      <c r="M167" s="118"/>
      <c r="N167" s="119"/>
      <c r="O167" s="119"/>
      <c r="P167" s="671"/>
      <c r="Q167" s="172">
        <f>+'Output-FR (check)'!Q92-'Output-FR (check)'!P92</f>
        <v>161.32783785126321</v>
      </c>
      <c r="R167" s="172">
        <f>+'Output-FR (check)'!R92-'Output-FR (check)'!Q92</f>
        <v>90.199263001940437</v>
      </c>
      <c r="S167" s="172">
        <f>+'Output-FR (check)'!S92-'Output-FR (check)'!R92</f>
        <v>-60.339275302373551</v>
      </c>
      <c r="T167" s="172">
        <f>+'Output-FR (check)'!T92-'Output-FR (check)'!S92</f>
        <v>-87.771140697858328</v>
      </c>
      <c r="U167" s="172">
        <f>+'Output-FR (check)'!U92-'Output-FR (check)'!T92</f>
        <v>-59.074769320290926</v>
      </c>
      <c r="V167" s="172">
        <f>+'Output-FR (check)'!V92-'Output-FR (check)'!U92</f>
        <v>-74.815389390881109</v>
      </c>
      <c r="W167" s="172">
        <f>+'Output-FR (check)'!W92-'Output-FR (check)'!V92</f>
        <v>-27.090291653662668</v>
      </c>
      <c r="X167" s="172">
        <f>+'Output-FR (check)'!X92-'Output-FR (check)'!W92</f>
        <v>-8.8707773622812667</v>
      </c>
      <c r="Y167" s="172">
        <f>+'Output-FR (check)'!Y92-'Output-FR (check)'!X92</f>
        <v>-6.3769714172372005</v>
      </c>
      <c r="Z167" s="172">
        <f>+'Output-FR (check)'!Z92-'Output-FR (check)'!Y92</f>
        <v>-3.1884857086186003</v>
      </c>
      <c r="AA167" s="172"/>
      <c r="AB167" s="173"/>
      <c r="AC167" s="173"/>
      <c r="AD167" s="173"/>
      <c r="AE167" s="173"/>
      <c r="AF167" s="173"/>
      <c r="AG167" s="173"/>
      <c r="AH167" s="173"/>
      <c r="AI167" s="173"/>
      <c r="AJ167" s="173"/>
      <c r="AK167" s="173"/>
      <c r="AL167" s="173"/>
      <c r="AM167" s="173"/>
      <c r="AN167" s="173"/>
      <c r="AO167" s="173"/>
      <c r="AP167" s="173"/>
      <c r="AQ167" s="173"/>
      <c r="AR167" s="173"/>
      <c r="AS167" s="173"/>
      <c r="AT167" s="173"/>
      <c r="AU167" s="173"/>
      <c r="AV167" s="173"/>
      <c r="AW167" s="173"/>
      <c r="AX167" s="173"/>
      <c r="AY167" s="173"/>
      <c r="AZ167" s="173"/>
      <c r="BA167" s="173"/>
    </row>
    <row r="168" spans="1:53" x14ac:dyDescent="0.25">
      <c r="A168" s="677"/>
      <c r="B168" s="788" t="s">
        <v>1370</v>
      </c>
      <c r="C168" s="788" t="s">
        <v>1371</v>
      </c>
      <c r="D168" s="679"/>
      <c r="E168" s="696"/>
      <c r="F168" s="696"/>
      <c r="G168" s="696"/>
      <c r="H168" s="696"/>
      <c r="I168" s="696"/>
      <c r="J168" s="696"/>
      <c r="K168" s="696"/>
      <c r="L168" s="696"/>
      <c r="M168" s="696"/>
      <c r="N168" s="696"/>
      <c r="O168" s="696"/>
      <c r="P168" s="755"/>
      <c r="Q168" s="700"/>
      <c r="R168" s="700"/>
      <c r="S168" s="700"/>
      <c r="T168" s="700"/>
      <c r="U168" s="700"/>
      <c r="V168" s="700"/>
      <c r="W168" s="700"/>
      <c r="X168" s="700"/>
      <c r="Y168" s="700"/>
      <c r="Z168" s="700"/>
      <c r="AA168" s="700"/>
      <c r="AB168" s="700"/>
      <c r="AC168" s="700"/>
      <c r="AD168" s="700"/>
      <c r="AE168" s="700"/>
      <c r="AF168" s="700"/>
      <c r="AG168" s="700"/>
      <c r="AH168" s="700"/>
      <c r="AI168" s="700"/>
      <c r="AJ168" s="700"/>
      <c r="AK168" s="700"/>
      <c r="AL168" s="700"/>
      <c r="AM168" s="700"/>
      <c r="AN168" s="700"/>
      <c r="AO168" s="700"/>
      <c r="AP168" s="700"/>
      <c r="AQ168" s="700"/>
      <c r="AR168" s="700"/>
      <c r="AS168" s="700"/>
      <c r="AT168" s="700"/>
      <c r="AU168" s="700"/>
      <c r="AV168" s="700"/>
      <c r="AW168" s="700"/>
      <c r="AX168" s="700"/>
      <c r="AY168" s="700"/>
      <c r="AZ168" s="700"/>
      <c r="BA168" s="700"/>
    </row>
    <row r="169" spans="1:53" x14ac:dyDescent="0.25">
      <c r="A169" s="677"/>
      <c r="B169" s="788" t="s">
        <v>1372</v>
      </c>
      <c r="C169" s="788" t="s">
        <v>1373</v>
      </c>
      <c r="D169" s="679"/>
      <c r="E169" s="696"/>
      <c r="F169" s="696"/>
      <c r="G169" s="696"/>
      <c r="H169" s="696"/>
      <c r="I169" s="696"/>
      <c r="J169" s="696"/>
      <c r="K169" s="696"/>
      <c r="L169" s="696"/>
      <c r="M169" s="696"/>
      <c r="N169" s="696"/>
      <c r="O169" s="696"/>
      <c r="P169" s="755"/>
      <c r="Q169" s="700"/>
      <c r="R169" s="700"/>
      <c r="S169" s="700"/>
      <c r="T169" s="700"/>
      <c r="U169" s="700"/>
      <c r="V169" s="700"/>
      <c r="W169" s="700"/>
      <c r="X169" s="700"/>
      <c r="Y169" s="700"/>
      <c r="Z169" s="700"/>
      <c r="AA169" s="700"/>
      <c r="AB169" s="700"/>
      <c r="AC169" s="700"/>
      <c r="AD169" s="700"/>
      <c r="AE169" s="700"/>
      <c r="AF169" s="700"/>
      <c r="AG169" s="700"/>
      <c r="AH169" s="700"/>
      <c r="AI169" s="700"/>
      <c r="AJ169" s="700"/>
      <c r="AK169" s="700"/>
      <c r="AL169" s="700"/>
      <c r="AM169" s="700"/>
      <c r="AN169" s="700"/>
      <c r="AO169" s="700"/>
      <c r="AP169" s="700"/>
      <c r="AQ169" s="700"/>
      <c r="AR169" s="700"/>
      <c r="AS169" s="700"/>
      <c r="AT169" s="700"/>
      <c r="AU169" s="700"/>
      <c r="AV169" s="700"/>
      <c r="AW169" s="700"/>
      <c r="AX169" s="700"/>
      <c r="AY169" s="700"/>
      <c r="AZ169" s="700"/>
      <c r="BA169" s="700"/>
    </row>
    <row r="170" spans="1:53" x14ac:dyDescent="0.25">
      <c r="A170" s="677"/>
      <c r="B170" s="788" t="s">
        <v>1374</v>
      </c>
      <c r="C170" s="788" t="s">
        <v>1375</v>
      </c>
      <c r="D170" s="679"/>
      <c r="E170" s="696"/>
      <c r="F170" s="696"/>
      <c r="G170" s="696"/>
      <c r="H170" s="696"/>
      <c r="I170" s="696"/>
      <c r="J170" s="696"/>
      <c r="K170" s="696"/>
      <c r="L170" s="696"/>
      <c r="M170" s="696"/>
      <c r="N170" s="696"/>
      <c r="O170" s="696"/>
      <c r="P170" s="755"/>
      <c r="Q170" s="700"/>
      <c r="R170" s="700"/>
      <c r="S170" s="700"/>
      <c r="T170" s="700"/>
      <c r="U170" s="700"/>
      <c r="V170" s="700"/>
      <c r="W170" s="700"/>
      <c r="X170" s="700"/>
      <c r="Y170" s="700"/>
      <c r="Z170" s="700"/>
      <c r="AA170" s="700"/>
      <c r="AB170" s="700"/>
      <c r="AC170" s="700"/>
      <c r="AD170" s="700"/>
      <c r="AE170" s="700"/>
      <c r="AF170" s="700"/>
      <c r="AG170" s="700"/>
      <c r="AH170" s="700"/>
      <c r="AI170" s="700"/>
      <c r="AJ170" s="700"/>
      <c r="AK170" s="700"/>
      <c r="AL170" s="700"/>
      <c r="AM170" s="700"/>
      <c r="AN170" s="700"/>
      <c r="AO170" s="700"/>
      <c r="AP170" s="700"/>
      <c r="AQ170" s="700"/>
      <c r="AR170" s="700"/>
      <c r="AS170" s="700"/>
      <c r="AT170" s="700"/>
      <c r="AU170" s="700"/>
      <c r="AV170" s="700"/>
      <c r="AW170" s="700"/>
      <c r="AX170" s="700"/>
      <c r="AY170" s="700"/>
      <c r="AZ170" s="700"/>
      <c r="BA170" s="700"/>
    </row>
    <row r="171" spans="1:53" x14ac:dyDescent="0.25">
      <c r="A171" s="518"/>
      <c r="B171" s="770" t="s">
        <v>1376</v>
      </c>
      <c r="C171" s="770" t="s">
        <v>1377</v>
      </c>
      <c r="D171" s="66"/>
      <c r="E171" s="118"/>
      <c r="F171" s="118"/>
      <c r="G171" s="118"/>
      <c r="H171" s="118"/>
      <c r="I171" s="118"/>
      <c r="J171" s="119">
        <f>'Output-FR (check)'!J96-'Output-FR (check)'!I96</f>
        <v>0</v>
      </c>
      <c r="K171" s="119">
        <f>'Output-FR (check)'!K96-'Output-FR (check)'!J96</f>
        <v>0</v>
      </c>
      <c r="L171" s="119">
        <f>'Output-FR (check)'!L96-'Output-FR (check)'!K96</f>
        <v>0</v>
      </c>
      <c r="M171" s="119">
        <f>'Output-FR (check)'!M96-'Output-FR (check)'!L96</f>
        <v>0</v>
      </c>
      <c r="N171" s="119">
        <f>'Output-FR (check)'!N96-'Output-FR (check)'!M96</f>
        <v>0</v>
      </c>
      <c r="O171" s="119">
        <f>'Output-FR (check)'!O96-'Output-FR (check)'!N96</f>
        <v>0</v>
      </c>
      <c r="P171" s="671">
        <f>'Output-FR (check)'!P96-'Output-FR (check)'!O96</f>
        <v>0</v>
      </c>
      <c r="Q171" s="172">
        <f>'Output-FR (check)'!Q96-'Output-FR (check)'!P96</f>
        <v>0</v>
      </c>
      <c r="R171" s="172">
        <f>'Output-FR (check)'!R96-'Output-FR (check)'!Q96</f>
        <v>0</v>
      </c>
      <c r="S171" s="172">
        <f>'Output-FR (check)'!S96-'Output-FR (check)'!R96</f>
        <v>0</v>
      </c>
      <c r="T171" s="172">
        <f>'Output-FR (check)'!T96-'Output-FR (check)'!S96</f>
        <v>0</v>
      </c>
      <c r="U171" s="172">
        <f>'Output-FR (check)'!U96-'Output-FR (check)'!T96</f>
        <v>0</v>
      </c>
      <c r="V171" s="172">
        <f>'Output-FR (check)'!V96-'Output-FR (check)'!U96</f>
        <v>0</v>
      </c>
      <c r="W171" s="172">
        <f>'Output-FR (check)'!W96-'Output-FR (check)'!V96</f>
        <v>0</v>
      </c>
      <c r="X171" s="172">
        <f>'Output-FR (check)'!X96-'Output-FR (check)'!W96</f>
        <v>0</v>
      </c>
      <c r="Y171" s="172">
        <f>'Output-FR (check)'!Y96-'Output-FR (check)'!X96</f>
        <v>0</v>
      </c>
      <c r="Z171" s="172">
        <f>'Output-FR (check)'!Z96-'Output-FR (check)'!Y96</f>
        <v>0</v>
      </c>
      <c r="AA171" s="172"/>
      <c r="AB171" s="173"/>
      <c r="AC171" s="173"/>
      <c r="AD171" s="173"/>
      <c r="AE171" s="173"/>
      <c r="AF171" s="173"/>
      <c r="AG171" s="173"/>
      <c r="AH171" s="173"/>
      <c r="AI171" s="173"/>
      <c r="AJ171" s="173"/>
      <c r="AK171" s="173"/>
      <c r="AL171" s="173"/>
      <c r="AM171" s="173"/>
      <c r="AN171" s="173"/>
      <c r="AO171" s="173"/>
      <c r="AP171" s="173"/>
      <c r="AQ171" s="173"/>
      <c r="AR171" s="173"/>
      <c r="AS171" s="173"/>
      <c r="AT171" s="173"/>
      <c r="AU171" s="173"/>
      <c r="AV171" s="173"/>
      <c r="AW171" s="173"/>
      <c r="AX171" s="173"/>
      <c r="AY171" s="173"/>
      <c r="AZ171" s="173"/>
      <c r="BA171" s="173"/>
    </row>
    <row r="172" spans="1:53" x14ac:dyDescent="0.25">
      <c r="A172" s="642"/>
      <c r="B172" s="29" t="s">
        <v>1272</v>
      </c>
      <c r="C172" s="29" t="s">
        <v>1378</v>
      </c>
      <c r="D172" s="66"/>
      <c r="E172" s="118"/>
      <c r="F172" s="118"/>
      <c r="G172" s="118"/>
      <c r="H172" s="118"/>
      <c r="I172" s="118"/>
      <c r="J172" s="119">
        <f>IF(ISTEXT('CF Raw'!J$11),'CF Raw'!J49/'Output-FR (check)'!$A$124,J173+J174)</f>
        <v>-26.80396</v>
      </c>
      <c r="K172" s="119">
        <f>IF(ISTEXT('CF Raw'!K$11),'CF Raw'!K49/'Output-FR (check)'!$A$124,K173+K174)</f>
        <v>-36.637738949999999</v>
      </c>
      <c r="L172" s="119">
        <f>IF(ISTEXT('CF Raw'!L$11),'CF Raw'!L49/'Output-FR (check)'!$A$124,L173+L174)</f>
        <v>-104.76584549899999</v>
      </c>
      <c r="M172" s="119">
        <f>IF(ISTEXT('CF Raw'!M$11),'CF Raw'!M49/'Output-FR (check)'!$A$124,M173+M174)</f>
        <v>-78.569595601000003</v>
      </c>
      <c r="N172" s="119">
        <f>IF(ISTEXT('CF Raw'!N$11),'CF Raw'!N49/'Output-FR (check)'!$A$124,N173+N174)</f>
        <v>-78.531146274999998</v>
      </c>
      <c r="O172" s="119">
        <f>IF(ISTEXT('CF Raw'!O$11),'CF Raw'!O49/'Output-FR (check)'!$A$124,O173+O174)</f>
        <v>-78.547526175000002</v>
      </c>
      <c r="P172" s="671">
        <f>IF(ISTEXT('CF Raw'!P$11),'CF Raw'!P49/'Output-FR (check)'!$A$124,P173+P174)</f>
        <v>0</v>
      </c>
      <c r="Q172" s="172">
        <f>IF(ISTEXT('CF Raw'!Q$11),'CF Raw'!Q49/'Output-FR (check)'!$A$124,Q173+Q174)</f>
        <v>-28.786179500000003</v>
      </c>
      <c r="R172" s="172">
        <f>IF(ISTEXT('CF Raw'!R$11),'CF Raw'!R49/'Output-FR (check)'!$A$124,R173+R174)</f>
        <v>-28.786179500000003</v>
      </c>
      <c r="S172" s="172">
        <f>IF(ISTEXT('CF Raw'!S$11),'CF Raw'!S49/'Output-FR (check)'!$A$124,S173+S174)</f>
        <v>-57.572359000000006</v>
      </c>
      <c r="T172" s="172">
        <f>IF(ISTEXT('CF Raw'!T$11),'CF Raw'!T49/'Output-FR (check)'!$A$124,T173+T174)</f>
        <v>-115.14471800000001</v>
      </c>
      <c r="U172" s="172">
        <f>IF(ISTEXT('CF Raw'!U$11),'CF Raw'!U49/'Output-FR (check)'!$A$124,U173+U174)</f>
        <v>-115.14471800000001</v>
      </c>
      <c r="V172" s="172">
        <f>IF(ISTEXT('CF Raw'!V$11),'CF Raw'!V49/'Output-FR (check)'!$A$124,V173+V174)</f>
        <v>-143.93089749999999</v>
      </c>
      <c r="W172" s="172">
        <f>IF(ISTEXT('CF Raw'!W$11),'CF Raw'!W49/'Output-FR (check)'!$A$124,W173+W174)</f>
        <v>-201.50325649999999</v>
      </c>
      <c r="X172" s="172">
        <f>IF(ISTEXT('CF Raw'!X$11),'CF Raw'!X49/'Output-FR (check)'!$A$124,X173+X174)</f>
        <v>-201.50325649999999</v>
      </c>
      <c r="Y172" s="172">
        <f>IF(ISTEXT('CF Raw'!Y$11),'CF Raw'!Y49/'Output-FR (check)'!$A$124,Y173+Y174)</f>
        <v>-287.86179499999997</v>
      </c>
      <c r="Z172" s="172">
        <f>IF(ISTEXT('CF Raw'!Z$11),'CF Raw'!Z49/'Output-FR (check)'!$A$124,Z173+Z174)</f>
        <v>-316.64797450000003</v>
      </c>
      <c r="AA172" s="172"/>
      <c r="AB172" s="173"/>
      <c r="AC172" s="173"/>
      <c r="AD172" s="173"/>
      <c r="AE172" s="173"/>
      <c r="AF172" s="173"/>
      <c r="AG172" s="173"/>
      <c r="AH172" s="173"/>
      <c r="AI172" s="173"/>
      <c r="AJ172" s="173"/>
      <c r="AK172" s="173"/>
      <c r="AL172" s="173"/>
      <c r="AM172" s="173"/>
      <c r="AN172" s="173"/>
      <c r="AO172" s="173"/>
      <c r="AP172" s="173"/>
      <c r="AQ172" s="173"/>
      <c r="AR172" s="173"/>
      <c r="AS172" s="173"/>
      <c r="AT172" s="173"/>
      <c r="AU172" s="173"/>
      <c r="AV172" s="173"/>
      <c r="AW172" s="173"/>
      <c r="AX172" s="173"/>
      <c r="AY172" s="173"/>
      <c r="AZ172" s="173"/>
      <c r="BA172" s="173"/>
    </row>
    <row r="173" spans="1:53" x14ac:dyDescent="0.25">
      <c r="A173" s="677"/>
      <c r="B173" s="788" t="s">
        <v>1270</v>
      </c>
      <c r="C173" s="788" t="s">
        <v>489</v>
      </c>
      <c r="D173" s="679"/>
      <c r="E173" s="696"/>
      <c r="F173" s="696"/>
      <c r="G173" s="696"/>
      <c r="H173" s="696"/>
      <c r="I173" s="696"/>
      <c r="J173" s="697">
        <f>-'Output-FR (check)'!J39</f>
        <v>0</v>
      </c>
      <c r="K173" s="697">
        <f>-'Output-FR (check)'!K39</f>
        <v>0</v>
      </c>
      <c r="L173" s="697">
        <f>-'Output-FR (check)'!L39</f>
        <v>0</v>
      </c>
      <c r="M173" s="697">
        <f>-'Output-FR (check)'!M39</f>
        <v>0</v>
      </c>
      <c r="N173" s="697">
        <f>-'Output-FR (check)'!N39</f>
        <v>0</v>
      </c>
      <c r="O173" s="697">
        <f>-'Output-FR (check)'!O39</f>
        <v>0</v>
      </c>
      <c r="P173" s="698">
        <f>-'Output-FR (check)'!P39</f>
        <v>0</v>
      </c>
      <c r="Q173" s="699">
        <f>-'Output-FR (check)'!Q39</f>
        <v>0</v>
      </c>
      <c r="R173" s="699">
        <f>-'Output-FR (check)'!R39</f>
        <v>0</v>
      </c>
      <c r="S173" s="699">
        <f>-'Output-FR (check)'!S39</f>
        <v>0</v>
      </c>
      <c r="T173" s="699">
        <f>-'Output-FR (check)'!T39</f>
        <v>0</v>
      </c>
      <c r="U173" s="699">
        <f>-'Output-FR (check)'!U39</f>
        <v>0</v>
      </c>
      <c r="V173" s="699">
        <f>-'Output-FR (check)'!V39</f>
        <v>0</v>
      </c>
      <c r="W173" s="699">
        <f>-'Output-FR (check)'!W39</f>
        <v>0</v>
      </c>
      <c r="X173" s="699">
        <f>-'Output-FR (check)'!X39</f>
        <v>0</v>
      </c>
      <c r="Y173" s="699">
        <f>-'Output-FR (check)'!Y39</f>
        <v>0</v>
      </c>
      <c r="Z173" s="699">
        <f>-'Output-FR (check)'!Z39</f>
        <v>0</v>
      </c>
      <c r="AA173" s="699"/>
      <c r="AB173" s="700"/>
      <c r="AC173" s="700"/>
      <c r="AD173" s="700"/>
      <c r="AE173" s="700"/>
      <c r="AF173" s="700"/>
      <c r="AG173" s="700"/>
      <c r="AH173" s="700"/>
      <c r="AI173" s="700"/>
      <c r="AJ173" s="700"/>
      <c r="AK173" s="700"/>
      <c r="AL173" s="700"/>
      <c r="AM173" s="700"/>
      <c r="AN173" s="700"/>
      <c r="AO173" s="700"/>
      <c r="AP173" s="700"/>
      <c r="AQ173" s="700"/>
      <c r="AR173" s="700"/>
      <c r="AS173" s="700"/>
      <c r="AT173" s="700"/>
      <c r="AU173" s="700"/>
      <c r="AV173" s="700"/>
      <c r="AW173" s="700"/>
      <c r="AX173" s="700"/>
      <c r="AY173" s="700"/>
      <c r="AZ173" s="700"/>
      <c r="BA173" s="700"/>
    </row>
    <row r="174" spans="1:53" x14ac:dyDescent="0.25">
      <c r="A174" s="677"/>
      <c r="B174" s="788" t="s">
        <v>1379</v>
      </c>
      <c r="C174" s="788" t="s">
        <v>495</v>
      </c>
      <c r="D174" s="679"/>
      <c r="E174" s="696"/>
      <c r="F174" s="696"/>
      <c r="G174" s="696"/>
      <c r="H174" s="696"/>
      <c r="I174" s="696"/>
      <c r="J174" s="697">
        <f>-'Output-FR (check)'!J42</f>
        <v>-62.8</v>
      </c>
      <c r="K174" s="697">
        <f>-'Output-FR (check)'!K42</f>
        <v>-78.599999999999994</v>
      </c>
      <c r="L174" s="697">
        <f>-'Output-FR (check)'!L42</f>
        <v>-78.5685</v>
      </c>
      <c r="M174" s="697">
        <f>-'Output-FR (check)'!M42</f>
        <v>-78.568372499999995</v>
      </c>
      <c r="N174" s="697">
        <f>-'Output-FR (check)'!N42</f>
        <v>-78.5685</v>
      </c>
      <c r="O174" s="697">
        <f>-'Output-FR (check)'!O42</f>
        <v>-78.5685</v>
      </c>
      <c r="P174" s="698">
        <f>-'Output-FR (check)'!P42</f>
        <v>-0.46600000000000003</v>
      </c>
      <c r="Q174" s="699">
        <f>-'Output-FR (check)'!Q42</f>
        <v>-28.786179500000003</v>
      </c>
      <c r="R174" s="699">
        <f>-'Output-FR (check)'!R42</f>
        <v>-28.786179500000003</v>
      </c>
      <c r="S174" s="699">
        <f>-'Output-FR (check)'!S42</f>
        <v>-57.572359000000006</v>
      </c>
      <c r="T174" s="699">
        <f>-'Output-FR (check)'!T42</f>
        <v>-115.14471800000001</v>
      </c>
      <c r="U174" s="699">
        <f>-'Output-FR (check)'!U42</f>
        <v>-115.14471800000001</v>
      </c>
      <c r="V174" s="699">
        <f>-'Output-FR (check)'!V42</f>
        <v>-143.93089749999999</v>
      </c>
      <c r="W174" s="699">
        <f>-'Output-FR (check)'!W42</f>
        <v>-201.50325649999999</v>
      </c>
      <c r="X174" s="699">
        <f>-'Output-FR (check)'!X42</f>
        <v>-201.50325649999999</v>
      </c>
      <c r="Y174" s="699">
        <f>-'Output-FR (check)'!Y42</f>
        <v>-287.86179499999997</v>
      </c>
      <c r="Z174" s="699">
        <f>-'Output-FR (check)'!Z42</f>
        <v>-316.64797450000003</v>
      </c>
      <c r="AA174" s="699"/>
      <c r="AB174" s="700"/>
      <c r="AC174" s="700"/>
      <c r="AD174" s="700"/>
      <c r="AE174" s="700"/>
      <c r="AF174" s="700"/>
      <c r="AG174" s="700"/>
      <c r="AH174" s="700"/>
      <c r="AI174" s="700"/>
      <c r="AJ174" s="700"/>
      <c r="AK174" s="700"/>
      <c r="AL174" s="700"/>
      <c r="AM174" s="700"/>
      <c r="AN174" s="700"/>
      <c r="AO174" s="700"/>
      <c r="AP174" s="700"/>
      <c r="AQ174" s="700"/>
      <c r="AR174" s="700"/>
      <c r="AS174" s="700"/>
      <c r="AT174" s="700"/>
      <c r="AU174" s="700"/>
      <c r="AV174" s="700"/>
      <c r="AW174" s="700"/>
      <c r="AX174" s="700"/>
      <c r="AY174" s="700"/>
      <c r="AZ174" s="700"/>
      <c r="BA174" s="700"/>
    </row>
    <row r="175" spans="1:53" x14ac:dyDescent="0.25">
      <c r="A175" s="642"/>
      <c r="B175" s="29" t="s">
        <v>1380</v>
      </c>
      <c r="C175" s="29" t="s">
        <v>1381</v>
      </c>
      <c r="D175" s="66"/>
      <c r="E175" s="118"/>
      <c r="F175" s="118"/>
      <c r="G175" s="118"/>
      <c r="H175" s="118"/>
      <c r="I175" s="118"/>
      <c r="J175" s="119">
        <f>IF(ISTEXT('CF Raw'!J$11),('CF Raw'!J44+'CF Raw'!J45)/'Output-FR (check)'!$A$124,SUM(J176:J178))</f>
        <v>0</v>
      </c>
      <c r="K175" s="119">
        <f>IF(ISTEXT('CF Raw'!K$11),('CF Raw'!K44+'CF Raw'!K45)/'Output-FR (check)'!$A$124,SUM(K176:K178))</f>
        <v>125.52865199999999</v>
      </c>
      <c r="L175" s="119">
        <f>IF(ISTEXT('CF Raw'!L$11),('CF Raw'!L44+'CF Raw'!L45)/'Output-FR (check)'!$A$124,SUM(L176:L178))</f>
        <v>0</v>
      </c>
      <c r="M175" s="119">
        <f>IF(ISTEXT('CF Raw'!M$11),('CF Raw'!M44+'CF Raw'!M45)/'Output-FR (check)'!$A$124,SUM(M176:M178))</f>
        <v>0</v>
      </c>
      <c r="N175" s="119">
        <f>IF(ISTEXT('CF Raw'!N$11),('CF Raw'!N44+'CF Raw'!N45)/'Output-FR (check)'!$A$124,SUM(N176:N178))</f>
        <v>0</v>
      </c>
      <c r="O175" s="119">
        <f>IF(ISTEXT('CF Raw'!O$11),('CF Raw'!O44+'CF Raw'!O45)/'Output-FR (check)'!$A$124,SUM(O176:O178))</f>
        <v>-1.951918558</v>
      </c>
      <c r="P175" s="671">
        <f>IF(ISTEXT('CF Raw'!P$11),('CF Raw'!P44+'CF Raw'!P45)/'Output-FR (check)'!$A$124,SUM(P176:P178))</f>
        <v>0</v>
      </c>
      <c r="Q175" s="172">
        <f ca="1">IF(ISTEXT('CF Raw'!Q$11),('CF Raw'!Q44+'CF Raw'!Q45)/'Output-FR (check)'!$A$124,SUM(Q176:Q178))</f>
        <v>2.7126919135469336</v>
      </c>
      <c r="R175" s="172">
        <f ca="1">IF(ISTEXT('CF Raw'!R$11),('CF Raw'!R44+'CF Raw'!R45)/'Output-FR (check)'!$A$124,SUM(R176:R178))</f>
        <v>-1.5755312647488466</v>
      </c>
      <c r="S175" s="172">
        <f ca="1">IF(ISTEXT('CF Raw'!S$11),('CF Raw'!S44+'CF Raw'!S45)/'Output-FR (check)'!$A$124,SUM(S176:S178))</f>
        <v>57.521109002243193</v>
      </c>
      <c r="T175" s="172">
        <f ca="1">IF(ISTEXT('CF Raw'!T$11),('CF Raw'!T44+'CF Raw'!T45)/'Output-FR (check)'!$A$124,SUM(T176:T178))</f>
        <v>28.309114560093008</v>
      </c>
      <c r="U175" s="172">
        <f ca="1">IF(ISTEXT('CF Raw'!U$11),('CF Raw'!U44+'CF Raw'!U45)/'Output-FR (check)'!$A$124,SUM(U176:U178))</f>
        <v>32.746559594710646</v>
      </c>
      <c r="V175" s="172">
        <f ca="1">IF(ISTEXT('CF Raw'!V$11),('CF Raw'!V44+'CF Raw'!V45)/'Output-FR (check)'!$A$124,SUM(V176:V178))</f>
        <v>24.377413119075612</v>
      </c>
      <c r="W175" s="172">
        <f ca="1">IF(ISTEXT('CF Raw'!W$11),('CF Raw'!W44+'CF Raw'!W45)/'Output-FR (check)'!$A$124,SUM(W176:W178))</f>
        <v>29.205220653324886</v>
      </c>
      <c r="X175" s="172">
        <f ca="1">IF(ISTEXT('CF Raw'!X$11),('CF Raw'!X44+'CF Raw'!X45)/'Output-FR (check)'!$A$124,SUM(X176:X178))</f>
        <v>15.263189699060888</v>
      </c>
      <c r="Y175" s="172">
        <f ca="1">IF(ISTEXT('CF Raw'!Y$11),('CF Raw'!Y44+'CF Raw'!Y45)/'Output-FR (check)'!$A$124,SUM(Y176:Y178))</f>
        <v>17.359121821225699</v>
      </c>
      <c r="Z175" s="172">
        <f ca="1">IF(ISTEXT('CF Raw'!Z$11),('CF Raw'!Z44+'CF Raw'!Z45)/'Output-FR (check)'!$A$124,SUM(Z176:Z178))</f>
        <v>18.566370880036459</v>
      </c>
      <c r="AA175" s="172"/>
      <c r="AB175" s="173"/>
      <c r="AC175" s="173"/>
      <c r="AD175" s="173"/>
      <c r="AE175" s="173"/>
      <c r="AF175" s="173"/>
      <c r="AG175" s="173"/>
      <c r="AH175" s="173"/>
      <c r="AI175" s="173"/>
      <c r="AJ175" s="173"/>
      <c r="AK175" s="173"/>
      <c r="AL175" s="173"/>
      <c r="AM175" s="173"/>
      <c r="AN175" s="173"/>
      <c r="AO175" s="173"/>
      <c r="AP175" s="173"/>
      <c r="AQ175" s="173"/>
      <c r="AR175" s="173"/>
      <c r="AS175" s="173"/>
      <c r="AT175" s="173"/>
      <c r="AU175" s="173"/>
      <c r="AV175" s="173"/>
      <c r="AW175" s="173"/>
      <c r="AX175" s="173"/>
      <c r="AY175" s="173"/>
      <c r="AZ175" s="173"/>
      <c r="BA175" s="173"/>
    </row>
    <row r="176" spans="1:53" x14ac:dyDescent="0.25">
      <c r="A176" s="677"/>
      <c r="B176" s="677"/>
      <c r="C176" s="788" t="s">
        <v>1383</v>
      </c>
      <c r="D176" s="679"/>
      <c r="E176" s="696"/>
      <c r="F176" s="696"/>
      <c r="G176" s="696"/>
      <c r="H176" s="696"/>
      <c r="I176" s="696"/>
      <c r="J176" s="697">
        <f>+'Output-FR (check)'!J106-'Output-FR (check)'!I106</f>
        <v>0</v>
      </c>
      <c r="K176" s="697">
        <f>+'Output-FR (check)'!K106-'Output-FR (check)'!J106</f>
        <v>0</v>
      </c>
      <c r="L176" s="697">
        <f>+'Output-FR (check)'!L106-'Output-FR (check)'!K106</f>
        <v>0</v>
      </c>
      <c r="M176" s="697">
        <f>+'Output-FR (check)'!M106-'Output-FR (check)'!L106</f>
        <v>0</v>
      </c>
      <c r="N176" s="697">
        <f>+'Output-FR (check)'!N106-'Output-FR (check)'!M106</f>
        <v>0</v>
      </c>
      <c r="O176" s="697">
        <f>+'Output-FR (check)'!O106-'Output-FR (check)'!N106</f>
        <v>0</v>
      </c>
      <c r="P176" s="698">
        <f>+'Output-FR (check)'!P106-'Output-FR (check)'!O106</f>
        <v>0</v>
      </c>
      <c r="Q176" s="699">
        <f>+'Output-FR (check)'!Q106-'Output-FR (check)'!P106</f>
        <v>0</v>
      </c>
      <c r="R176" s="699">
        <f>+'Output-FR (check)'!R106-'Output-FR (check)'!Q106</f>
        <v>0</v>
      </c>
      <c r="S176" s="699">
        <f>+'Output-FR (check)'!S106-'Output-FR (check)'!R106</f>
        <v>0</v>
      </c>
      <c r="T176" s="699">
        <f>+'Output-FR (check)'!T106-'Output-FR (check)'!S106</f>
        <v>0</v>
      </c>
      <c r="U176" s="699">
        <f>+'Output-FR (check)'!U106-'Output-FR (check)'!T106</f>
        <v>0</v>
      </c>
      <c r="V176" s="699">
        <f>+'Output-FR (check)'!V106-'Output-FR (check)'!U106</f>
        <v>0</v>
      </c>
      <c r="W176" s="699">
        <f>+'Output-FR (check)'!W106-'Output-FR (check)'!V106</f>
        <v>0</v>
      </c>
      <c r="X176" s="699">
        <f>+'Output-FR (check)'!X106-'Output-FR (check)'!W106</f>
        <v>0</v>
      </c>
      <c r="Y176" s="699">
        <f>+'Output-FR (check)'!Y106-'Output-FR (check)'!X106</f>
        <v>0</v>
      </c>
      <c r="Z176" s="699">
        <f>+'Output-FR (check)'!Z106-'Output-FR (check)'!Y106</f>
        <v>0</v>
      </c>
      <c r="AA176" s="699"/>
      <c r="AB176" s="700"/>
      <c r="AC176" s="700"/>
      <c r="AD176" s="700"/>
      <c r="AE176" s="700"/>
      <c r="AF176" s="700"/>
      <c r="AG176" s="700"/>
      <c r="AH176" s="700"/>
      <c r="AI176" s="700"/>
      <c r="AJ176" s="700"/>
      <c r="AK176" s="700"/>
      <c r="AL176" s="700"/>
      <c r="AM176" s="700"/>
      <c r="AN176" s="700"/>
      <c r="AO176" s="700"/>
      <c r="AP176" s="700"/>
      <c r="AQ176" s="700"/>
      <c r="AR176" s="700"/>
      <c r="AS176" s="700"/>
      <c r="AT176" s="700"/>
      <c r="AU176" s="700"/>
      <c r="AV176" s="700"/>
      <c r="AW176" s="700"/>
      <c r="AX176" s="700"/>
      <c r="AY176" s="700"/>
      <c r="AZ176" s="700"/>
      <c r="BA176" s="700"/>
    </row>
    <row r="177" spans="1:53" x14ac:dyDescent="0.25">
      <c r="A177" s="677"/>
      <c r="B177" s="677"/>
      <c r="C177" s="788" t="s">
        <v>1385</v>
      </c>
      <c r="D177" s="679"/>
      <c r="E177" s="696"/>
      <c r="F177" s="696"/>
      <c r="G177" s="696"/>
      <c r="H177" s="696"/>
      <c r="I177" s="696"/>
      <c r="J177" s="697">
        <f>('Output-FR (check)'!J107-'Output-FR (check)'!I107)</f>
        <v>419.18279000000001</v>
      </c>
      <c r="K177" s="697">
        <f>('Output-FR (check)'!K107-'Output-FR (check)'!J107)</f>
        <v>104.60720999999995</v>
      </c>
      <c r="L177" s="697">
        <f>('Output-FR (check)'!L107-'Output-FR (check)'!K107)</f>
        <v>0</v>
      </c>
      <c r="M177" s="697">
        <f>('Output-FR (check)'!M107-'Output-FR (check)'!L107)</f>
        <v>0</v>
      </c>
      <c r="N177" s="697">
        <f>('Output-FR (check)'!N107-'Output-FR (check)'!M107)</f>
        <v>0</v>
      </c>
      <c r="O177" s="697">
        <f>('Output-FR (check)'!O107-'Output-FR (check)'!N107)</f>
        <v>0</v>
      </c>
      <c r="P177" s="698">
        <f>('Output-FR (check)'!P107-'Output-FR (check)'!O107)</f>
        <v>52.334440000000086</v>
      </c>
      <c r="Q177" s="699">
        <f>('Output-FR (check)'!Q107-'Output-FR (check)'!P107)</f>
        <v>0</v>
      </c>
      <c r="R177" s="699">
        <f>('Output-FR (check)'!R107-'Output-FR (check)'!Q107)</f>
        <v>0</v>
      </c>
      <c r="S177" s="699">
        <f>('Output-FR (check)'!S107-'Output-FR (check)'!R107)</f>
        <v>0</v>
      </c>
      <c r="T177" s="699">
        <f>('Output-FR (check)'!T107-'Output-FR (check)'!S107)</f>
        <v>0</v>
      </c>
      <c r="U177" s="699">
        <f>('Output-FR (check)'!U107-'Output-FR (check)'!T107)</f>
        <v>0</v>
      </c>
      <c r="V177" s="699">
        <f>('Output-FR (check)'!V107-'Output-FR (check)'!U107)</f>
        <v>0</v>
      </c>
      <c r="W177" s="699">
        <f>('Output-FR (check)'!W107-'Output-FR (check)'!V107)</f>
        <v>0</v>
      </c>
      <c r="X177" s="699">
        <f>('Output-FR (check)'!X107-'Output-FR (check)'!W107)</f>
        <v>0</v>
      </c>
      <c r="Y177" s="699">
        <f>('Output-FR (check)'!Y107-'Output-FR (check)'!X107)</f>
        <v>0</v>
      </c>
      <c r="Z177" s="699">
        <f>('Output-FR (check)'!Z107-'Output-FR (check)'!Y107)</f>
        <v>0</v>
      </c>
      <c r="AA177" s="699"/>
      <c r="AB177" s="700"/>
      <c r="AC177" s="700"/>
      <c r="AD177" s="700"/>
      <c r="AE177" s="700"/>
      <c r="AF177" s="700"/>
      <c r="AG177" s="700"/>
      <c r="AH177" s="700"/>
      <c r="AI177" s="700"/>
      <c r="AJ177" s="700"/>
      <c r="AK177" s="700"/>
      <c r="AL177" s="700"/>
      <c r="AM177" s="700"/>
      <c r="AN177" s="700"/>
      <c r="AO177" s="700"/>
      <c r="AP177" s="700"/>
      <c r="AQ177" s="700"/>
      <c r="AR177" s="700"/>
      <c r="AS177" s="700"/>
      <c r="AT177" s="700"/>
      <c r="AU177" s="700"/>
      <c r="AV177" s="700"/>
      <c r="AW177" s="700"/>
      <c r="AX177" s="700"/>
      <c r="AY177" s="700"/>
      <c r="AZ177" s="700"/>
      <c r="BA177" s="700"/>
    </row>
    <row r="178" spans="1:53" x14ac:dyDescent="0.25">
      <c r="A178" s="677"/>
      <c r="B178" s="677"/>
      <c r="C178" s="788" t="s">
        <v>1387</v>
      </c>
      <c r="D178" s="679"/>
      <c r="E178" s="696"/>
      <c r="F178" s="696"/>
      <c r="G178" s="696"/>
      <c r="H178" s="696"/>
      <c r="I178" s="696"/>
      <c r="J178" s="697">
        <f>+('Output-FR (check)'!J108-'Output-FR (check)'!I108)+('Output-FR (check)'!J110-'Output-FR (check)'!I110)/Input!$B$1</f>
        <v>28.242535173000022</v>
      </c>
      <c r="K178" s="697">
        <f>+('Output-FR (check)'!K108-'Output-FR (check)'!J108)+('Output-FR (check)'!K110-'Output-FR (check)'!J110)/Input!$B$1</f>
        <v>64.968976695000023</v>
      </c>
      <c r="L178" s="697">
        <f>+('Output-FR (check)'!L108-'Output-FR (check)'!K108)+('Output-FR (check)'!L110-'Output-FR (check)'!K110)/Input!$B$1</f>
        <v>11.938098813999943</v>
      </c>
      <c r="M178" s="697">
        <f>+('Output-FR (check)'!M108-'Output-FR (check)'!L108)+('Output-FR (check)'!M110-'Output-FR (check)'!L110)/Input!$B$1</f>
        <v>12.328894947000009</v>
      </c>
      <c r="N178" s="697">
        <f>+('Output-FR (check)'!N108-'Output-FR (check)'!M108)+('Output-FR (check)'!N110-'Output-FR (check)'!M110)/Input!$B$1</f>
        <v>9.4851462260000119</v>
      </c>
      <c r="O178" s="697">
        <f>+('Output-FR (check)'!O108-'Output-FR (check)'!N108)+('Output-FR (check)'!O110-'Output-FR (check)'!N110)/Input!$B$1</f>
        <v>11.555248811000013</v>
      </c>
      <c r="P178" s="698">
        <f>+('Output-FR (check)'!P108-'Output-FR (check)'!O108)+('Output-FR (check)'!P110-'Output-FR (check)'!O110)/Input!$B$1</f>
        <v>8.2824687490000883</v>
      </c>
      <c r="Q178" s="699">
        <f ca="1">+('Output-FR (check)'!Q108-'Output-FR (check)'!P108)+('Output-FR (check)'!Q110-'Output-FR (check)'!P110)/Input!$B$1</f>
        <v>2.7126919135469336</v>
      </c>
      <c r="R178" s="699">
        <f ca="1">+('Output-FR (check)'!R108-'Output-FR (check)'!Q108)+('Output-FR (check)'!R110-'Output-FR (check)'!Q110)/Input!$B$1</f>
        <v>-1.5755312647488466</v>
      </c>
      <c r="S178" s="699">
        <f ca="1">+('Output-FR (check)'!S108-'Output-FR (check)'!R108)+('Output-FR (check)'!S110-'Output-FR (check)'!R110)/Input!$B$1</f>
        <v>57.521109002243193</v>
      </c>
      <c r="T178" s="699">
        <f ca="1">+('Output-FR (check)'!T108-'Output-FR (check)'!S108)+('Output-FR (check)'!T110-'Output-FR (check)'!S110)/Input!$B$1</f>
        <v>28.309114560093008</v>
      </c>
      <c r="U178" s="699">
        <f ca="1">+('Output-FR (check)'!U108-'Output-FR (check)'!T108)+('Output-FR (check)'!U110-'Output-FR (check)'!T110)/Input!$B$1</f>
        <v>32.746559594710646</v>
      </c>
      <c r="V178" s="699">
        <f ca="1">+('Output-FR (check)'!V108-'Output-FR (check)'!U108)+('Output-FR (check)'!V110-'Output-FR (check)'!U110)/Input!$B$1</f>
        <v>24.377413119075612</v>
      </c>
      <c r="W178" s="699">
        <f ca="1">+('Output-FR (check)'!W108-'Output-FR (check)'!V108)+('Output-FR (check)'!W110-'Output-FR (check)'!V110)/Input!$B$1</f>
        <v>29.205220653324886</v>
      </c>
      <c r="X178" s="699">
        <f ca="1">+('Output-FR (check)'!X108-'Output-FR (check)'!W108)+('Output-FR (check)'!X110-'Output-FR (check)'!W110)/Input!$B$1</f>
        <v>15.263189699060888</v>
      </c>
      <c r="Y178" s="699">
        <f ca="1">+('Output-FR (check)'!Y108-'Output-FR (check)'!X108)+('Output-FR (check)'!Y110-'Output-FR (check)'!X110)/Input!$B$1</f>
        <v>17.359121821225699</v>
      </c>
      <c r="Z178" s="699">
        <f ca="1">+('Output-FR (check)'!Z108-'Output-FR (check)'!Y108)+('Output-FR (check)'!Z110-'Output-FR (check)'!Y110)/Input!$B$1</f>
        <v>18.566370880036459</v>
      </c>
      <c r="AA178" s="699"/>
      <c r="AB178" s="700"/>
      <c r="AC178" s="700"/>
      <c r="AD178" s="700"/>
      <c r="AE178" s="700"/>
      <c r="AF178" s="700"/>
      <c r="AG178" s="700"/>
      <c r="AH178" s="700"/>
      <c r="AI178" s="700"/>
      <c r="AJ178" s="700"/>
      <c r="AK178" s="700"/>
      <c r="AL178" s="700"/>
      <c r="AM178" s="700"/>
      <c r="AN178" s="700"/>
      <c r="AO178" s="700"/>
      <c r="AP178" s="700"/>
      <c r="AQ178" s="700"/>
      <c r="AR178" s="700"/>
      <c r="AS178" s="700"/>
      <c r="AT178" s="700"/>
      <c r="AU178" s="700"/>
      <c r="AV178" s="700"/>
      <c r="AW178" s="700"/>
      <c r="AX178" s="700"/>
      <c r="AY178" s="700"/>
      <c r="AZ178" s="700"/>
      <c r="BA178" s="700"/>
    </row>
    <row r="179" spans="1:53" x14ac:dyDescent="0.25">
      <c r="A179" s="677"/>
      <c r="B179" s="29" t="s">
        <v>1388</v>
      </c>
      <c r="C179" s="788"/>
      <c r="D179" s="679"/>
      <c r="E179" s="696"/>
      <c r="F179" s="696"/>
      <c r="G179" s="696"/>
      <c r="H179" s="696"/>
      <c r="I179" s="696"/>
      <c r="J179" s="119">
        <f>IF(ISTEXT('CF Raw'!P11),'CF Raw'!J48,0)</f>
        <v>0</v>
      </c>
      <c r="K179" s="119">
        <f>IF(ISTEXT('CF Raw'!Q11),'CF Raw'!K48,0)</f>
        <v>0</v>
      </c>
      <c r="L179" s="119">
        <f>IF(ISTEXT('CF Raw'!R11),'CF Raw'!L48,0)</f>
        <v>0</v>
      </c>
      <c r="M179" s="119">
        <f>IF(ISTEXT('CF Raw'!S11),'CF Raw'!M48,0)</f>
        <v>0</v>
      </c>
      <c r="N179" s="119">
        <f>IF(ISTEXT('CF Raw'!T11),'CF Raw'!N48,0)</f>
        <v>0</v>
      </c>
      <c r="O179" s="119">
        <f>IF(ISTEXT('CF Raw'!U11),'CF Raw'!O48,0)</f>
        <v>0</v>
      </c>
      <c r="P179" s="671">
        <f>IF(ISTEXT('CF Raw'!V11),'CF Raw'!P48,0)</f>
        <v>0</v>
      </c>
      <c r="Q179" s="172">
        <f>IF(ISTEXT('CF Raw'!W11),'CF Raw'!Q48,0)</f>
        <v>0</v>
      </c>
      <c r="R179" s="172">
        <f>IF(ISTEXT('CF Raw'!X11),'CF Raw'!R48,0)</f>
        <v>0</v>
      </c>
      <c r="S179" s="172">
        <f>IF(ISTEXT('CF Raw'!Y11),'CF Raw'!S48,0)</f>
        <v>0</v>
      </c>
      <c r="T179" s="172">
        <f>IF(ISTEXT('CF Raw'!Z11),'CF Raw'!T48,0)</f>
        <v>0</v>
      </c>
      <c r="U179" s="172">
        <f>IF(ISTEXT('CF Raw'!AA11),'CF Raw'!U48,0)</f>
        <v>0</v>
      </c>
      <c r="V179" s="172">
        <f>IF(ISTEXT('CF Raw'!AB11),'CF Raw'!V48,0)</f>
        <v>0</v>
      </c>
      <c r="W179" s="172">
        <f>IF(ISTEXT('CF Raw'!AC11),'CF Raw'!W48,0)</f>
        <v>0</v>
      </c>
      <c r="X179" s="172">
        <f>IF(ISTEXT('CF Raw'!AD11),'CF Raw'!X48,0)</f>
        <v>0</v>
      </c>
      <c r="Y179" s="172">
        <f>IF(ISTEXT('CF Raw'!AE11),'CF Raw'!Y48,0)</f>
        <v>0</v>
      </c>
      <c r="Z179" s="172">
        <f>IF(ISTEXT('CF Raw'!AF11),'CF Raw'!Z48,0)</f>
        <v>0</v>
      </c>
      <c r="AA179" s="172"/>
      <c r="AB179" s="700"/>
      <c r="AC179" s="700"/>
      <c r="AD179" s="700"/>
      <c r="AE179" s="700"/>
      <c r="AF179" s="700"/>
      <c r="AG179" s="700"/>
      <c r="AH179" s="700"/>
      <c r="AI179" s="700"/>
      <c r="AJ179" s="700"/>
      <c r="AK179" s="700"/>
      <c r="AL179" s="700"/>
      <c r="AM179" s="700"/>
      <c r="AN179" s="700"/>
      <c r="AO179" s="700"/>
      <c r="AP179" s="700"/>
      <c r="AQ179" s="700"/>
      <c r="AR179" s="700"/>
      <c r="AS179" s="700"/>
      <c r="AT179" s="700"/>
      <c r="AU179" s="700"/>
      <c r="AV179" s="700"/>
      <c r="AW179" s="700"/>
      <c r="AX179" s="700"/>
      <c r="AY179" s="700"/>
      <c r="AZ179" s="700"/>
      <c r="BA179" s="700"/>
    </row>
    <row r="180" spans="1:53" x14ac:dyDescent="0.25">
      <c r="A180" s="780"/>
      <c r="B180" s="789" t="s">
        <v>1389</v>
      </c>
      <c r="C180" s="789" t="s">
        <v>1390</v>
      </c>
      <c r="D180" s="784"/>
      <c r="E180" s="759"/>
      <c r="F180" s="759"/>
      <c r="G180" s="759"/>
      <c r="H180" s="759"/>
      <c r="I180" s="760"/>
      <c r="J180" s="760">
        <f>+J165+J171+J172+J175+J179</f>
        <v>-55.362939695000009</v>
      </c>
      <c r="K180" s="760">
        <f t="shared" ref="K180:Z180" si="26">+K165+K171+K172+K175+K179</f>
        <v>76.923204158999994</v>
      </c>
      <c r="L180" s="760">
        <f t="shared" si="26"/>
        <v>14.58205853299998</v>
      </c>
      <c r="M180" s="760">
        <f t="shared" si="26"/>
        <v>-180.50722624399998</v>
      </c>
      <c r="N180" s="760">
        <f t="shared" si="26"/>
        <v>65.894123249999978</v>
      </c>
      <c r="O180" s="760">
        <f t="shared" si="26"/>
        <v>-240.19809773099999</v>
      </c>
      <c r="P180" s="761">
        <f t="shared" si="26"/>
        <v>0.93</v>
      </c>
      <c r="Q180" s="762">
        <f t="shared" ca="1" si="26"/>
        <v>186.87238280969811</v>
      </c>
      <c r="R180" s="762">
        <f t="shared" ca="1" si="26"/>
        <v>63.26035166795721</v>
      </c>
      <c r="S180" s="762">
        <f t="shared" ca="1" si="26"/>
        <v>-41.499546558818494</v>
      </c>
      <c r="T180" s="762">
        <f t="shared" ca="1" si="26"/>
        <v>-168.23262303809366</v>
      </c>
      <c r="U180" s="762">
        <f t="shared" ca="1" si="26"/>
        <v>-135.28531214872069</v>
      </c>
      <c r="V180" s="762">
        <f t="shared" ca="1" si="26"/>
        <v>-188.58002540456474</v>
      </c>
      <c r="W180" s="762">
        <f t="shared" ca="1" si="26"/>
        <v>-191.53235503232506</v>
      </c>
      <c r="X180" s="762">
        <f t="shared" ca="1" si="26"/>
        <v>-176.95814106915927</v>
      </c>
      <c r="Y180" s="762">
        <f t="shared" ca="1" si="26"/>
        <v>-269.56979935077379</v>
      </c>
      <c r="Z180" s="762">
        <f t="shared" ca="1" si="26"/>
        <v>-289.01829750830717</v>
      </c>
      <c r="AA180" s="762"/>
      <c r="AB180" s="763"/>
      <c r="AC180" s="763"/>
      <c r="AD180" s="763"/>
      <c r="AE180" s="763"/>
      <c r="AF180" s="763"/>
      <c r="AG180" s="763"/>
      <c r="AH180" s="763"/>
      <c r="AI180" s="763"/>
      <c r="AJ180" s="763"/>
      <c r="AK180" s="763"/>
      <c r="AL180" s="763"/>
      <c r="AM180" s="763"/>
      <c r="AN180" s="763"/>
      <c r="AO180" s="763"/>
      <c r="AP180" s="763"/>
      <c r="AQ180" s="763"/>
      <c r="AR180" s="763"/>
      <c r="AS180" s="763"/>
      <c r="AT180" s="763"/>
      <c r="AU180" s="763"/>
      <c r="AV180" s="763"/>
      <c r="AW180" s="763"/>
      <c r="AX180" s="763"/>
      <c r="AY180" s="763"/>
      <c r="AZ180" s="763"/>
      <c r="BA180" s="763"/>
    </row>
    <row r="181" spans="1:53" x14ac:dyDescent="0.25">
      <c r="A181" s="790"/>
      <c r="B181" s="785" t="s">
        <v>468</v>
      </c>
      <c r="C181" s="770"/>
      <c r="D181" s="66"/>
      <c r="E181" s="428"/>
      <c r="F181" s="428"/>
      <c r="G181" s="428"/>
      <c r="H181" s="428"/>
      <c r="I181" s="428"/>
      <c r="J181" s="429">
        <f>IF(ISTEXT('CF Raw'!J$11),J180-'CF Raw'!J51/'Output-FR (check)'!$A$124,"Chưa có BCTC")</f>
        <v>-7.1054273576010019E-15</v>
      </c>
      <c r="K181" s="429">
        <f>IF(ISTEXT('CF Raw'!K$11),K180-'CF Raw'!K51/'Output-FR (check)'!$A$124,"Chưa có BCTC")</f>
        <v>0</v>
      </c>
      <c r="L181" s="429">
        <f>IF(ISTEXT('CF Raw'!L$11),L180-'CF Raw'!L51/'Output-FR (check)'!$A$124,"Chưa có BCTC")</f>
        <v>-1.9539925233402755E-14</v>
      </c>
      <c r="M181" s="429">
        <f>IF(ISTEXT('CF Raw'!M$11),M180-'CF Raw'!M51/'Output-FR (check)'!$A$124,"Chưa có BCTC")</f>
        <v>2.8421709430404007E-14</v>
      </c>
      <c r="N181" s="429">
        <f>IF(ISTEXT('CF Raw'!N$11),N180-'CF Raw'!N51/'Output-FR (check)'!$A$124,"Chưa có BCTC")</f>
        <v>-2.8421709430404007E-14</v>
      </c>
      <c r="O181" s="429">
        <f>IF(ISTEXT('CF Raw'!O$11),O180-'CF Raw'!O51/'Output-FR (check)'!$A$124,"Chưa có BCTC")</f>
        <v>0</v>
      </c>
      <c r="P181" s="786">
        <f>IF(ISTEXT('CF Raw'!P$11),P180-'CF Raw'!P51/'Output-FR (check)'!$A$124,"Chưa có BCTC")</f>
        <v>0</v>
      </c>
      <c r="Q181" s="1894" t="str">
        <f>IF(ISTEXT('CF Raw'!Q$11),Q180-'CF Raw'!Q51/'Output-FR (check)'!$A$124,"Chưa có BCTC")</f>
        <v>Chưa có BCTC</v>
      </c>
      <c r="R181" s="1894" t="str">
        <f>IF(ISTEXT('CF Raw'!R$11),R180-'CF Raw'!R51/'Output-FR (check)'!$A$124,"Chưa có BCTC")</f>
        <v>Chưa có BCTC</v>
      </c>
      <c r="S181" s="1894" t="str">
        <f>IF(ISTEXT('CF Raw'!S$11),S180-'CF Raw'!S51/'Output-FR (check)'!$A$124,"Chưa có BCTC")</f>
        <v>Chưa có BCTC</v>
      </c>
      <c r="T181" s="1894" t="str">
        <f>IF(ISTEXT('CF Raw'!T$11),T180-'CF Raw'!T51/'Output-FR (check)'!$A$124,"Chưa có BCTC")</f>
        <v>Chưa có BCTC</v>
      </c>
      <c r="U181" s="1894" t="str">
        <f>IF(ISTEXT('CF Raw'!U$11),U180-'CF Raw'!U51/'Output-FR (check)'!$A$124,"Chưa có BCTC")</f>
        <v>Chưa có BCTC</v>
      </c>
      <c r="V181" s="1894" t="str">
        <f>IF(ISTEXT('CF Raw'!V$11),V180-'CF Raw'!V51/'Output-FR (check)'!$A$124,"Chưa có BCTC")</f>
        <v>Chưa có BCTC</v>
      </c>
      <c r="W181" s="1894" t="str">
        <f>IF(ISTEXT('CF Raw'!W$11),W180-'CF Raw'!W51/'Output-FR (check)'!$A$124,"Chưa có BCTC")</f>
        <v>Chưa có BCTC</v>
      </c>
      <c r="X181" s="1894" t="str">
        <f>IF(ISTEXT('CF Raw'!X$11),X180-'CF Raw'!X51/'Output-FR (check)'!$A$124,"Chưa có BCTC")</f>
        <v>Chưa có BCTC</v>
      </c>
      <c r="Y181" s="1894" t="str">
        <f>IF(ISTEXT('CF Raw'!Y$11),Y180-'CF Raw'!Y51/'Output-FR (check)'!$A$124,"Chưa có BCTC")</f>
        <v>Chưa có BCTC</v>
      </c>
      <c r="Z181" s="1894" t="str">
        <f>IF(ISTEXT('CF Raw'!Z$11),Z180-'CF Raw'!Z51/'Output-FR (check)'!$A$124,"Chưa có BCTC")</f>
        <v>Chưa có BCTC</v>
      </c>
      <c r="AA181" s="429"/>
      <c r="AB181" s="787"/>
      <c r="AC181" s="787"/>
      <c r="AD181" s="787"/>
      <c r="AE181" s="787"/>
      <c r="AF181" s="787"/>
      <c r="AG181" s="787"/>
      <c r="AH181" s="787"/>
      <c r="AI181" s="787"/>
      <c r="AJ181" s="787"/>
      <c r="AK181" s="787"/>
      <c r="AL181" s="787"/>
      <c r="AM181" s="787"/>
      <c r="AN181" s="787"/>
      <c r="AO181" s="787"/>
      <c r="AP181" s="787"/>
      <c r="AQ181" s="787"/>
      <c r="AR181" s="787"/>
      <c r="AS181" s="787"/>
      <c r="AT181" s="787"/>
      <c r="AU181" s="787"/>
      <c r="AV181" s="787"/>
      <c r="AW181" s="787"/>
      <c r="AX181" s="787"/>
      <c r="AY181" s="787"/>
      <c r="AZ181" s="787"/>
      <c r="BA181" s="787"/>
    </row>
    <row r="182" spans="1:53" x14ac:dyDescent="0.25">
      <c r="A182" s="642"/>
      <c r="B182" s="29"/>
      <c r="C182" s="29"/>
      <c r="D182" s="66"/>
      <c r="E182" s="118"/>
      <c r="F182" s="118"/>
      <c r="G182" s="118"/>
      <c r="H182" s="118"/>
      <c r="I182" s="118"/>
      <c r="J182" s="118"/>
      <c r="K182" s="118"/>
      <c r="L182" s="118"/>
      <c r="M182" s="118"/>
      <c r="N182" s="118"/>
      <c r="O182" s="118"/>
      <c r="P182" s="218"/>
      <c r="Q182" s="118"/>
      <c r="R182" s="118"/>
      <c r="S182" s="118"/>
      <c r="T182" s="118"/>
      <c r="U182" s="118"/>
      <c r="V182" s="118"/>
      <c r="W182" s="118"/>
      <c r="X182" s="118"/>
      <c r="Y182" s="118"/>
      <c r="Z182" s="118"/>
      <c r="AA182" s="118"/>
      <c r="AB182" s="118"/>
      <c r="AC182" s="118"/>
      <c r="AD182" s="118"/>
      <c r="AE182" s="118"/>
      <c r="AF182" s="118"/>
      <c r="AG182" s="118"/>
      <c r="AH182" s="118"/>
      <c r="AI182" s="118"/>
      <c r="AJ182" s="118"/>
      <c r="AK182" s="118"/>
      <c r="AL182" s="118"/>
      <c r="AM182" s="118"/>
      <c r="AN182" s="118"/>
      <c r="AO182" s="118"/>
      <c r="AP182" s="118"/>
      <c r="AQ182" s="118"/>
      <c r="AR182" s="118"/>
      <c r="AS182" s="118"/>
      <c r="AT182" s="118"/>
      <c r="AU182" s="118"/>
      <c r="AV182" s="118"/>
      <c r="AW182" s="118"/>
      <c r="AX182" s="118"/>
      <c r="AY182" s="118"/>
      <c r="AZ182" s="118"/>
      <c r="BA182" s="118"/>
    </row>
    <row r="183" spans="1:53" x14ac:dyDescent="0.25">
      <c r="A183" s="642"/>
      <c r="B183" s="29" t="s">
        <v>1391</v>
      </c>
      <c r="C183" s="29" t="s">
        <v>1392</v>
      </c>
      <c r="D183" s="66"/>
      <c r="E183" s="118"/>
      <c r="F183" s="118"/>
      <c r="G183" s="118"/>
      <c r="H183" s="118"/>
      <c r="I183" s="118"/>
      <c r="J183" s="119">
        <f>+J154+J162+J180</f>
        <v>71.748700489999962</v>
      </c>
      <c r="K183" s="119">
        <f t="shared" ref="K183:Z183" si="27">+K154+K162+K180</f>
        <v>-74.837537413000064</v>
      </c>
      <c r="L183" s="119">
        <f t="shared" si="27"/>
        <v>-39.045296355000019</v>
      </c>
      <c r="M183" s="119">
        <f t="shared" si="27"/>
        <v>-3.9430738299998893</v>
      </c>
      <c r="N183" s="119">
        <f t="shared" si="27"/>
        <v>45.605457432999955</v>
      </c>
      <c r="O183" s="119">
        <f t="shared" si="27"/>
        <v>-29.433462669000022</v>
      </c>
      <c r="P183" s="671">
        <f t="shared" si="27"/>
        <v>-17.202145271999903</v>
      </c>
      <c r="Q183" s="172">
        <f t="shared" ca="1" si="27"/>
        <v>122.66109097076733</v>
      </c>
      <c r="R183" s="172">
        <f t="shared" ca="1" si="27"/>
        <v>-6.7300394664483036</v>
      </c>
      <c r="S183" s="172">
        <f t="shared" ca="1" si="27"/>
        <v>40.906136853400952</v>
      </c>
      <c r="T183" s="172">
        <f t="shared" ca="1" si="27"/>
        <v>23.115606982197818</v>
      </c>
      <c r="U183" s="172">
        <f t="shared" ca="1" si="27"/>
        <v>26.616951111500953</v>
      </c>
      <c r="V183" s="172">
        <f t="shared" ca="1" si="27"/>
        <v>23.357368640400438</v>
      </c>
      <c r="W183" s="172">
        <f t="shared" ca="1" si="27"/>
        <v>44.353422127542615</v>
      </c>
      <c r="X183" s="172">
        <f t="shared" ca="1" si="27"/>
        <v>40.570856482595417</v>
      </c>
      <c r="Y183" s="172">
        <f t="shared" ca="1" si="27"/>
        <v>41.572593208929447</v>
      </c>
      <c r="Z183" s="172">
        <f t="shared" ca="1" si="27"/>
        <v>57.755529436845961</v>
      </c>
      <c r="AA183" s="172"/>
      <c r="AB183" s="173"/>
      <c r="AC183" s="173"/>
      <c r="AD183" s="173"/>
      <c r="AE183" s="173"/>
      <c r="AF183" s="173"/>
      <c r="AG183" s="173"/>
      <c r="AH183" s="173"/>
      <c r="AI183" s="173"/>
      <c r="AJ183" s="173"/>
      <c r="AK183" s="173"/>
      <c r="AL183" s="173"/>
      <c r="AM183" s="173"/>
      <c r="AN183" s="173"/>
      <c r="AO183" s="173"/>
      <c r="AP183" s="173"/>
      <c r="AQ183" s="173"/>
      <c r="AR183" s="173"/>
      <c r="AS183" s="173"/>
      <c r="AT183" s="173"/>
      <c r="AU183" s="173"/>
      <c r="AV183" s="173"/>
      <c r="AW183" s="173"/>
      <c r="AX183" s="173"/>
      <c r="AY183" s="173"/>
      <c r="AZ183" s="173"/>
      <c r="BA183" s="173"/>
    </row>
    <row r="184" spans="1:53" x14ac:dyDescent="0.25">
      <c r="A184" s="642"/>
      <c r="B184" s="29" t="s">
        <v>1393</v>
      </c>
      <c r="C184" s="29" t="s">
        <v>1394</v>
      </c>
      <c r="D184" s="66"/>
      <c r="E184" s="118"/>
      <c r="F184" s="118"/>
      <c r="G184" s="118"/>
      <c r="H184" s="118"/>
      <c r="I184" s="118"/>
      <c r="J184" s="119">
        <f>IF(ISTEXT('CF Raw'!J$11),'CF Raw'!J53/'Output-FR (check)'!$A$124,'Output-FR (check)'!I59)</f>
        <v>138.943070425</v>
      </c>
      <c r="K184" s="119">
        <f>IF(ISTEXT('CF Raw'!K$11),'CF Raw'!K53/'Output-FR (check)'!$A$124,'Output-FR (check)'!J59)</f>
        <v>210.69177091500001</v>
      </c>
      <c r="L184" s="119">
        <f>IF(ISTEXT('CF Raw'!L$11),'CF Raw'!L53/'Output-FR (check)'!$A$124,'Output-FR (check)'!K59)</f>
        <v>135.54888223399999</v>
      </c>
      <c r="M184" s="119">
        <f>IF(ISTEXT('CF Raw'!M$11),'CF Raw'!M53/'Output-FR (check)'!$A$124,'Output-FR (check)'!L59)</f>
        <v>96.499799276000005</v>
      </c>
      <c r="N184" s="119">
        <f>IF(ISTEXT('CF Raw'!N$11),'CF Raw'!N53/'Output-FR (check)'!$A$124,'Output-FR (check)'!M59)</f>
        <v>92.556725446000002</v>
      </c>
      <c r="O184" s="119">
        <f>IF(ISTEXT('CF Raw'!O$11),'CF Raw'!O53/'Output-FR (check)'!$A$124,'Output-FR (check)'!N59)</f>
        <v>138.16217737900001</v>
      </c>
      <c r="P184" s="671">
        <f>IF(ISTEXT('CF Raw'!P$11),'CF Raw'!P53/'Output-FR (check)'!$A$124,'Output-FR (check)'!O59)</f>
        <v>108.72871471000001</v>
      </c>
      <c r="Q184" s="172">
        <f>IF(ISTEXT('CF Raw'!Q$11),'CF Raw'!Q53/'Output-FR (check)'!$A$124,'Output-FR (check)'!P59)</f>
        <v>68.453780408</v>
      </c>
      <c r="R184" s="172">
        <f ca="1">IF(ISTEXT('CF Raw'!R$11),'CF Raw'!R53/'Output-FR (check)'!$A$124,'Output-FR (check)'!Q59)</f>
        <v>191.11594896576673</v>
      </c>
      <c r="S184" s="172">
        <f ca="1">IF(ISTEXT('CF Raw'!S$11),'CF Raw'!S53/'Output-FR (check)'!$A$124,'Output-FR (check)'!R59)</f>
        <v>184.38590949931969</v>
      </c>
      <c r="T184" s="172">
        <f ca="1">IF(ISTEXT('CF Raw'!T$11),'CF Raw'!T53/'Output-FR (check)'!$A$124,'Output-FR (check)'!S59)</f>
        <v>225.29204635272035</v>
      </c>
      <c r="U184" s="172">
        <f ca="1">IF(ISTEXT('CF Raw'!U$11),'CF Raw'!U53/'Output-FR (check)'!$A$124,'Output-FR (check)'!T59)</f>
        <v>248.40765333491822</v>
      </c>
      <c r="V184" s="172">
        <f ca="1">IF(ISTEXT('CF Raw'!V$11),'CF Raw'!V53/'Output-FR (check)'!$A$124,'Output-FR (check)'!U59)</f>
        <v>275.02460444641957</v>
      </c>
      <c r="W184" s="172">
        <f ca="1">IF(ISTEXT('CF Raw'!W$11),'CF Raw'!W53/'Output-FR (check)'!$A$124,'Output-FR (check)'!V59)</f>
        <v>298.38197308682027</v>
      </c>
      <c r="X184" s="172">
        <f ca="1">IF(ISTEXT('CF Raw'!X$11),'CF Raw'!X53/'Output-FR (check)'!$A$124,'Output-FR (check)'!W59)</f>
        <v>342.73539521436214</v>
      </c>
      <c r="Y184" s="172">
        <f ca="1">IF(ISTEXT('CF Raw'!Y$11),'CF Raw'!Y53/'Output-FR (check)'!$A$124,'Output-FR (check)'!X59)</f>
        <v>383.30625169695742</v>
      </c>
      <c r="Z184" s="172">
        <f ca="1">IF(ISTEXT('CF Raw'!Z$11),'CF Raw'!Z53/'Output-FR (check)'!$A$124,'Output-FR (check)'!Y59)</f>
        <v>424.87884490588687</v>
      </c>
      <c r="AA184" s="172"/>
      <c r="AB184" s="173"/>
      <c r="AC184" s="173"/>
      <c r="AD184" s="173"/>
      <c r="AE184" s="173"/>
      <c r="AF184" s="173"/>
      <c r="AG184" s="173"/>
      <c r="AH184" s="173"/>
      <c r="AI184" s="173"/>
      <c r="AJ184" s="173"/>
      <c r="AK184" s="173"/>
      <c r="AL184" s="173"/>
      <c r="AM184" s="173"/>
      <c r="AN184" s="173"/>
      <c r="AO184" s="173"/>
      <c r="AP184" s="173"/>
      <c r="AQ184" s="173"/>
      <c r="AR184" s="173"/>
      <c r="AS184" s="173"/>
      <c r="AT184" s="173"/>
      <c r="AU184" s="173"/>
      <c r="AV184" s="173"/>
      <c r="AW184" s="173"/>
      <c r="AX184" s="173"/>
      <c r="AY184" s="173"/>
      <c r="AZ184" s="173"/>
      <c r="BA184" s="173"/>
    </row>
    <row r="185" spans="1:53" x14ac:dyDescent="0.25">
      <c r="A185" s="642"/>
      <c r="B185" s="29" t="s">
        <v>1395</v>
      </c>
      <c r="C185" s="29"/>
      <c r="D185" s="66"/>
      <c r="E185" s="118"/>
      <c r="F185" s="118"/>
      <c r="G185" s="118"/>
      <c r="H185" s="119"/>
      <c r="I185" s="119"/>
      <c r="J185" s="119">
        <f>IF(ISTEXT('CF Raw'!J$11),'CF Raw'!J54/'Output-FR (check)'!$A$124,0)</f>
        <v>0</v>
      </c>
      <c r="K185" s="119">
        <f>IF(ISTEXT('CF Raw'!K$11),'CF Raw'!K54/'Output-FR (check)'!$A$124,0)</f>
        <v>-0.30535126800000001</v>
      </c>
      <c r="L185" s="119">
        <f>IF(ISTEXT('CF Raw'!L$11),'CF Raw'!L54/'Output-FR (check)'!$A$124,0)</f>
        <v>-3.7866029999999999E-3</v>
      </c>
      <c r="M185" s="119">
        <f>IF(ISTEXT('CF Raw'!M$11),'CF Raw'!M54/'Output-FR (check)'!$A$124,0)</f>
        <v>0</v>
      </c>
      <c r="N185" s="119">
        <f>IF(ISTEXT('CF Raw'!N$11),'CF Raw'!N54/'Output-FR (check)'!$A$124,0)</f>
        <v>-5.4999999999999999E-6</v>
      </c>
      <c r="O185" s="119">
        <f>IF(ISTEXT('CF Raw'!O$11),'CF Raw'!O54/'Output-FR (check)'!$A$124,0)</f>
        <v>0</v>
      </c>
      <c r="P185" s="671">
        <f>IF(ISTEXT('CF Raw'!P$11),'CF Raw'!P54/'Output-FR (check)'!$A$124,0)</f>
        <v>0</v>
      </c>
      <c r="Q185" s="172">
        <f>IF(ISTEXT('CF Raw'!Q$11),'CF Raw'!Q54/'Output-FR (check)'!$A$124,0)</f>
        <v>0</v>
      </c>
      <c r="R185" s="172">
        <f>IF(ISTEXT('CF Raw'!R$11),'CF Raw'!R54/'Output-FR (check)'!$A$124,0)</f>
        <v>0</v>
      </c>
      <c r="S185" s="172">
        <f>IF(ISTEXT('CF Raw'!S$11),'CF Raw'!S54/'Output-FR (check)'!$A$124,0)</f>
        <v>0</v>
      </c>
      <c r="T185" s="172">
        <f>IF(ISTEXT('CF Raw'!T$11),'CF Raw'!T54/'Output-FR (check)'!$A$124,0)</f>
        <v>0</v>
      </c>
      <c r="U185" s="172">
        <f>IF(ISTEXT('CF Raw'!U$11),'CF Raw'!U54/'Output-FR (check)'!$A$124,0)</f>
        <v>0</v>
      </c>
      <c r="V185" s="172">
        <f>IF(ISTEXT('CF Raw'!V$11),'CF Raw'!V54/'Output-FR (check)'!$A$124,0)</f>
        <v>0</v>
      </c>
      <c r="W185" s="172">
        <f>IF(ISTEXT('CF Raw'!W$11),'CF Raw'!W54/'Output-FR (check)'!$A$124,0)</f>
        <v>0</v>
      </c>
      <c r="X185" s="172">
        <f>IF(ISTEXT('CF Raw'!X$11),'CF Raw'!X54/'Output-FR (check)'!$A$124,0)</f>
        <v>0</v>
      </c>
      <c r="Y185" s="172">
        <f>IF(ISTEXT('CF Raw'!Y$11),'CF Raw'!Y54/'Output-FR (check)'!$A$124,0)</f>
        <v>0</v>
      </c>
      <c r="Z185" s="172">
        <f>IF(ISTEXT('CF Raw'!Z$11),'CF Raw'!Z54/'Output-FR (check)'!$A$124,0)</f>
        <v>0</v>
      </c>
      <c r="AA185" s="172"/>
      <c r="AB185" s="173"/>
      <c r="AC185" s="173"/>
      <c r="AD185" s="173"/>
      <c r="AE185" s="173"/>
      <c r="AF185" s="173"/>
      <c r="AG185" s="173"/>
      <c r="AH185" s="173"/>
      <c r="AI185" s="173"/>
      <c r="AJ185" s="173"/>
      <c r="AK185" s="173"/>
      <c r="AL185" s="173"/>
      <c r="AM185" s="173"/>
      <c r="AN185" s="173"/>
      <c r="AO185" s="173"/>
      <c r="AP185" s="173"/>
      <c r="AQ185" s="173"/>
      <c r="AR185" s="173"/>
      <c r="AS185" s="173"/>
      <c r="AT185" s="173"/>
      <c r="AU185" s="173"/>
      <c r="AV185" s="173"/>
      <c r="AW185" s="173"/>
      <c r="AX185" s="173"/>
      <c r="AY185" s="173"/>
      <c r="AZ185" s="173"/>
      <c r="BA185" s="173"/>
    </row>
    <row r="186" spans="1:53" ht="13.8" thickBot="1" x14ac:dyDescent="0.3">
      <c r="A186" s="780"/>
      <c r="B186" s="42" t="s">
        <v>1396</v>
      </c>
      <c r="C186" s="42" t="s">
        <v>1397</v>
      </c>
      <c r="D186" s="44"/>
      <c r="E186" s="152"/>
      <c r="F186" s="152"/>
      <c r="G186" s="152"/>
      <c r="H186" s="152"/>
      <c r="I186" s="152"/>
      <c r="J186" s="374">
        <f>+J183+J184+J185</f>
        <v>210.69177091499995</v>
      </c>
      <c r="K186" s="374">
        <f t="shared" ref="K186:Z186" si="28">+K183+K184+K185</f>
        <v>135.54888223399993</v>
      </c>
      <c r="L186" s="374">
        <f t="shared" si="28"/>
        <v>96.499799275999976</v>
      </c>
      <c r="M186" s="374">
        <f t="shared" si="28"/>
        <v>92.556725446000115</v>
      </c>
      <c r="N186" s="374">
        <f t="shared" si="28"/>
        <v>138.16217737899996</v>
      </c>
      <c r="O186" s="374">
        <f t="shared" si="28"/>
        <v>108.72871470999999</v>
      </c>
      <c r="P186" s="767">
        <f t="shared" si="28"/>
        <v>91.526569438000109</v>
      </c>
      <c r="Q186" s="375">
        <f t="shared" ca="1" si="28"/>
        <v>191.11487137876733</v>
      </c>
      <c r="R186" s="375">
        <f t="shared" ca="1" si="28"/>
        <v>184.38590949931842</v>
      </c>
      <c r="S186" s="375">
        <f t="shared" ca="1" si="28"/>
        <v>225.29204635272066</v>
      </c>
      <c r="T186" s="375">
        <f t="shared" ca="1" si="28"/>
        <v>248.40765333491817</v>
      </c>
      <c r="U186" s="375">
        <f t="shared" ca="1" si="28"/>
        <v>275.02460444641918</v>
      </c>
      <c r="V186" s="375">
        <f t="shared" ca="1" si="28"/>
        <v>298.38197308682004</v>
      </c>
      <c r="W186" s="375">
        <f t="shared" ca="1" si="28"/>
        <v>342.73539521436288</v>
      </c>
      <c r="X186" s="375">
        <f t="shared" ca="1" si="28"/>
        <v>383.30625169695759</v>
      </c>
      <c r="Y186" s="375">
        <f t="shared" ca="1" si="28"/>
        <v>424.87884490588687</v>
      </c>
      <c r="Z186" s="375">
        <f t="shared" ca="1" si="28"/>
        <v>482.63437434273283</v>
      </c>
      <c r="AA186" s="375"/>
      <c r="AB186" s="376"/>
      <c r="AC186" s="376"/>
      <c r="AD186" s="376"/>
      <c r="AE186" s="376"/>
      <c r="AF186" s="376"/>
      <c r="AG186" s="376"/>
      <c r="AH186" s="376"/>
      <c r="AI186" s="376"/>
      <c r="AJ186" s="376"/>
      <c r="AK186" s="376"/>
      <c r="AL186" s="376"/>
      <c r="AM186" s="376"/>
      <c r="AN186" s="376"/>
      <c r="AO186" s="376"/>
      <c r="AP186" s="376"/>
      <c r="AQ186" s="376"/>
      <c r="AR186" s="376"/>
      <c r="AS186" s="376"/>
      <c r="AT186" s="376"/>
      <c r="AU186" s="376"/>
      <c r="AV186" s="376"/>
      <c r="AW186" s="376"/>
      <c r="AX186" s="376"/>
      <c r="AY186" s="376"/>
      <c r="AZ186" s="376"/>
      <c r="BA186" s="376"/>
    </row>
    <row r="187" spans="1:53" ht="13.8" thickTop="1" x14ac:dyDescent="0.25">
      <c r="A187" s="426"/>
      <c r="B187" s="2241" t="s">
        <v>468</v>
      </c>
      <c r="C187" s="2242"/>
      <c r="D187" s="2243"/>
      <c r="E187" s="798"/>
      <c r="F187" s="798"/>
      <c r="G187" s="798"/>
      <c r="H187" s="798"/>
      <c r="I187" s="798"/>
      <c r="J187" s="2244">
        <f>+J186-'Output-FR (check)'!J59</f>
        <v>0</v>
      </c>
      <c r="K187" s="2244">
        <f>+K186-'Output-FR (check)'!K59</f>
        <v>0</v>
      </c>
      <c r="L187" s="2244">
        <f>+L186-'Output-FR (check)'!L59</f>
        <v>0</v>
      </c>
      <c r="M187" s="2244">
        <f>+M186-'Output-FR (check)'!M59</f>
        <v>1.1368683772161603E-13</v>
      </c>
      <c r="N187" s="2244">
        <f>+N186-'Output-FR (check)'!N59</f>
        <v>0</v>
      </c>
      <c r="O187" s="2244">
        <f>+O186-'Output-FR (check)'!O59</f>
        <v>0</v>
      </c>
      <c r="P187" s="728">
        <f>+P186-'Output-FR (check)'!P59</f>
        <v>23.072789030000109</v>
      </c>
      <c r="Q187" s="2250">
        <f ca="1">+Q186-'Output-FR (check)'!Q59</f>
        <v>-1.0775869994006371E-3</v>
      </c>
      <c r="R187" s="2250">
        <f ca="1">+R186-'Output-FR (check)'!R59</f>
        <v>-1.2789769243681803E-12</v>
      </c>
      <c r="S187" s="2250">
        <f ca="1">+S186-'Output-FR (check)'!S59</f>
        <v>3.1263880373444408E-13</v>
      </c>
      <c r="T187" s="2250">
        <f ca="1">+T186-'Output-FR (check)'!T59</f>
        <v>0</v>
      </c>
      <c r="U187" s="2250">
        <f ca="1">+U186-'Output-FR (check)'!U59</f>
        <v>0</v>
      </c>
      <c r="V187" s="2250">
        <f ca="1">+V186-'Output-FR (check)'!V59</f>
        <v>0</v>
      </c>
      <c r="W187" s="2250">
        <f ca="1">+W186-'Output-FR (check)'!W59</f>
        <v>7.3896444519050419E-13</v>
      </c>
      <c r="X187" s="2250">
        <f ca="1">+X186-'Output-FR (check)'!X59</f>
        <v>0</v>
      </c>
      <c r="Y187" s="2250">
        <f ca="1">+Y186-'Output-FR (check)'!Y59</f>
        <v>0</v>
      </c>
      <c r="Z187" s="2250">
        <f ca="1">+Z186-'Output-FR (check)'!Z59</f>
        <v>1.3073986337985843E-12</v>
      </c>
      <c r="AA187" s="2244"/>
      <c r="AB187" s="798"/>
      <c r="AC187" s="798"/>
      <c r="AD187" s="798"/>
      <c r="AE187" s="798"/>
      <c r="AF187" s="798"/>
      <c r="AG187" s="798"/>
      <c r="AH187" s="798"/>
      <c r="AI187" s="798"/>
      <c r="AJ187" s="798"/>
      <c r="AK187" s="798"/>
      <c r="AL187" s="798"/>
      <c r="AM187" s="798"/>
      <c r="AN187" s="798"/>
      <c r="AO187" s="798"/>
      <c r="AP187" s="798"/>
      <c r="AQ187" s="798"/>
      <c r="AR187" s="798"/>
      <c r="AS187" s="798"/>
      <c r="AT187" s="798"/>
      <c r="AU187" s="798"/>
      <c r="AV187" s="798"/>
      <c r="AW187" s="798"/>
      <c r="AX187" s="798"/>
      <c r="AY187" s="798"/>
      <c r="AZ187" s="798"/>
      <c r="BA187" s="798"/>
    </row>
    <row r="188" spans="1:53" x14ac:dyDescent="0.25">
      <c r="M188" s="642"/>
      <c r="P188" s="737"/>
    </row>
    <row r="189" spans="1:53" x14ac:dyDescent="0.25">
      <c r="M189" s="642"/>
      <c r="P189" s="737"/>
    </row>
    <row r="190" spans="1:53" x14ac:dyDescent="0.25">
      <c r="M190" s="642"/>
      <c r="P190" s="737"/>
    </row>
    <row r="191" spans="1:53" x14ac:dyDescent="0.25">
      <c r="M191" s="642"/>
      <c r="P191" s="737"/>
    </row>
    <row r="192" spans="1:53" x14ac:dyDescent="0.25">
      <c r="M192" s="642"/>
      <c r="P192" s="737"/>
    </row>
    <row r="193" spans="13:16" x14ac:dyDescent="0.25">
      <c r="M193" s="642"/>
      <c r="P193" s="737"/>
    </row>
    <row r="194" spans="13:16" x14ac:dyDescent="0.25">
      <c r="M194" s="642"/>
      <c r="P194" s="737"/>
    </row>
    <row r="195" spans="13:16" x14ac:dyDescent="0.25">
      <c r="M195" s="642"/>
      <c r="P195" s="737"/>
    </row>
    <row r="196" spans="13:16" x14ac:dyDescent="0.25">
      <c r="M196" s="642"/>
      <c r="P196" s="737"/>
    </row>
    <row r="197" spans="13:16" x14ac:dyDescent="0.25">
      <c r="M197" s="642"/>
      <c r="P197" s="737"/>
    </row>
    <row r="198" spans="13:16" x14ac:dyDescent="0.25">
      <c r="M198" s="642"/>
      <c r="P198" s="737"/>
    </row>
    <row r="199" spans="13:16" x14ac:dyDescent="0.25">
      <c r="M199" s="642"/>
      <c r="P199" s="737"/>
    </row>
    <row r="200" spans="13:16" x14ac:dyDescent="0.25">
      <c r="M200" s="642"/>
      <c r="P200" s="737"/>
    </row>
    <row r="201" spans="13:16" x14ac:dyDescent="0.25">
      <c r="M201" s="642"/>
      <c r="P201" s="737"/>
    </row>
    <row r="202" spans="13:16" x14ac:dyDescent="0.25">
      <c r="M202" s="642"/>
      <c r="P202" s="737"/>
    </row>
    <row r="203" spans="13:16" x14ac:dyDescent="0.25">
      <c r="M203" s="642"/>
      <c r="P203" s="737"/>
    </row>
    <row r="204" spans="13:16" x14ac:dyDescent="0.25">
      <c r="M204" s="642"/>
      <c r="P204" s="737"/>
    </row>
    <row r="205" spans="13:16" x14ac:dyDescent="0.25">
      <c r="M205" s="642"/>
      <c r="P205" s="737"/>
    </row>
    <row r="206" spans="13:16" x14ac:dyDescent="0.25">
      <c r="M206" s="642"/>
      <c r="P206" s="737"/>
    </row>
    <row r="207" spans="13:16" x14ac:dyDescent="0.25">
      <c r="M207" s="642"/>
      <c r="P207" s="737"/>
    </row>
    <row r="208" spans="13:16" x14ac:dyDescent="0.25">
      <c r="M208" s="642"/>
      <c r="P208" s="737"/>
    </row>
    <row r="209" spans="13:16" x14ac:dyDescent="0.25">
      <c r="M209" s="642"/>
      <c r="P209" s="737"/>
    </row>
    <row r="210" spans="13:16" x14ac:dyDescent="0.25">
      <c r="M210" s="642"/>
      <c r="P210" s="737"/>
    </row>
    <row r="211" spans="13:16" x14ac:dyDescent="0.25">
      <c r="M211" s="642"/>
      <c r="P211" s="737"/>
    </row>
    <row r="212" spans="13:16" x14ac:dyDescent="0.25">
      <c r="M212" s="642"/>
      <c r="P212" s="737"/>
    </row>
    <row r="213" spans="13:16" x14ac:dyDescent="0.25">
      <c r="M213" s="642"/>
      <c r="P213" s="737"/>
    </row>
    <row r="214" spans="13:16" x14ac:dyDescent="0.25">
      <c r="M214" s="642"/>
      <c r="P214" s="737"/>
    </row>
    <row r="215" spans="13:16" x14ac:dyDescent="0.25">
      <c r="M215" s="642"/>
      <c r="P215" s="737"/>
    </row>
    <row r="216" spans="13:16" x14ac:dyDescent="0.25">
      <c r="M216" s="642"/>
      <c r="P216" s="737"/>
    </row>
    <row r="217" spans="13:16" x14ac:dyDescent="0.25">
      <c r="M217" s="642"/>
      <c r="P217" s="737"/>
    </row>
    <row r="218" spans="13:16" x14ac:dyDescent="0.25">
      <c r="M218" s="642"/>
      <c r="P218" s="737"/>
    </row>
    <row r="219" spans="13:16" x14ac:dyDescent="0.25">
      <c r="M219" s="642"/>
      <c r="P219" s="737"/>
    </row>
    <row r="220" spans="13:16" x14ac:dyDescent="0.25">
      <c r="M220" s="642"/>
      <c r="P220" s="737"/>
    </row>
    <row r="221" spans="13:16" x14ac:dyDescent="0.25">
      <c r="M221" s="642"/>
      <c r="P221" s="737"/>
    </row>
    <row r="222" spans="13:16" x14ac:dyDescent="0.25">
      <c r="M222" s="642"/>
      <c r="P222" s="737"/>
    </row>
    <row r="223" spans="13:16" x14ac:dyDescent="0.25">
      <c r="M223" s="642"/>
      <c r="P223" s="737"/>
    </row>
    <row r="224" spans="13:16" x14ac:dyDescent="0.25">
      <c r="M224" s="642"/>
      <c r="P224" s="737"/>
    </row>
    <row r="225" spans="13:16" x14ac:dyDescent="0.25">
      <c r="M225" s="642"/>
      <c r="P225" s="737"/>
    </row>
    <row r="226" spans="13:16" x14ac:dyDescent="0.25">
      <c r="M226" s="642"/>
      <c r="P226" s="737"/>
    </row>
    <row r="227" spans="13:16" x14ac:dyDescent="0.25">
      <c r="M227" s="642"/>
      <c r="P227" s="737"/>
    </row>
    <row r="228" spans="13:16" x14ac:dyDescent="0.25">
      <c r="M228" s="642"/>
      <c r="P228" s="737"/>
    </row>
    <row r="229" spans="13:16" x14ac:dyDescent="0.25">
      <c r="M229" s="642"/>
      <c r="P229" s="737"/>
    </row>
    <row r="230" spans="13:16" x14ac:dyDescent="0.25">
      <c r="M230" s="642"/>
      <c r="P230" s="737"/>
    </row>
    <row r="231" spans="13:16" x14ac:dyDescent="0.25">
      <c r="M231" s="642"/>
      <c r="P231" s="737"/>
    </row>
    <row r="232" spans="13:16" x14ac:dyDescent="0.25">
      <c r="M232" s="642"/>
      <c r="P232" s="737"/>
    </row>
    <row r="233" spans="13:16" x14ac:dyDescent="0.25">
      <c r="M233" s="642"/>
      <c r="P233" s="737"/>
    </row>
    <row r="234" spans="13:16" x14ac:dyDescent="0.25">
      <c r="M234" s="642"/>
      <c r="P234" s="737"/>
    </row>
    <row r="235" spans="13:16" x14ac:dyDescent="0.25">
      <c r="M235" s="642"/>
      <c r="P235" s="737"/>
    </row>
    <row r="236" spans="13:16" x14ac:dyDescent="0.25">
      <c r="M236" s="642"/>
      <c r="P236" s="737"/>
    </row>
    <row r="237" spans="13:16" x14ac:dyDescent="0.25">
      <c r="M237" s="642"/>
      <c r="P237" s="737"/>
    </row>
    <row r="238" spans="13:16" x14ac:dyDescent="0.25">
      <c r="M238" s="642"/>
      <c r="P238" s="737"/>
    </row>
    <row r="239" spans="13:16" x14ac:dyDescent="0.25">
      <c r="M239" s="642"/>
      <c r="P239" s="737"/>
    </row>
    <row r="240" spans="13:16" x14ac:dyDescent="0.25">
      <c r="M240" s="642"/>
      <c r="P240" s="737"/>
    </row>
    <row r="241" spans="13:16" x14ac:dyDescent="0.25">
      <c r="M241" s="642"/>
      <c r="P241" s="737"/>
    </row>
    <row r="242" spans="13:16" x14ac:dyDescent="0.25">
      <c r="M242" s="642"/>
      <c r="P242" s="737"/>
    </row>
    <row r="243" spans="13:16" x14ac:dyDescent="0.25">
      <c r="M243" s="642"/>
      <c r="P243" s="737"/>
    </row>
    <row r="244" spans="13:16" x14ac:dyDescent="0.25">
      <c r="M244" s="642"/>
      <c r="P244" s="737"/>
    </row>
    <row r="245" spans="13:16" x14ac:dyDescent="0.25">
      <c r="M245" s="642"/>
      <c r="P245" s="737"/>
    </row>
    <row r="246" spans="13:16" x14ac:dyDescent="0.25">
      <c r="M246" s="642"/>
      <c r="P246" s="737"/>
    </row>
    <row r="247" spans="13:16" x14ac:dyDescent="0.25">
      <c r="M247" s="642"/>
      <c r="P247" s="737"/>
    </row>
    <row r="248" spans="13:16" x14ac:dyDescent="0.25">
      <c r="M248" s="642"/>
      <c r="P248" s="737"/>
    </row>
    <row r="249" spans="13:16" x14ac:dyDescent="0.25">
      <c r="M249" s="642"/>
      <c r="P249" s="737"/>
    </row>
    <row r="250" spans="13:16" x14ac:dyDescent="0.25">
      <c r="M250" s="642"/>
      <c r="P250" s="737"/>
    </row>
    <row r="251" spans="13:16" x14ac:dyDescent="0.25">
      <c r="M251" s="642"/>
      <c r="P251" s="737"/>
    </row>
    <row r="252" spans="13:16" x14ac:dyDescent="0.25">
      <c r="M252" s="642"/>
      <c r="P252" s="737"/>
    </row>
    <row r="253" spans="13:16" x14ac:dyDescent="0.25">
      <c r="M253" s="642"/>
      <c r="P253" s="737"/>
    </row>
    <row r="254" spans="13:16" x14ac:dyDescent="0.25">
      <c r="M254" s="642"/>
      <c r="P254" s="737"/>
    </row>
    <row r="255" spans="13:16" x14ac:dyDescent="0.25">
      <c r="M255" s="642"/>
      <c r="P255" s="737"/>
    </row>
    <row r="256" spans="13:16" x14ac:dyDescent="0.25">
      <c r="M256" s="642"/>
      <c r="P256" s="737"/>
    </row>
    <row r="257" spans="13:16" x14ac:dyDescent="0.25">
      <c r="M257" s="642"/>
      <c r="P257" s="737"/>
    </row>
    <row r="258" spans="13:16" x14ac:dyDescent="0.25">
      <c r="M258" s="642"/>
      <c r="P258" s="737"/>
    </row>
    <row r="259" spans="13:16" x14ac:dyDescent="0.25">
      <c r="M259" s="642"/>
      <c r="P259" s="737"/>
    </row>
    <row r="260" spans="13:16" x14ac:dyDescent="0.25">
      <c r="M260" s="642"/>
      <c r="P260" s="737"/>
    </row>
    <row r="261" spans="13:16" x14ac:dyDescent="0.25">
      <c r="M261" s="642"/>
      <c r="P261" s="737"/>
    </row>
    <row r="262" spans="13:16" x14ac:dyDescent="0.25">
      <c r="M262" s="642"/>
      <c r="P262" s="737"/>
    </row>
    <row r="263" spans="13:16" x14ac:dyDescent="0.25">
      <c r="M263" s="642"/>
      <c r="P263" s="737"/>
    </row>
    <row r="264" spans="13:16" x14ac:dyDescent="0.25">
      <c r="M264" s="642"/>
      <c r="P264" s="737"/>
    </row>
    <row r="265" spans="13:16" x14ac:dyDescent="0.25">
      <c r="M265" s="642"/>
      <c r="P265" s="737"/>
    </row>
    <row r="266" spans="13:16" x14ac:dyDescent="0.25">
      <c r="M266" s="642"/>
      <c r="P266" s="737"/>
    </row>
    <row r="267" spans="13:16" x14ac:dyDescent="0.25">
      <c r="M267" s="642"/>
      <c r="P267" s="737"/>
    </row>
    <row r="268" spans="13:16" x14ac:dyDescent="0.25">
      <c r="M268" s="642"/>
      <c r="P268" s="737"/>
    </row>
    <row r="269" spans="13:16" x14ac:dyDescent="0.25">
      <c r="M269" s="642"/>
      <c r="P269" s="737"/>
    </row>
    <row r="270" spans="13:16" x14ac:dyDescent="0.25">
      <c r="M270" s="642"/>
      <c r="P270" s="737"/>
    </row>
    <row r="271" spans="13:16" x14ac:dyDescent="0.25">
      <c r="M271" s="642"/>
      <c r="P271" s="737"/>
    </row>
    <row r="272" spans="13:16" x14ac:dyDescent="0.25">
      <c r="M272" s="642"/>
      <c r="P272" s="737"/>
    </row>
    <row r="273" spans="13:16" x14ac:dyDescent="0.25">
      <c r="M273" s="642"/>
      <c r="P273" s="737"/>
    </row>
    <row r="274" spans="13:16" x14ac:dyDescent="0.25">
      <c r="M274" s="642"/>
      <c r="P274" s="737"/>
    </row>
    <row r="275" spans="13:16" x14ac:dyDescent="0.25">
      <c r="M275" s="642"/>
      <c r="P275" s="737"/>
    </row>
    <row r="276" spans="13:16" x14ac:dyDescent="0.25">
      <c r="M276" s="642"/>
      <c r="P276" s="737"/>
    </row>
    <row r="277" spans="13:16" x14ac:dyDescent="0.25">
      <c r="M277" s="642"/>
      <c r="P277" s="737"/>
    </row>
    <row r="278" spans="13:16" x14ac:dyDescent="0.25">
      <c r="M278" s="642"/>
      <c r="P278" s="737"/>
    </row>
    <row r="279" spans="13:16" x14ac:dyDescent="0.25">
      <c r="M279" s="642"/>
      <c r="P279" s="737"/>
    </row>
    <row r="280" spans="13:16" x14ac:dyDescent="0.25">
      <c r="M280" s="642"/>
      <c r="P280" s="737"/>
    </row>
    <row r="281" spans="13:16" x14ac:dyDescent="0.25">
      <c r="M281" s="642"/>
      <c r="P281" s="737"/>
    </row>
    <row r="282" spans="13:16" x14ac:dyDescent="0.25">
      <c r="M282" s="642"/>
      <c r="P282" s="737"/>
    </row>
    <row r="283" spans="13:16" x14ac:dyDescent="0.25">
      <c r="M283" s="642"/>
      <c r="P283" s="737"/>
    </row>
    <row r="284" spans="13:16" x14ac:dyDescent="0.25">
      <c r="M284" s="642"/>
      <c r="P284" s="737"/>
    </row>
    <row r="285" spans="13:16" x14ac:dyDescent="0.25">
      <c r="M285" s="642"/>
      <c r="P285" s="737"/>
    </row>
    <row r="286" spans="13:16" x14ac:dyDescent="0.25">
      <c r="M286" s="642"/>
      <c r="P286" s="737"/>
    </row>
    <row r="287" spans="13:16" x14ac:dyDescent="0.25">
      <c r="M287" s="642"/>
      <c r="P287" s="737"/>
    </row>
    <row r="288" spans="13:16" x14ac:dyDescent="0.25">
      <c r="M288" s="642"/>
      <c r="P288" s="737"/>
    </row>
    <row r="289" spans="13:16" x14ac:dyDescent="0.25">
      <c r="M289" s="642"/>
      <c r="P289" s="737"/>
    </row>
    <row r="290" spans="13:16" x14ac:dyDescent="0.25">
      <c r="M290" s="642"/>
      <c r="P290" s="737"/>
    </row>
    <row r="291" spans="13:16" x14ac:dyDescent="0.25">
      <c r="M291" s="642"/>
      <c r="P291" s="737"/>
    </row>
    <row r="292" spans="13:16" x14ac:dyDescent="0.25">
      <c r="M292" s="642"/>
      <c r="P292" s="737"/>
    </row>
    <row r="293" spans="13:16" x14ac:dyDescent="0.25">
      <c r="M293" s="642"/>
      <c r="P293" s="737"/>
    </row>
    <row r="294" spans="13:16" x14ac:dyDescent="0.25">
      <c r="M294" s="642"/>
      <c r="P294" s="737"/>
    </row>
    <row r="295" spans="13:16" x14ac:dyDescent="0.25">
      <c r="M295" s="642"/>
      <c r="P295" s="737"/>
    </row>
    <row r="296" spans="13:16" x14ac:dyDescent="0.25">
      <c r="M296" s="642"/>
      <c r="P296" s="737"/>
    </row>
    <row r="297" spans="13:16" x14ac:dyDescent="0.25">
      <c r="M297" s="642"/>
      <c r="P297" s="737"/>
    </row>
    <row r="298" spans="13:16" x14ac:dyDescent="0.25">
      <c r="M298" s="642"/>
      <c r="P298" s="737"/>
    </row>
    <row r="299" spans="13:16" x14ac:dyDescent="0.25">
      <c r="M299" s="642"/>
      <c r="P299" s="737"/>
    </row>
    <row r="300" spans="13:16" x14ac:dyDescent="0.25">
      <c r="M300" s="642"/>
      <c r="P300" s="737"/>
    </row>
    <row r="301" spans="13:16" x14ac:dyDescent="0.25">
      <c r="M301" s="642"/>
      <c r="P301" s="737"/>
    </row>
    <row r="302" spans="13:16" x14ac:dyDescent="0.25">
      <c r="M302" s="642"/>
      <c r="P302" s="737"/>
    </row>
    <row r="303" spans="13:16" x14ac:dyDescent="0.25">
      <c r="M303" s="642"/>
      <c r="P303" s="737"/>
    </row>
    <row r="304" spans="13:16" x14ac:dyDescent="0.25">
      <c r="M304" s="642"/>
      <c r="P304" s="737"/>
    </row>
    <row r="305" spans="13:16" x14ac:dyDescent="0.25">
      <c r="M305" s="642"/>
      <c r="P305" s="737"/>
    </row>
    <row r="306" spans="13:16" x14ac:dyDescent="0.25">
      <c r="M306" s="642"/>
      <c r="P306" s="737"/>
    </row>
    <row r="307" spans="13:16" x14ac:dyDescent="0.25">
      <c r="M307" s="642"/>
      <c r="P307" s="737"/>
    </row>
    <row r="308" spans="13:16" x14ac:dyDescent="0.25">
      <c r="M308" s="642"/>
      <c r="P308" s="737"/>
    </row>
    <row r="309" spans="13:16" x14ac:dyDescent="0.25">
      <c r="M309" s="642"/>
      <c r="P309" s="737"/>
    </row>
    <row r="310" spans="13:16" x14ac:dyDescent="0.25">
      <c r="M310" s="642"/>
      <c r="P310" s="737"/>
    </row>
    <row r="311" spans="13:16" x14ac:dyDescent="0.25">
      <c r="M311" s="642"/>
      <c r="P311" s="737"/>
    </row>
    <row r="312" spans="13:16" x14ac:dyDescent="0.25">
      <c r="M312" s="642"/>
      <c r="P312" s="737"/>
    </row>
    <row r="313" spans="13:16" x14ac:dyDescent="0.25">
      <c r="M313" s="642"/>
      <c r="P313" s="737"/>
    </row>
    <row r="314" spans="13:16" x14ac:dyDescent="0.25">
      <c r="M314" s="642"/>
      <c r="P314" s="737"/>
    </row>
    <row r="315" spans="13:16" x14ac:dyDescent="0.25">
      <c r="M315" s="642"/>
      <c r="P315" s="737"/>
    </row>
    <row r="316" spans="13:16" x14ac:dyDescent="0.25">
      <c r="M316" s="642"/>
      <c r="P316" s="737"/>
    </row>
    <row r="317" spans="13:16" x14ac:dyDescent="0.25">
      <c r="M317" s="642"/>
      <c r="P317" s="737"/>
    </row>
    <row r="318" spans="13:16" x14ac:dyDescent="0.25">
      <c r="M318" s="642"/>
      <c r="P318" s="737"/>
    </row>
    <row r="319" spans="13:16" x14ac:dyDescent="0.25">
      <c r="M319" s="642"/>
      <c r="P319" s="737"/>
    </row>
    <row r="320" spans="13:16" x14ac:dyDescent="0.25">
      <c r="M320" s="642"/>
      <c r="P320" s="737"/>
    </row>
    <row r="321" spans="13:16" x14ac:dyDescent="0.25">
      <c r="M321" s="642"/>
      <c r="P321" s="737"/>
    </row>
    <row r="322" spans="13:16" x14ac:dyDescent="0.25">
      <c r="M322" s="642"/>
      <c r="P322" s="737"/>
    </row>
    <row r="323" spans="13:16" x14ac:dyDescent="0.25">
      <c r="M323" s="642"/>
      <c r="P323" s="737"/>
    </row>
    <row r="324" spans="13:16" x14ac:dyDescent="0.25">
      <c r="M324" s="642"/>
      <c r="P324" s="737"/>
    </row>
    <row r="325" spans="13:16" x14ac:dyDescent="0.25">
      <c r="M325" s="642"/>
      <c r="P325" s="737"/>
    </row>
    <row r="326" spans="13:16" x14ac:dyDescent="0.25">
      <c r="M326" s="642"/>
      <c r="P326" s="737"/>
    </row>
    <row r="327" spans="13:16" x14ac:dyDescent="0.25">
      <c r="M327" s="642"/>
      <c r="P327" s="737"/>
    </row>
    <row r="328" spans="13:16" x14ac:dyDescent="0.25">
      <c r="M328" s="642"/>
      <c r="P328" s="737"/>
    </row>
    <row r="329" spans="13:16" x14ac:dyDescent="0.25">
      <c r="M329" s="642"/>
      <c r="P329" s="737"/>
    </row>
    <row r="330" spans="13:16" x14ac:dyDescent="0.25">
      <c r="M330" s="642"/>
      <c r="P330" s="737"/>
    </row>
    <row r="331" spans="13:16" x14ac:dyDescent="0.25">
      <c r="M331" s="642"/>
      <c r="P331" s="737"/>
    </row>
    <row r="332" spans="13:16" x14ac:dyDescent="0.25">
      <c r="P332" s="737"/>
    </row>
    <row r="333" spans="13:16" x14ac:dyDescent="0.25">
      <c r="P333" s="737"/>
    </row>
    <row r="334" spans="13:16" x14ac:dyDescent="0.25">
      <c r="P334" s="737"/>
    </row>
    <row r="335" spans="13:16" x14ac:dyDescent="0.25">
      <c r="P335" s="737"/>
    </row>
    <row r="336" spans="13:16" x14ac:dyDescent="0.25">
      <c r="P336" s="737"/>
    </row>
    <row r="337" spans="16:16" x14ac:dyDescent="0.25">
      <c r="P337" s="737"/>
    </row>
    <row r="338" spans="16:16" x14ac:dyDescent="0.25">
      <c r="P338" s="737"/>
    </row>
    <row r="339" spans="16:16" x14ac:dyDescent="0.25">
      <c r="P339" s="737"/>
    </row>
    <row r="340" spans="16:16" x14ac:dyDescent="0.25">
      <c r="P340" s="737"/>
    </row>
    <row r="341" spans="16:16" x14ac:dyDescent="0.25">
      <c r="P341" s="737"/>
    </row>
    <row r="342" spans="16:16" x14ac:dyDescent="0.25">
      <c r="P342" s="737"/>
    </row>
    <row r="343" spans="16:16" x14ac:dyDescent="0.25">
      <c r="P343" s="737"/>
    </row>
    <row r="344" spans="16:16" x14ac:dyDescent="0.25">
      <c r="P344" s="737"/>
    </row>
    <row r="345" spans="16:16" x14ac:dyDescent="0.25">
      <c r="P345" s="737"/>
    </row>
    <row r="346" spans="16:16" x14ac:dyDescent="0.25">
      <c r="P346" s="737"/>
    </row>
    <row r="347" spans="16:16" x14ac:dyDescent="0.25">
      <c r="P347" s="737"/>
    </row>
    <row r="348" spans="16:16" x14ac:dyDescent="0.25">
      <c r="P348" s="737"/>
    </row>
    <row r="349" spans="16:16" x14ac:dyDescent="0.25">
      <c r="P349" s="737"/>
    </row>
    <row r="350" spans="16:16" x14ac:dyDescent="0.25">
      <c r="P350" s="737"/>
    </row>
    <row r="351" spans="16:16" x14ac:dyDescent="0.25">
      <c r="P351" s="737"/>
    </row>
    <row r="352" spans="16:16" x14ac:dyDescent="0.25">
      <c r="P352" s="737"/>
    </row>
    <row r="353" spans="16:16" x14ac:dyDescent="0.25">
      <c r="P353" s="737"/>
    </row>
    <row r="354" spans="16:16" x14ac:dyDescent="0.25">
      <c r="P354" s="737"/>
    </row>
    <row r="355" spans="16:16" x14ac:dyDescent="0.25">
      <c r="P355" s="737"/>
    </row>
    <row r="356" spans="16:16" x14ac:dyDescent="0.25">
      <c r="P356" s="737"/>
    </row>
    <row r="357" spans="16:16" x14ac:dyDescent="0.25">
      <c r="P357" s="737"/>
    </row>
    <row r="358" spans="16:16" x14ac:dyDescent="0.25">
      <c r="P358" s="737"/>
    </row>
    <row r="359" spans="16:16" x14ac:dyDescent="0.25">
      <c r="P359" s="737"/>
    </row>
    <row r="360" spans="16:16" x14ac:dyDescent="0.25">
      <c r="P360" s="737"/>
    </row>
    <row r="361" spans="16:16" x14ac:dyDescent="0.25">
      <c r="P361" s="737"/>
    </row>
    <row r="362" spans="16:16" x14ac:dyDescent="0.25">
      <c r="P362" s="737"/>
    </row>
    <row r="363" spans="16:16" x14ac:dyDescent="0.25">
      <c r="P363" s="737"/>
    </row>
    <row r="364" spans="16:16" x14ac:dyDescent="0.25">
      <c r="P364" s="737"/>
    </row>
    <row r="365" spans="16:16" x14ac:dyDescent="0.25">
      <c r="P365" s="737"/>
    </row>
    <row r="366" spans="16:16" x14ac:dyDescent="0.25">
      <c r="P366" s="737"/>
    </row>
    <row r="367" spans="16:16" x14ac:dyDescent="0.25">
      <c r="P367" s="737"/>
    </row>
    <row r="368" spans="16:16" x14ac:dyDescent="0.25">
      <c r="P368" s="737"/>
    </row>
    <row r="369" spans="16:16" x14ac:dyDescent="0.25">
      <c r="P369" s="737"/>
    </row>
  </sheetData>
  <mergeCells count="6">
    <mergeCell ref="B2:B3"/>
    <mergeCell ref="C2:C3"/>
    <mergeCell ref="B56:B57"/>
    <mergeCell ref="C56:C57"/>
    <mergeCell ref="B125:B126"/>
    <mergeCell ref="C125:C12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A5D81-826B-4655-B847-0293491B6DD9}">
  <dimension ref="B2:X578"/>
  <sheetViews>
    <sheetView topLeftCell="A16" zoomScale="76" zoomScaleNormal="76" workbookViewId="0">
      <selection activeCell="Q24" sqref="Q24"/>
    </sheetView>
  </sheetViews>
  <sheetFormatPr defaultColWidth="9.109375" defaultRowHeight="14.4" x14ac:dyDescent="0.3"/>
  <cols>
    <col min="1" max="1" width="2.6640625" style="1823" customWidth="1"/>
    <col min="2" max="2" width="12.44140625" style="1823" bestFit="1" customWidth="1"/>
    <col min="3" max="3" width="9.33203125" style="1823" bestFit="1" customWidth="1"/>
    <col min="4" max="4" width="8.44140625" style="1824" bestFit="1" customWidth="1"/>
    <col min="5" max="5" width="4.6640625" style="1824" customWidth="1"/>
    <col min="6" max="6" width="9.33203125" style="1823" bestFit="1" customWidth="1"/>
    <col min="7" max="7" width="8.44140625" style="1823" bestFit="1" customWidth="1"/>
    <col min="8" max="9" width="11.109375" style="1823" customWidth="1"/>
    <col min="10" max="10" width="16.6640625" style="1823" customWidth="1"/>
    <col min="11" max="11" width="14.5546875" style="1823" customWidth="1"/>
    <col min="12" max="12" width="12.5546875" style="1823" customWidth="1"/>
    <col min="13" max="14" width="10.33203125" style="1823" customWidth="1"/>
    <col min="15" max="15" width="9.109375" style="1823"/>
    <col min="16" max="16" width="18.109375" style="1823" bestFit="1" customWidth="1"/>
    <col min="17" max="17" width="16.5546875" style="1823" bestFit="1" customWidth="1"/>
    <col min="18" max="18" width="14.5546875" style="1823" bestFit="1" customWidth="1"/>
    <col min="19" max="20" width="9.109375" style="1823"/>
    <col min="21" max="21" width="11.88671875" style="1823" customWidth="1"/>
    <col min="22" max="22" width="14.109375" style="1823" customWidth="1"/>
    <col min="23" max="23" width="17.109375" style="1823" customWidth="1"/>
    <col min="24" max="24" width="14.77734375" style="1823" customWidth="1"/>
    <col min="25" max="16384" width="9.109375" style="1823"/>
  </cols>
  <sheetData>
    <row r="2" spans="2:24" ht="28.8" x14ac:dyDescent="0.55000000000000004">
      <c r="B2" s="1822" t="s">
        <v>1693</v>
      </c>
      <c r="J2" s="1825"/>
      <c r="P2" s="1822" t="s">
        <v>1694</v>
      </c>
    </row>
    <row r="3" spans="2:24" s="1826" customFormat="1" ht="13.5" customHeight="1" x14ac:dyDescent="0.55000000000000004">
      <c r="B3" s="1822"/>
      <c r="C3" s="1823"/>
      <c r="D3" s="1824"/>
      <c r="E3" s="1824"/>
      <c r="F3" s="1823"/>
      <c r="G3" s="1823"/>
      <c r="P3" s="1823"/>
      <c r="Q3" s="1823"/>
      <c r="R3" s="1823"/>
      <c r="S3" s="1823"/>
      <c r="T3" s="1823"/>
      <c r="U3" s="1823"/>
      <c r="V3" s="1823"/>
      <c r="W3" s="1823"/>
      <c r="X3" s="1823"/>
    </row>
    <row r="4" spans="2:24" s="1830" customFormat="1" ht="15" thickBot="1" x14ac:dyDescent="0.35">
      <c r="B4" s="1827"/>
      <c r="C4" s="2381" t="s">
        <v>1695</v>
      </c>
      <c r="D4" s="2381"/>
      <c r="E4" s="1828"/>
      <c r="F4" s="2381" t="s">
        <v>1696</v>
      </c>
      <c r="G4" s="2381"/>
      <c r="H4" s="1829"/>
      <c r="I4" s="1829"/>
      <c r="J4" s="2381" t="s">
        <v>1697</v>
      </c>
      <c r="K4" s="2382"/>
      <c r="L4" s="1829"/>
      <c r="P4" s="1831" t="s">
        <v>1698</v>
      </c>
      <c r="Q4" s="1831"/>
    </row>
    <row r="5" spans="2:24" ht="15" thickTop="1" x14ac:dyDescent="0.3">
      <c r="B5" s="1832" t="s">
        <v>1699</v>
      </c>
      <c r="C5" s="1833" t="s">
        <v>1700</v>
      </c>
      <c r="D5" s="1833" t="s">
        <v>1701</v>
      </c>
      <c r="E5" s="1833"/>
      <c r="F5" s="1833" t="s">
        <v>1700</v>
      </c>
      <c r="G5" s="1833" t="s">
        <v>1701</v>
      </c>
      <c r="H5" s="1834"/>
      <c r="I5" s="1834"/>
      <c r="J5" s="1835" t="s">
        <v>1702</v>
      </c>
      <c r="K5" s="1836" t="s">
        <v>1703</v>
      </c>
      <c r="L5" s="1836" t="s">
        <v>1704</v>
      </c>
      <c r="P5" s="1837" t="s">
        <v>1705</v>
      </c>
      <c r="Q5" s="1837">
        <v>0.31317372866397941</v>
      </c>
    </row>
    <row r="6" spans="2:24" x14ac:dyDescent="0.3">
      <c r="B6" s="1838">
        <v>44598</v>
      </c>
      <c r="C6" s="1839">
        <v>1501.71</v>
      </c>
      <c r="D6" s="1840">
        <f>C6/C7-1</f>
        <v>1.5382430897387334E-2</v>
      </c>
      <c r="E6" s="1841"/>
      <c r="F6" s="1839">
        <v>4418.6400000000003</v>
      </c>
      <c r="G6" s="1840">
        <f>F6/F7-1</f>
        <v>-1.8197816262048527E-2</v>
      </c>
      <c r="H6" s="1838">
        <v>44598</v>
      </c>
      <c r="I6" s="1834"/>
      <c r="J6" s="1842">
        <f>STDEV(D6:D577)</f>
        <v>2.6454323111615826E-2</v>
      </c>
      <c r="K6" s="1842">
        <f>STDEV(G6:G577)</f>
        <v>2.2247231126441128E-2</v>
      </c>
      <c r="L6" s="1843">
        <f>J6/K6</f>
        <v>1.1891063189510587</v>
      </c>
      <c r="M6" s="1844">
        <f>F6/F7-1</f>
        <v>-1.8197816262048527E-2</v>
      </c>
      <c r="N6" s="1823">
        <f>H6-B6</f>
        <v>0</v>
      </c>
      <c r="P6" s="1837" t="s">
        <v>1706</v>
      </c>
      <c r="Q6" s="1837">
        <v>9.8077784325299802E-2</v>
      </c>
    </row>
    <row r="7" spans="2:24" x14ac:dyDescent="0.3">
      <c r="B7" s="1838">
        <v>44591</v>
      </c>
      <c r="C7" s="1839">
        <v>1478.96</v>
      </c>
      <c r="D7" s="1840">
        <f t="shared" ref="D7:D70" si="0">C7/C8-1</f>
        <v>0</v>
      </c>
      <c r="F7" s="1839">
        <v>4500.54</v>
      </c>
      <c r="G7" s="1840">
        <f t="shared" ref="G7:G70" si="1">F7/F8-1</f>
        <v>1.5499170775184146E-2</v>
      </c>
      <c r="H7" s="1838">
        <v>44591</v>
      </c>
      <c r="M7" s="1844">
        <f t="shared" ref="M7:M70" si="2">F7/F8-1</f>
        <v>1.5499170775184146E-2</v>
      </c>
      <c r="N7" s="1823">
        <f t="shared" ref="N7:N70" si="3">H7-B7</f>
        <v>0</v>
      </c>
      <c r="P7" s="1837" t="s">
        <v>1707</v>
      </c>
      <c r="Q7" s="1837">
        <v>9.6492683770511234E-2</v>
      </c>
    </row>
    <row r="8" spans="2:24" x14ac:dyDescent="0.3">
      <c r="B8" s="1838">
        <v>44584</v>
      </c>
      <c r="C8" s="1839">
        <v>1478.96</v>
      </c>
      <c r="D8" s="1840">
        <f t="shared" si="0"/>
        <v>4.1211495766826367E-3</v>
      </c>
      <c r="F8" s="1839">
        <v>4431.8500000000004</v>
      </c>
      <c r="G8" s="1840">
        <f t="shared" si="1"/>
        <v>7.7127193929871218E-3</v>
      </c>
      <c r="H8" s="1838">
        <v>44584</v>
      </c>
      <c r="I8" s="1830" t="s">
        <v>1708</v>
      </c>
      <c r="J8" s="1845" t="s">
        <v>1709</v>
      </c>
      <c r="K8" s="1846"/>
      <c r="L8" s="1846"/>
      <c r="M8" s="1844">
        <f t="shared" si="2"/>
        <v>7.7127193929871218E-3</v>
      </c>
      <c r="N8" s="1823">
        <f t="shared" si="3"/>
        <v>0</v>
      </c>
      <c r="P8" s="1837" t="s">
        <v>1710</v>
      </c>
      <c r="Q8" s="1837">
        <v>2.1149260673880073E-2</v>
      </c>
    </row>
    <row r="9" spans="2:24" ht="15" thickBot="1" x14ac:dyDescent="0.35">
      <c r="B9" s="1838">
        <v>44577</v>
      </c>
      <c r="C9" s="1839">
        <v>1472.89</v>
      </c>
      <c r="D9" s="1840">
        <f t="shared" si="0"/>
        <v>-1.546102324835219E-2</v>
      </c>
      <c r="F9" s="1839">
        <v>4397.93</v>
      </c>
      <c r="G9" s="1840">
        <f t="shared" si="1"/>
        <v>-5.6815038013232289E-2</v>
      </c>
      <c r="H9" s="1838">
        <v>44577</v>
      </c>
      <c r="J9" s="1847" t="s">
        <v>1711</v>
      </c>
      <c r="K9" s="1847"/>
      <c r="L9" s="1848">
        <v>5.96E-2</v>
      </c>
      <c r="M9" s="1844">
        <f t="shared" si="2"/>
        <v>-5.6815038013232289E-2</v>
      </c>
      <c r="N9" s="1823">
        <f t="shared" si="3"/>
        <v>0</v>
      </c>
      <c r="P9" s="1849" t="s">
        <v>1712</v>
      </c>
      <c r="Q9" s="1849">
        <v>571</v>
      </c>
    </row>
    <row r="10" spans="2:24" x14ac:dyDescent="0.3">
      <c r="B10" s="1838">
        <v>44570</v>
      </c>
      <c r="C10" s="1839">
        <v>1496.02</v>
      </c>
      <c r="D10" s="1840">
        <f t="shared" si="0"/>
        <v>-2.1236784256254637E-2</v>
      </c>
      <c r="F10" s="1839">
        <v>4662.8500000000004</v>
      </c>
      <c r="G10" s="1840">
        <f t="shared" si="1"/>
        <v>-3.0297069501520335E-3</v>
      </c>
      <c r="H10" s="1838">
        <v>44570</v>
      </c>
      <c r="J10" s="1834" t="s">
        <v>1713</v>
      </c>
      <c r="K10" s="1834"/>
      <c r="L10" s="1850">
        <f>L6</f>
        <v>1.1891063189510587</v>
      </c>
      <c r="M10" s="1844">
        <f t="shared" si="2"/>
        <v>-3.0297069501520335E-3</v>
      </c>
      <c r="N10" s="1823">
        <f t="shared" si="3"/>
        <v>0</v>
      </c>
    </row>
    <row r="11" spans="2:24" ht="15" thickBot="1" x14ac:dyDescent="0.35">
      <c r="B11" s="1838">
        <v>44563</v>
      </c>
      <c r="C11" s="1839">
        <v>1528.48</v>
      </c>
      <c r="D11" s="1840">
        <f t="shared" si="0"/>
        <v>2.0156446058146704E-2</v>
      </c>
      <c r="F11" s="1839">
        <v>4677.0200000000004</v>
      </c>
      <c r="G11" s="1840">
        <f t="shared" si="1"/>
        <v>-1.8706805030443641E-2</v>
      </c>
      <c r="H11" s="1838">
        <v>44563</v>
      </c>
      <c r="J11" s="1851" t="s">
        <v>1714</v>
      </c>
      <c r="K11" s="1851"/>
      <c r="L11" s="1852">
        <f>L9*L10</f>
        <v>7.0870736609483093E-2</v>
      </c>
      <c r="M11" s="1844">
        <f t="shared" si="2"/>
        <v>-1.8706805030443641E-2</v>
      </c>
      <c r="N11" s="1823">
        <f t="shared" si="3"/>
        <v>0</v>
      </c>
      <c r="P11" s="1823" t="s">
        <v>1715</v>
      </c>
    </row>
    <row r="12" spans="2:24" x14ac:dyDescent="0.3">
      <c r="B12" s="1838">
        <v>44556</v>
      </c>
      <c r="C12" s="1839">
        <v>1498.28</v>
      </c>
      <c r="D12" s="1840">
        <f t="shared" si="0"/>
        <v>1.4386979275979428E-2</v>
      </c>
      <c r="F12" s="1839">
        <v>4766.18</v>
      </c>
      <c r="G12" s="1840">
        <f t="shared" si="1"/>
        <v>8.5488533109878695E-3</v>
      </c>
      <c r="H12" s="1838">
        <v>44556</v>
      </c>
      <c r="M12" s="1844">
        <f t="shared" si="2"/>
        <v>8.5488533109878695E-3</v>
      </c>
      <c r="N12" s="1823">
        <f t="shared" si="3"/>
        <v>0</v>
      </c>
      <c r="P12" s="1853"/>
      <c r="Q12" s="1853" t="s">
        <v>1716</v>
      </c>
      <c r="R12" s="1853" t="s">
        <v>1717</v>
      </c>
      <c r="S12" s="1853" t="s">
        <v>1718</v>
      </c>
      <c r="T12" s="1853" t="s">
        <v>1719</v>
      </c>
      <c r="U12" s="1853" t="s">
        <v>1720</v>
      </c>
    </row>
    <row r="13" spans="2:24" x14ac:dyDescent="0.3">
      <c r="B13" s="1838">
        <v>44549</v>
      </c>
      <c r="C13" s="1839">
        <v>1477.03</v>
      </c>
      <c r="D13" s="1840">
        <f t="shared" si="0"/>
        <v>-1.8651295116198785E-3</v>
      </c>
      <c r="F13" s="1839">
        <v>4725.78</v>
      </c>
      <c r="G13" s="1840">
        <f t="shared" si="1"/>
        <v>2.2754423629626874E-2</v>
      </c>
      <c r="H13" s="1838">
        <v>44549</v>
      </c>
      <c r="I13" s="1830" t="s">
        <v>1721</v>
      </c>
      <c r="J13" s="1845" t="s">
        <v>1722</v>
      </c>
      <c r="K13" s="1846"/>
      <c r="L13" s="1846"/>
      <c r="M13" s="1844">
        <f t="shared" si="2"/>
        <v>2.2754423629626874E-2</v>
      </c>
      <c r="N13" s="1823">
        <f t="shared" si="3"/>
        <v>0</v>
      </c>
      <c r="P13" s="1823" t="s">
        <v>1723</v>
      </c>
      <c r="Q13" s="1837">
        <v>1</v>
      </c>
      <c r="R13" s="1837">
        <v>2.7676056490453793E-2</v>
      </c>
      <c r="S13" s="1837">
        <v>2.7676056490453793E-2</v>
      </c>
      <c r="T13" s="1837">
        <v>61.874802850208809</v>
      </c>
      <c r="U13" s="1837">
        <v>1.8504548022036519E-14</v>
      </c>
    </row>
    <row r="14" spans="2:24" x14ac:dyDescent="0.3">
      <c r="B14" s="1838">
        <v>44542</v>
      </c>
      <c r="C14" s="1839">
        <v>1479.79</v>
      </c>
      <c r="D14" s="1840">
        <f t="shared" si="0"/>
        <v>1.1103215491206297E-2</v>
      </c>
      <c r="F14" s="1839">
        <v>4620.6400000000003</v>
      </c>
      <c r="G14" s="1840">
        <f t="shared" si="1"/>
        <v>-1.9392956736176914E-2</v>
      </c>
      <c r="H14" s="1838">
        <v>44542</v>
      </c>
      <c r="J14" s="1847" t="s">
        <v>1711</v>
      </c>
      <c r="K14" s="1847"/>
      <c r="L14" s="1854">
        <f>L9</f>
        <v>5.96E-2</v>
      </c>
      <c r="M14" s="1844">
        <f t="shared" si="2"/>
        <v>-1.9392956736176914E-2</v>
      </c>
      <c r="N14" s="1823">
        <f t="shared" si="3"/>
        <v>0</v>
      </c>
      <c r="P14" s="1823" t="s">
        <v>1724</v>
      </c>
      <c r="Q14" s="1837">
        <v>569</v>
      </c>
      <c r="R14" s="1837">
        <v>0.25450870819243449</v>
      </c>
      <c r="S14" s="1837">
        <v>4.4729122705173022E-4</v>
      </c>
      <c r="T14" s="1837"/>
      <c r="U14" s="1837"/>
    </row>
    <row r="15" spans="2:24" ht="15" thickBot="1" x14ac:dyDescent="0.35">
      <c r="B15" s="1838">
        <v>44535</v>
      </c>
      <c r="C15" s="1839">
        <v>1463.54</v>
      </c>
      <c r="D15" s="1840">
        <f t="shared" si="0"/>
        <v>1.4009367292076691E-2</v>
      </c>
      <c r="F15" s="1839">
        <v>4712.0200000000004</v>
      </c>
      <c r="G15" s="1840">
        <f t="shared" si="1"/>
        <v>3.8248909865305825E-2</v>
      </c>
      <c r="H15" s="1838">
        <v>44535</v>
      </c>
      <c r="J15" s="1834" t="s">
        <v>1725</v>
      </c>
      <c r="K15" s="1834"/>
      <c r="L15" s="1855">
        <v>2.1399999999999999E-2</v>
      </c>
      <c r="M15" s="1844">
        <f t="shared" si="2"/>
        <v>3.8248909865305825E-2</v>
      </c>
      <c r="N15" s="1823">
        <f t="shared" si="3"/>
        <v>0</v>
      </c>
      <c r="P15" s="1856" t="s">
        <v>1726</v>
      </c>
      <c r="Q15" s="1849">
        <v>570</v>
      </c>
      <c r="R15" s="1849">
        <v>0.28218476468288828</v>
      </c>
      <c r="S15" s="1849"/>
      <c r="T15" s="1849"/>
      <c r="U15" s="1849"/>
    </row>
    <row r="16" spans="2:24" ht="15" thickBot="1" x14ac:dyDescent="0.35">
      <c r="B16" s="1838">
        <v>44528</v>
      </c>
      <c r="C16" s="1839">
        <v>1443.32</v>
      </c>
      <c r="D16" s="1840">
        <f t="shared" si="0"/>
        <v>-3.3294709416421653E-2</v>
      </c>
      <c r="F16" s="1839">
        <v>4538.43</v>
      </c>
      <c r="G16" s="1840">
        <f t="shared" si="1"/>
        <v>-1.2229520613238898E-2</v>
      </c>
      <c r="H16" s="1838">
        <v>44528</v>
      </c>
      <c r="J16" s="1834" t="s">
        <v>1713</v>
      </c>
      <c r="K16" s="1834"/>
      <c r="L16" s="1857">
        <v>1.23</v>
      </c>
      <c r="M16" s="1844">
        <f t="shared" si="2"/>
        <v>-1.2229520613238898E-2</v>
      </c>
      <c r="N16" s="1823">
        <f t="shared" si="3"/>
        <v>0</v>
      </c>
    </row>
    <row r="17" spans="2:24" x14ac:dyDescent="0.3">
      <c r="B17" s="1838">
        <v>44521</v>
      </c>
      <c r="C17" s="1839">
        <v>1493.03</v>
      </c>
      <c r="D17" s="1840">
        <f t="shared" si="0"/>
        <v>2.8009777257548052E-2</v>
      </c>
      <c r="F17" s="1839">
        <v>4594.62</v>
      </c>
      <c r="G17" s="1840">
        <f t="shared" si="1"/>
        <v>-2.1996781581792968E-2</v>
      </c>
      <c r="H17" s="1838">
        <v>44521</v>
      </c>
      <c r="J17" s="1851" t="s">
        <v>1714</v>
      </c>
      <c r="K17" s="1851"/>
      <c r="L17" s="1852">
        <f>L14+L15*L16</f>
        <v>8.5921999999999998E-2</v>
      </c>
      <c r="M17" s="1844">
        <f t="shared" si="2"/>
        <v>-2.1996781581792968E-2</v>
      </c>
      <c r="N17" s="1823">
        <f t="shared" si="3"/>
        <v>0</v>
      </c>
      <c r="P17" s="1853"/>
      <c r="Q17" s="1853" t="s">
        <v>1727</v>
      </c>
      <c r="R17" s="1853" t="s">
        <v>1710</v>
      </c>
      <c r="S17" s="1853" t="s">
        <v>1728</v>
      </c>
      <c r="T17" s="1853" t="s">
        <v>1729</v>
      </c>
      <c r="U17" s="1853" t="s">
        <v>1730</v>
      </c>
      <c r="V17" s="1853" t="s">
        <v>1731</v>
      </c>
      <c r="W17" s="1853" t="s">
        <v>1732</v>
      </c>
      <c r="X17" s="1853" t="s">
        <v>1733</v>
      </c>
    </row>
    <row r="18" spans="2:24" x14ac:dyDescent="0.3">
      <c r="B18" s="1838">
        <v>44514</v>
      </c>
      <c r="C18" s="1839">
        <v>1452.35</v>
      </c>
      <c r="D18" s="1840">
        <f t="shared" si="0"/>
        <v>-1.426661327433032E-2</v>
      </c>
      <c r="F18" s="1839">
        <v>4697.96</v>
      </c>
      <c r="G18" s="1840">
        <f t="shared" si="1"/>
        <v>3.2266675208472151E-3</v>
      </c>
      <c r="H18" s="1838">
        <v>44514</v>
      </c>
      <c r="M18" s="1844">
        <f t="shared" si="2"/>
        <v>3.2266675208472151E-3</v>
      </c>
      <c r="N18" s="1823">
        <f t="shared" si="3"/>
        <v>0</v>
      </c>
      <c r="P18" s="1823" t="s">
        <v>1734</v>
      </c>
      <c r="Q18" s="1837">
        <v>1.8738108001391575E-3</v>
      </c>
      <c r="R18" s="1837">
        <v>8.8809106721328445E-4</v>
      </c>
      <c r="S18" s="1837">
        <v>2.1099309173539318</v>
      </c>
      <c r="T18" s="1837">
        <v>3.5300282676485523E-2</v>
      </c>
      <c r="U18" s="1837">
        <v>1.2947391512740393E-4</v>
      </c>
      <c r="V18" s="1837">
        <v>3.6181476851509112E-3</v>
      </c>
      <c r="W18" s="1837">
        <v>1.2947391512740393E-4</v>
      </c>
      <c r="X18" s="1837">
        <v>3.6181476851509112E-3</v>
      </c>
    </row>
    <row r="19" spans="2:24" ht="15" thickBot="1" x14ac:dyDescent="0.35">
      <c r="B19" s="1838">
        <v>44507</v>
      </c>
      <c r="C19" s="1839">
        <v>1473.37</v>
      </c>
      <c r="D19" s="1840">
        <f t="shared" si="0"/>
        <v>1.1575615684066731E-2</v>
      </c>
      <c r="F19" s="1839">
        <v>4682.8500000000004</v>
      </c>
      <c r="G19" s="1840">
        <f t="shared" si="1"/>
        <v>-3.1250465670255023E-3</v>
      </c>
      <c r="H19" s="1838">
        <v>44507</v>
      </c>
      <c r="I19" s="1830" t="s">
        <v>1735</v>
      </c>
      <c r="J19" s="1845" t="s">
        <v>1722</v>
      </c>
      <c r="K19" s="1845"/>
      <c r="L19" s="1845"/>
      <c r="M19" s="1844">
        <f t="shared" si="2"/>
        <v>-3.1250465670255023E-3</v>
      </c>
      <c r="N19" s="1823">
        <f t="shared" si="3"/>
        <v>0</v>
      </c>
      <c r="P19" s="1856" t="s">
        <v>1736</v>
      </c>
      <c r="Q19" s="1849">
        <v>0.26322786532426645</v>
      </c>
      <c r="R19" s="1849">
        <v>3.346377624999762E-2</v>
      </c>
      <c r="S19" s="1849">
        <v>7.8660538296028433</v>
      </c>
      <c r="T19" s="1849">
        <v>1.8504548022029832E-14</v>
      </c>
      <c r="U19" s="1849">
        <v>0.19750025992472642</v>
      </c>
      <c r="V19" s="1849">
        <v>0.32895547072380649</v>
      </c>
      <c r="W19" s="1849">
        <v>0.19750025992472642</v>
      </c>
      <c r="X19" s="1849">
        <v>0.32895547072380649</v>
      </c>
    </row>
    <row r="20" spans="2:24" x14ac:dyDescent="0.3">
      <c r="B20" s="1838">
        <v>44500</v>
      </c>
      <c r="C20" s="1839">
        <v>1456.51</v>
      </c>
      <c r="D20" s="1840">
        <f t="shared" si="0"/>
        <v>8.4748696573355708E-3</v>
      </c>
      <c r="F20" s="1839">
        <v>4697.53</v>
      </c>
      <c r="G20" s="1840">
        <f t="shared" si="1"/>
        <v>2.0009206623557541E-2</v>
      </c>
      <c r="H20" s="1838">
        <v>44500</v>
      </c>
      <c r="J20" s="1847" t="s">
        <v>1711</v>
      </c>
      <c r="K20" s="1847"/>
      <c r="L20" s="1854">
        <f>L14</f>
        <v>5.96E-2</v>
      </c>
      <c r="M20" s="1844">
        <f t="shared" si="2"/>
        <v>2.0009206623557541E-2</v>
      </c>
      <c r="N20" s="1823">
        <f t="shared" si="3"/>
        <v>0</v>
      </c>
    </row>
    <row r="21" spans="2:24" x14ac:dyDescent="0.3">
      <c r="B21" s="1838">
        <v>44493</v>
      </c>
      <c r="C21" s="1839">
        <v>1444.27</v>
      </c>
      <c r="D21" s="1840">
        <f t="shared" si="0"/>
        <v>3.9611586191010906E-2</v>
      </c>
      <c r="F21" s="1839">
        <v>4605.38</v>
      </c>
      <c r="G21" s="1840">
        <f t="shared" si="1"/>
        <v>1.3307223481264785E-2</v>
      </c>
      <c r="H21" s="1838">
        <v>44493</v>
      </c>
      <c r="J21" s="1834" t="s">
        <v>1737</v>
      </c>
      <c r="K21" s="1834"/>
      <c r="L21" s="1840">
        <v>4.0599999999999997E-2</v>
      </c>
      <c r="M21" s="1844">
        <f t="shared" si="2"/>
        <v>1.3307223481264785E-2</v>
      </c>
      <c r="N21" s="1823">
        <f t="shared" si="3"/>
        <v>0</v>
      </c>
      <c r="Q21" s="1858" t="s">
        <v>1738</v>
      </c>
      <c r="R21" s="1858"/>
    </row>
    <row r="22" spans="2:24" x14ac:dyDescent="0.3">
      <c r="B22" s="1838">
        <v>44486</v>
      </c>
      <c r="C22" s="1839">
        <v>1389.24</v>
      </c>
      <c r="D22" s="1840">
        <f t="shared" si="0"/>
        <v>-2.4843828534502066E-3</v>
      </c>
      <c r="F22" s="1839">
        <v>4544.8999999999996</v>
      </c>
      <c r="G22" s="1840">
        <f t="shared" si="1"/>
        <v>1.6444624354504223E-2</v>
      </c>
      <c r="H22" s="1838">
        <v>44486</v>
      </c>
      <c r="J22" s="1834" t="s">
        <v>1713</v>
      </c>
      <c r="K22" s="1834"/>
      <c r="L22" s="1850">
        <f>L16</f>
        <v>1.23</v>
      </c>
      <c r="M22" s="1844">
        <f t="shared" si="2"/>
        <v>1.6444624354504223E-2</v>
      </c>
      <c r="N22" s="1823">
        <f t="shared" si="3"/>
        <v>0</v>
      </c>
      <c r="P22" s="1859" t="s">
        <v>1739</v>
      </c>
      <c r="Q22" s="1860">
        <v>0.6</v>
      </c>
      <c r="R22" s="1860"/>
      <c r="S22" s="1823">
        <f>SLOPE(S30:S289,T30:T289)</f>
        <v>0.19132736027624211</v>
      </c>
    </row>
    <row r="23" spans="2:24" x14ac:dyDescent="0.3">
      <c r="B23" s="1838">
        <v>44479</v>
      </c>
      <c r="C23" s="1839">
        <v>1392.7</v>
      </c>
      <c r="D23" s="1840">
        <f t="shared" si="0"/>
        <v>1.4547653216583134E-2</v>
      </c>
      <c r="F23" s="1839">
        <v>4471.37</v>
      </c>
      <c r="G23" s="1840">
        <f t="shared" si="1"/>
        <v>1.8219868104641934E-2</v>
      </c>
      <c r="H23" s="1838">
        <v>44479</v>
      </c>
      <c r="J23" s="1851" t="s">
        <v>1714</v>
      </c>
      <c r="K23" s="1851"/>
      <c r="L23" s="1852">
        <f>L20+L21*L22</f>
        <v>0.109538</v>
      </c>
      <c r="M23" s="1844">
        <f t="shared" si="2"/>
        <v>1.8219868104641934E-2</v>
      </c>
      <c r="N23" s="1823">
        <f t="shared" si="3"/>
        <v>0</v>
      </c>
      <c r="P23" s="1859" t="s">
        <v>1740</v>
      </c>
      <c r="Q23" s="1860">
        <f>DCF!M45</f>
        <v>8.547787212442573E-2</v>
      </c>
      <c r="R23" s="1860"/>
    </row>
    <row r="24" spans="2:24" x14ac:dyDescent="0.3">
      <c r="B24" s="1838">
        <v>44472</v>
      </c>
      <c r="C24" s="1839">
        <v>1372.73</v>
      </c>
      <c r="D24" s="1840">
        <f t="shared" si="0"/>
        <v>2.8346904988425958E-2</v>
      </c>
      <c r="F24" s="1839">
        <v>4391.3599999999997</v>
      </c>
      <c r="G24" s="1840">
        <f t="shared" si="1"/>
        <v>7.8745940487254806E-3</v>
      </c>
      <c r="H24" s="1838">
        <v>44472</v>
      </c>
      <c r="M24" s="1844">
        <f t="shared" si="2"/>
        <v>7.8745940487254806E-3</v>
      </c>
      <c r="N24" s="1823">
        <f t="shared" si="3"/>
        <v>0</v>
      </c>
      <c r="P24" s="1859" t="s">
        <v>1741</v>
      </c>
      <c r="Q24" s="1861">
        <f>Input!Q89</f>
        <v>0.20879428989303009</v>
      </c>
      <c r="R24" s="1862"/>
    </row>
    <row r="25" spans="2:24" x14ac:dyDescent="0.3">
      <c r="B25" s="1838">
        <v>44465</v>
      </c>
      <c r="C25" s="1839">
        <v>1334.89</v>
      </c>
      <c r="D25" s="1840">
        <f t="shared" si="0"/>
        <v>-1.2048816951234831E-2</v>
      </c>
      <c r="F25" s="1839">
        <v>4357.05</v>
      </c>
      <c r="G25" s="1840">
        <f t="shared" si="1"/>
        <v>-2.2091895822672125E-2</v>
      </c>
      <c r="H25" s="1838">
        <v>44465</v>
      </c>
      <c r="I25" s="1830"/>
      <c r="J25" s="1845"/>
      <c r="K25" s="1845"/>
      <c r="L25" s="1845"/>
      <c r="M25" s="1844">
        <f t="shared" si="2"/>
        <v>-2.2091895822672125E-2</v>
      </c>
      <c r="N25" s="1823">
        <f t="shared" si="3"/>
        <v>0</v>
      </c>
      <c r="P25" s="1863" t="s">
        <v>1742</v>
      </c>
      <c r="Q25" s="1864">
        <f>Q22/(1+Q23*(1-Q24))</f>
        <v>0.56199214499073358</v>
      </c>
      <c r="R25" s="1864"/>
    </row>
    <row r="26" spans="2:24" x14ac:dyDescent="0.3">
      <c r="B26" s="1838">
        <v>44458</v>
      </c>
      <c r="C26" s="1839">
        <v>1351.17</v>
      </c>
      <c r="D26" s="1840">
        <f t="shared" si="0"/>
        <v>-1.0867636621717525E-3</v>
      </c>
      <c r="F26" s="1839">
        <v>4455.4799999999996</v>
      </c>
      <c r="G26" s="1840">
        <f t="shared" si="1"/>
        <v>5.0733252274424157E-3</v>
      </c>
      <c r="H26" s="1838">
        <v>44458</v>
      </c>
      <c r="K26" s="1844"/>
      <c r="L26" s="1844"/>
      <c r="M26" s="1844">
        <f t="shared" si="2"/>
        <v>5.0733252274424157E-3</v>
      </c>
      <c r="N26" s="1823">
        <f t="shared" si="3"/>
        <v>0</v>
      </c>
      <c r="P26" s="1865"/>
      <c r="Q26" s="1866"/>
      <c r="R26" s="1866"/>
    </row>
    <row r="27" spans="2:24" x14ac:dyDescent="0.3">
      <c r="B27" s="1838">
        <v>44451</v>
      </c>
      <c r="C27" s="1839">
        <v>1352.64</v>
      </c>
      <c r="D27" s="1840">
        <f t="shared" si="0"/>
        <v>5.4485583248471414E-3</v>
      </c>
      <c r="F27" s="1839">
        <v>4432.99</v>
      </c>
      <c r="G27" s="1840">
        <f t="shared" si="1"/>
        <v>-5.7394955344527432E-3</v>
      </c>
      <c r="H27" s="1838">
        <v>44451</v>
      </c>
      <c r="L27" s="1844"/>
      <c r="M27" s="1844">
        <f t="shared" si="2"/>
        <v>-5.7394955344527432E-3</v>
      </c>
      <c r="N27" s="1823">
        <f t="shared" si="3"/>
        <v>0</v>
      </c>
      <c r="P27" s="1865"/>
      <c r="Q27" s="1866"/>
      <c r="R27" s="1866"/>
    </row>
    <row r="28" spans="2:24" x14ac:dyDescent="0.3">
      <c r="B28" s="1838">
        <v>44444</v>
      </c>
      <c r="C28" s="1839">
        <v>1345.31</v>
      </c>
      <c r="D28" s="1840">
        <f t="shared" si="0"/>
        <v>7.987112726182799E-3</v>
      </c>
      <c r="F28" s="1839">
        <v>4458.58</v>
      </c>
      <c r="G28" s="1840">
        <f t="shared" si="1"/>
        <v>-1.6944369111638879E-2</v>
      </c>
      <c r="H28" s="1838">
        <v>44444</v>
      </c>
      <c r="L28" s="1867"/>
      <c r="M28" s="1844">
        <f t="shared" si="2"/>
        <v>-1.6944369111638879E-2</v>
      </c>
      <c r="N28" s="1823">
        <f t="shared" si="3"/>
        <v>0</v>
      </c>
      <c r="P28" s="2383" t="s">
        <v>1743</v>
      </c>
      <c r="Q28" s="2383"/>
      <c r="R28" s="2383"/>
      <c r="S28" s="2384" t="s">
        <v>1744</v>
      </c>
      <c r="T28" s="2384"/>
    </row>
    <row r="29" spans="2:24" x14ac:dyDescent="0.3">
      <c r="B29" s="1838">
        <v>44437</v>
      </c>
      <c r="C29" s="1839">
        <v>1334.65</v>
      </c>
      <c r="D29" s="1840">
        <f t="shared" si="0"/>
        <v>1.6334145598537964E-2</v>
      </c>
      <c r="F29" s="1839">
        <v>4535.43</v>
      </c>
      <c r="G29" s="1840">
        <f t="shared" si="1"/>
        <v>5.7790777869193288E-3</v>
      </c>
      <c r="H29" s="1838">
        <v>44437</v>
      </c>
      <c r="J29" s="1865"/>
      <c r="K29" s="1865"/>
      <c r="L29" s="1868"/>
      <c r="M29" s="1844">
        <f t="shared" si="2"/>
        <v>5.7790777869193288E-3</v>
      </c>
      <c r="N29" s="1823">
        <f t="shared" si="3"/>
        <v>0</v>
      </c>
      <c r="P29" s="1869" t="s">
        <v>1699</v>
      </c>
      <c r="Q29" s="1870" t="s">
        <v>3</v>
      </c>
      <c r="R29" s="1870" t="s">
        <v>1745</v>
      </c>
      <c r="S29" s="1871" t="str">
        <f>Q29</f>
        <v>DBD</v>
      </c>
      <c r="T29" s="1871" t="s">
        <v>1745</v>
      </c>
    </row>
    <row r="30" spans="2:24" x14ac:dyDescent="0.3">
      <c r="B30" s="1838">
        <v>44430</v>
      </c>
      <c r="C30" s="1839">
        <v>1313.2</v>
      </c>
      <c r="D30" s="1840">
        <f t="shared" si="0"/>
        <v>-1.2208239621491979E-2</v>
      </c>
      <c r="F30" s="1839">
        <v>4509.37</v>
      </c>
      <c r="G30" s="1840">
        <f t="shared" si="1"/>
        <v>1.5242014827756112E-2</v>
      </c>
      <c r="H30" s="1838">
        <v>44430</v>
      </c>
      <c r="M30" s="1844">
        <f t="shared" si="2"/>
        <v>1.5242014827756112E-2</v>
      </c>
      <c r="N30" s="1823">
        <f t="shared" si="3"/>
        <v>0</v>
      </c>
      <c r="P30" s="1838">
        <v>44598</v>
      </c>
      <c r="Q30" s="1872">
        <v>51900</v>
      </c>
      <c r="R30" s="1839">
        <v>1501.71</v>
      </c>
      <c r="S30" s="1873">
        <f>Q30/Q31-1</f>
        <v>3.8000000000000034E-2</v>
      </c>
      <c r="T30" s="1873">
        <f>R30/R31-1</f>
        <v>1.5382430897387334E-2</v>
      </c>
    </row>
    <row r="31" spans="2:24" x14ac:dyDescent="0.3">
      <c r="B31" s="1838">
        <v>44423</v>
      </c>
      <c r="C31" s="1839">
        <v>1329.43</v>
      </c>
      <c r="D31" s="1840">
        <f t="shared" si="0"/>
        <v>-2.0352971519103868E-2</v>
      </c>
      <c r="F31" s="1839">
        <v>4441.67</v>
      </c>
      <c r="G31" s="1840">
        <f t="shared" si="1"/>
        <v>-5.8930170098477896E-3</v>
      </c>
      <c r="H31" s="1838">
        <v>44423</v>
      </c>
      <c r="I31" s="1830"/>
      <c r="J31" s="1845"/>
      <c r="K31" s="1845"/>
      <c r="L31" s="1845"/>
      <c r="M31" s="1844">
        <f t="shared" si="2"/>
        <v>-5.8930170098477896E-3</v>
      </c>
      <c r="N31" s="1823">
        <f t="shared" si="3"/>
        <v>0</v>
      </c>
      <c r="P31" s="1838">
        <v>44584</v>
      </c>
      <c r="Q31" s="1872">
        <v>50000</v>
      </c>
      <c r="R31" s="1839">
        <v>1478.96</v>
      </c>
      <c r="S31" s="1873">
        <f t="shared" ref="S31:T94" si="4">Q31/Q32-1</f>
        <v>-1.7681728880157177E-2</v>
      </c>
      <c r="T31" s="1873">
        <f t="shared" si="4"/>
        <v>4.1211495766826367E-3</v>
      </c>
    </row>
    <row r="32" spans="2:24" x14ac:dyDescent="0.3">
      <c r="B32" s="1838">
        <v>44416</v>
      </c>
      <c r="C32" s="1839">
        <v>1357.05</v>
      </c>
      <c r="D32" s="1840">
        <f t="shared" si="0"/>
        <v>1.1629207201162783E-2</v>
      </c>
      <c r="F32" s="1839">
        <v>4468</v>
      </c>
      <c r="G32" s="1840">
        <f t="shared" si="1"/>
        <v>7.0956515467077708E-3</v>
      </c>
      <c r="H32" s="1838">
        <v>44416</v>
      </c>
      <c r="L32" s="1844"/>
      <c r="M32" s="1844">
        <f t="shared" si="2"/>
        <v>7.0956515467077708E-3</v>
      </c>
      <c r="N32" s="1823">
        <f t="shared" si="3"/>
        <v>0</v>
      </c>
      <c r="P32" s="1838">
        <v>44577</v>
      </c>
      <c r="Q32" s="1872">
        <v>50900</v>
      </c>
      <c r="R32" s="1839">
        <v>1472.89</v>
      </c>
      <c r="S32" s="1873">
        <f t="shared" si="4"/>
        <v>-2.8625954198473247E-2</v>
      </c>
      <c r="T32" s="1873">
        <f t="shared" si="4"/>
        <v>-1.546102324835219E-2</v>
      </c>
    </row>
    <row r="33" spans="2:20" x14ac:dyDescent="0.3">
      <c r="B33" s="1838">
        <v>44409</v>
      </c>
      <c r="C33" s="1839">
        <v>1341.45</v>
      </c>
      <c r="D33" s="1840">
        <f t="shared" si="0"/>
        <v>2.3968550818671108E-2</v>
      </c>
      <c r="F33" s="1839">
        <v>4436.5200000000004</v>
      </c>
      <c r="G33" s="1840">
        <f t="shared" si="1"/>
        <v>9.3873855016541885E-3</v>
      </c>
      <c r="H33" s="1838">
        <v>44409</v>
      </c>
      <c r="L33" s="1844"/>
      <c r="M33" s="1844">
        <f t="shared" si="2"/>
        <v>9.3873855016541885E-3</v>
      </c>
      <c r="N33" s="1823">
        <f t="shared" si="3"/>
        <v>0</v>
      </c>
      <c r="P33" s="1838">
        <v>44570</v>
      </c>
      <c r="Q33" s="1872">
        <v>52400</v>
      </c>
      <c r="R33" s="1839">
        <v>1496.02</v>
      </c>
      <c r="S33" s="1873">
        <f t="shared" si="4"/>
        <v>4.3824701195219085E-2</v>
      </c>
      <c r="T33" s="1873">
        <f t="shared" si="4"/>
        <v>-2.1236784256254637E-2</v>
      </c>
    </row>
    <row r="34" spans="2:20" x14ac:dyDescent="0.3">
      <c r="B34" s="1838">
        <v>44402</v>
      </c>
      <c r="C34" s="1839">
        <v>1310.05</v>
      </c>
      <c r="D34" s="1840">
        <f t="shared" si="0"/>
        <v>3.248662153322357E-2</v>
      </c>
      <c r="F34" s="1839">
        <v>4395.26</v>
      </c>
      <c r="G34" s="1840">
        <f t="shared" si="1"/>
        <v>-3.7490366743733183E-3</v>
      </c>
      <c r="H34" s="1838">
        <v>44402</v>
      </c>
      <c r="L34" s="1867"/>
      <c r="M34" s="1844">
        <f t="shared" si="2"/>
        <v>-3.7490366743733183E-3</v>
      </c>
      <c r="N34" s="1823">
        <f t="shared" si="3"/>
        <v>0</v>
      </c>
      <c r="P34" s="1838">
        <v>44563</v>
      </c>
      <c r="Q34" s="1872">
        <v>50200</v>
      </c>
      <c r="R34" s="1839">
        <v>1528.48</v>
      </c>
      <c r="S34" s="1873">
        <f t="shared" si="4"/>
        <v>-3.2755298651252374E-2</v>
      </c>
      <c r="T34" s="1873">
        <f t="shared" si="4"/>
        <v>2.0156446058146704E-2</v>
      </c>
    </row>
    <row r="35" spans="2:20" x14ac:dyDescent="0.3">
      <c r="B35" s="1838">
        <v>44395</v>
      </c>
      <c r="C35" s="1839">
        <v>1268.83</v>
      </c>
      <c r="D35" s="1840">
        <f t="shared" si="0"/>
        <v>-2.345860495185903E-2</v>
      </c>
      <c r="F35" s="1839">
        <v>4411.8</v>
      </c>
      <c r="G35" s="1840">
        <f t="shared" si="1"/>
        <v>1.9560173416282245E-2</v>
      </c>
      <c r="H35" s="1838">
        <v>44395</v>
      </c>
      <c r="J35" s="1865"/>
      <c r="K35" s="1865"/>
      <c r="L35" s="1868"/>
      <c r="M35" s="1844">
        <f t="shared" si="2"/>
        <v>1.9560173416282245E-2</v>
      </c>
      <c r="N35" s="1823">
        <f t="shared" si="3"/>
        <v>0</v>
      </c>
      <c r="P35" s="1838">
        <v>44556</v>
      </c>
      <c r="Q35" s="1872">
        <v>51900</v>
      </c>
      <c r="R35" s="1839">
        <v>1498.28</v>
      </c>
      <c r="S35" s="1873">
        <f t="shared" si="4"/>
        <v>7.7669902912620437E-3</v>
      </c>
      <c r="T35" s="1873">
        <f t="shared" si="4"/>
        <v>1.4386979275979428E-2</v>
      </c>
    </row>
    <row r="36" spans="2:20" x14ac:dyDescent="0.3">
      <c r="B36" s="1838">
        <v>44388</v>
      </c>
      <c r="C36" s="1839">
        <v>1299.31</v>
      </c>
      <c r="D36" s="1840">
        <f t="shared" si="0"/>
        <v>-3.5504847306145004E-2</v>
      </c>
      <c r="F36" s="1839">
        <v>4327.16</v>
      </c>
      <c r="G36" s="1840">
        <f t="shared" si="1"/>
        <v>-9.7012278152213138E-3</v>
      </c>
      <c r="H36" s="1838">
        <v>44388</v>
      </c>
      <c r="M36" s="1844">
        <f t="shared" si="2"/>
        <v>-9.7012278152213138E-3</v>
      </c>
      <c r="N36" s="1823">
        <f t="shared" si="3"/>
        <v>0</v>
      </c>
      <c r="P36" s="1838">
        <v>44549</v>
      </c>
      <c r="Q36" s="1872">
        <v>51500</v>
      </c>
      <c r="R36" s="1839">
        <v>1477.03</v>
      </c>
      <c r="S36" s="1873">
        <f t="shared" si="4"/>
        <v>-1.5296367112810683E-2</v>
      </c>
      <c r="T36" s="1873">
        <f t="shared" si="4"/>
        <v>-1.8651295116198785E-3</v>
      </c>
    </row>
    <row r="37" spans="2:20" x14ac:dyDescent="0.3">
      <c r="B37" s="1838">
        <v>44381</v>
      </c>
      <c r="C37" s="1839">
        <v>1347.14</v>
      </c>
      <c r="D37" s="1840">
        <f t="shared" si="0"/>
        <v>-5.1490209608032189E-2</v>
      </c>
      <c r="F37" s="1839">
        <v>4369.55</v>
      </c>
      <c r="G37" s="1840">
        <f t="shared" si="1"/>
        <v>3.954194755005469E-3</v>
      </c>
      <c r="H37" s="1838">
        <v>44381</v>
      </c>
      <c r="J37" s="1865"/>
      <c r="K37" s="1865"/>
      <c r="L37" s="1868"/>
      <c r="M37" s="1844">
        <f t="shared" si="2"/>
        <v>3.954194755005469E-3</v>
      </c>
      <c r="N37" s="1823">
        <f t="shared" si="3"/>
        <v>0</v>
      </c>
      <c r="P37" s="1838">
        <v>44542</v>
      </c>
      <c r="Q37" s="1872">
        <v>52300</v>
      </c>
      <c r="R37" s="1839">
        <v>1479.79</v>
      </c>
      <c r="S37" s="1873">
        <f t="shared" si="4"/>
        <v>-1.8761726078799223E-2</v>
      </c>
      <c r="T37" s="1873">
        <f t="shared" si="4"/>
        <v>1.1103215491206297E-2</v>
      </c>
    </row>
    <row r="38" spans="2:20" x14ac:dyDescent="0.3">
      <c r="B38" s="1838">
        <v>44374</v>
      </c>
      <c r="C38" s="1839">
        <v>1420.27</v>
      </c>
      <c r="D38" s="1840">
        <f t="shared" si="0"/>
        <v>2.1688775069778288E-2</v>
      </c>
      <c r="F38" s="1839">
        <v>4352.34</v>
      </c>
      <c r="G38" s="1840">
        <f t="shared" si="1"/>
        <v>1.6735580629336333E-2</v>
      </c>
      <c r="H38" s="1838">
        <v>44374</v>
      </c>
      <c r="M38" s="1844">
        <f t="shared" si="2"/>
        <v>1.6735580629336333E-2</v>
      </c>
      <c r="N38" s="1823">
        <f t="shared" si="3"/>
        <v>0</v>
      </c>
      <c r="P38" s="1838">
        <v>44535</v>
      </c>
      <c r="Q38" s="1872">
        <v>53300</v>
      </c>
      <c r="R38" s="1839">
        <v>1463.54</v>
      </c>
      <c r="S38" s="1873">
        <f t="shared" si="4"/>
        <v>-6.4912280701754366E-2</v>
      </c>
      <c r="T38" s="1873">
        <f t="shared" si="4"/>
        <v>1.4009367292076691E-2</v>
      </c>
    </row>
    <row r="39" spans="2:20" x14ac:dyDescent="0.3">
      <c r="B39" s="1838">
        <v>44367</v>
      </c>
      <c r="C39" s="1839">
        <v>1390.12</v>
      </c>
      <c r="D39" s="1840">
        <f t="shared" si="0"/>
        <v>8.9637602792917992E-3</v>
      </c>
      <c r="F39" s="1839">
        <v>4280.7</v>
      </c>
      <c r="G39" s="1840">
        <f t="shared" si="1"/>
        <v>2.7421425914147646E-2</v>
      </c>
      <c r="H39" s="1838">
        <v>44367</v>
      </c>
      <c r="J39" s="1865"/>
      <c r="K39" s="1868"/>
      <c r="L39" s="1868"/>
      <c r="M39" s="1844">
        <f t="shared" si="2"/>
        <v>2.7421425914147646E-2</v>
      </c>
      <c r="N39" s="1823">
        <f t="shared" si="3"/>
        <v>0</v>
      </c>
      <c r="P39" s="1838">
        <v>44528</v>
      </c>
      <c r="Q39" s="1872">
        <v>57000</v>
      </c>
      <c r="R39" s="1839">
        <v>1443.32</v>
      </c>
      <c r="S39" s="1873">
        <f t="shared" si="4"/>
        <v>3.2608695652173836E-2</v>
      </c>
      <c r="T39" s="1873">
        <f t="shared" si="4"/>
        <v>-3.3294709416421653E-2</v>
      </c>
    </row>
    <row r="40" spans="2:20" x14ac:dyDescent="0.3">
      <c r="B40" s="1838">
        <v>44360</v>
      </c>
      <c r="C40" s="1839">
        <v>1377.77</v>
      </c>
      <c r="D40" s="1840">
        <f t="shared" si="0"/>
        <v>1.9256661784070817E-2</v>
      </c>
      <c r="F40" s="1839">
        <v>4166.45</v>
      </c>
      <c r="G40" s="1840">
        <f t="shared" si="1"/>
        <v>-1.9067956227751259E-2</v>
      </c>
      <c r="H40" s="1838">
        <v>44360</v>
      </c>
      <c r="M40" s="1844">
        <f t="shared" si="2"/>
        <v>-1.9067956227751259E-2</v>
      </c>
      <c r="N40" s="1823">
        <f t="shared" si="3"/>
        <v>0</v>
      </c>
      <c r="P40" s="1838">
        <v>44521</v>
      </c>
      <c r="Q40" s="1872">
        <v>55200</v>
      </c>
      <c r="R40" s="1839">
        <v>1493.03</v>
      </c>
      <c r="S40" s="1873">
        <f t="shared" si="4"/>
        <v>4.5454545454545414E-2</v>
      </c>
      <c r="T40" s="1873">
        <f t="shared" si="4"/>
        <v>2.8009777257548052E-2</v>
      </c>
    </row>
    <row r="41" spans="2:20" x14ac:dyDescent="0.3">
      <c r="B41" s="1838">
        <v>44353</v>
      </c>
      <c r="C41" s="1839">
        <v>1351.74</v>
      </c>
      <c r="D41" s="1840">
        <f t="shared" si="0"/>
        <v>-1.6236672610167036E-2</v>
      </c>
      <c r="F41" s="1839">
        <v>4247.4399999999996</v>
      </c>
      <c r="G41" s="1840">
        <f t="shared" si="1"/>
        <v>4.1490440649754046E-3</v>
      </c>
      <c r="H41" s="1838">
        <v>44353</v>
      </c>
      <c r="M41" s="1844">
        <f t="shared" si="2"/>
        <v>4.1490440649754046E-3</v>
      </c>
      <c r="N41" s="1823">
        <f t="shared" si="3"/>
        <v>0</v>
      </c>
      <c r="P41" s="1838">
        <v>44514</v>
      </c>
      <c r="Q41" s="1872">
        <v>52800</v>
      </c>
      <c r="R41" s="1839">
        <v>1452.35</v>
      </c>
      <c r="S41" s="1873">
        <f t="shared" si="4"/>
        <v>1.7341040462427681E-2</v>
      </c>
      <c r="T41" s="1873">
        <f t="shared" si="4"/>
        <v>-1.426661327433032E-2</v>
      </c>
    </row>
    <row r="42" spans="2:20" x14ac:dyDescent="0.3">
      <c r="B42" s="1838">
        <v>44346</v>
      </c>
      <c r="C42" s="1839">
        <v>1374.05</v>
      </c>
      <c r="D42" s="1840">
        <f t="shared" si="0"/>
        <v>4.0584341820274705E-2</v>
      </c>
      <c r="F42" s="1839">
        <v>4229.8900000000003</v>
      </c>
      <c r="G42" s="1840">
        <f t="shared" si="1"/>
        <v>6.1320945455758391E-3</v>
      </c>
      <c r="H42" s="1838">
        <v>44346</v>
      </c>
      <c r="M42" s="1844">
        <f t="shared" si="2"/>
        <v>6.1320945455758391E-3</v>
      </c>
      <c r="N42" s="1823">
        <f t="shared" si="3"/>
        <v>0</v>
      </c>
      <c r="P42" s="1838">
        <v>44507</v>
      </c>
      <c r="Q42" s="1872">
        <v>51900</v>
      </c>
      <c r="R42" s="1839">
        <v>1473.37</v>
      </c>
      <c r="S42" s="1873">
        <f t="shared" si="4"/>
        <v>5.7026476578411422E-2</v>
      </c>
      <c r="T42" s="1873">
        <f t="shared" si="4"/>
        <v>1.1575615684066731E-2</v>
      </c>
    </row>
    <row r="43" spans="2:20" x14ac:dyDescent="0.3">
      <c r="B43" s="1838">
        <v>44339</v>
      </c>
      <c r="C43" s="1839">
        <v>1320.46</v>
      </c>
      <c r="D43" s="1840">
        <f t="shared" si="0"/>
        <v>2.8451706868754423E-2</v>
      </c>
      <c r="F43" s="1839">
        <v>4204.1099999999997</v>
      </c>
      <c r="G43" s="1840">
        <f t="shared" si="1"/>
        <v>1.1610111986448013E-2</v>
      </c>
      <c r="H43" s="1838">
        <v>44339</v>
      </c>
      <c r="M43" s="1844">
        <f t="shared" si="2"/>
        <v>1.1610111986448013E-2</v>
      </c>
      <c r="N43" s="1823">
        <f t="shared" si="3"/>
        <v>0</v>
      </c>
      <c r="P43" s="1838">
        <v>44500</v>
      </c>
      <c r="Q43" s="1872">
        <v>49100</v>
      </c>
      <c r="R43" s="1839">
        <v>1456.51</v>
      </c>
      <c r="S43" s="1873">
        <f t="shared" si="4"/>
        <v>1.2371134020618513E-2</v>
      </c>
      <c r="T43" s="1873">
        <f t="shared" si="4"/>
        <v>8.4748696573355708E-3</v>
      </c>
    </row>
    <row r="44" spans="2:20" x14ac:dyDescent="0.3">
      <c r="B44" s="1838">
        <v>44332</v>
      </c>
      <c r="C44" s="1839">
        <v>1283.93</v>
      </c>
      <c r="D44" s="1840">
        <f t="shared" si="0"/>
        <v>1.3874411699674738E-2</v>
      </c>
      <c r="F44" s="1839">
        <v>4155.8599999999997</v>
      </c>
      <c r="G44" s="1840">
        <f t="shared" si="1"/>
        <v>-4.3101692681818404E-3</v>
      </c>
      <c r="H44" s="1838">
        <v>44332</v>
      </c>
      <c r="M44" s="1844">
        <f t="shared" si="2"/>
        <v>-4.3101692681818404E-3</v>
      </c>
      <c r="N44" s="1823">
        <f t="shared" si="3"/>
        <v>0</v>
      </c>
      <c r="P44" s="1838">
        <v>44493</v>
      </c>
      <c r="Q44" s="1872">
        <v>48500</v>
      </c>
      <c r="R44" s="1839">
        <v>1444.27</v>
      </c>
      <c r="S44" s="1873">
        <f t="shared" si="4"/>
        <v>2.754237288135597E-2</v>
      </c>
      <c r="T44" s="1873">
        <f t="shared" si="4"/>
        <v>3.9611586191010906E-2</v>
      </c>
    </row>
    <row r="45" spans="2:20" x14ac:dyDescent="0.3">
      <c r="B45" s="1838">
        <v>44325</v>
      </c>
      <c r="C45" s="1839">
        <v>1266.3599999999999</v>
      </c>
      <c r="D45" s="1840">
        <f t="shared" si="0"/>
        <v>1.9769529960299792E-2</v>
      </c>
      <c r="F45" s="1839">
        <v>4173.8500000000004</v>
      </c>
      <c r="G45" s="1840">
        <f t="shared" si="1"/>
        <v>-1.388035722723624E-2</v>
      </c>
      <c r="H45" s="1838">
        <v>44325</v>
      </c>
      <c r="M45" s="1844">
        <f t="shared" si="2"/>
        <v>-1.388035722723624E-2</v>
      </c>
      <c r="N45" s="1823">
        <f t="shared" si="3"/>
        <v>0</v>
      </c>
      <c r="P45" s="1838">
        <v>44486</v>
      </c>
      <c r="Q45" s="1872">
        <v>47200</v>
      </c>
      <c r="R45" s="1839">
        <v>1389.24</v>
      </c>
      <c r="S45" s="1873">
        <f t="shared" si="4"/>
        <v>-6.3157894736841635E-3</v>
      </c>
      <c r="T45" s="1873">
        <f t="shared" si="4"/>
        <v>-2.4843828534502066E-3</v>
      </c>
    </row>
    <row r="46" spans="2:20" x14ac:dyDescent="0.3">
      <c r="B46" s="1838">
        <v>44318</v>
      </c>
      <c r="C46" s="1839">
        <v>1241.81</v>
      </c>
      <c r="D46" s="1840">
        <f t="shared" si="0"/>
        <v>1.9525734433873954E-3</v>
      </c>
      <c r="F46" s="1839">
        <v>4232.6000000000004</v>
      </c>
      <c r="G46" s="1840">
        <f t="shared" si="1"/>
        <v>1.2300384820516763E-2</v>
      </c>
      <c r="H46" s="1838">
        <v>44318</v>
      </c>
      <c r="M46" s="1844">
        <f t="shared" si="2"/>
        <v>1.2300384820516763E-2</v>
      </c>
      <c r="N46" s="1823">
        <f t="shared" si="3"/>
        <v>0</v>
      </c>
      <c r="P46" s="1838">
        <v>44479</v>
      </c>
      <c r="Q46" s="1872">
        <v>47500</v>
      </c>
      <c r="R46" s="1839">
        <v>1392.7</v>
      </c>
      <c r="S46" s="1873">
        <f t="shared" si="4"/>
        <v>-2.0618556701030966E-2</v>
      </c>
      <c r="T46" s="1873">
        <f t="shared" si="4"/>
        <v>1.4547653216583134E-2</v>
      </c>
    </row>
    <row r="47" spans="2:20" x14ac:dyDescent="0.3">
      <c r="B47" s="1838">
        <v>44311</v>
      </c>
      <c r="C47" s="1839">
        <v>1239.3900000000001</v>
      </c>
      <c r="D47" s="1840">
        <f t="shared" si="0"/>
        <v>-7.3206090362265552E-3</v>
      </c>
      <c r="F47" s="1839">
        <v>4181.17</v>
      </c>
      <c r="G47" s="1840">
        <f t="shared" si="1"/>
        <v>2.3922472052562149E-4</v>
      </c>
      <c r="H47" s="1838">
        <v>44311</v>
      </c>
      <c r="M47" s="1844">
        <f t="shared" si="2"/>
        <v>2.3922472052562149E-4</v>
      </c>
      <c r="N47" s="1823">
        <f t="shared" si="3"/>
        <v>0</v>
      </c>
      <c r="P47" s="1838">
        <v>44472</v>
      </c>
      <c r="Q47" s="1872">
        <v>48500</v>
      </c>
      <c r="R47" s="1839">
        <v>1372.73</v>
      </c>
      <c r="S47" s="1873">
        <f t="shared" si="4"/>
        <v>1.0416666666666741E-2</v>
      </c>
      <c r="T47" s="1873">
        <f t="shared" si="4"/>
        <v>2.8346904988425958E-2</v>
      </c>
    </row>
    <row r="48" spans="2:20" x14ac:dyDescent="0.3">
      <c r="B48" s="1838">
        <v>44304</v>
      </c>
      <c r="C48" s="1839">
        <v>1248.53</v>
      </c>
      <c r="D48" s="1840">
        <f t="shared" si="0"/>
        <v>7.9276021021867926E-3</v>
      </c>
      <c r="F48" s="1839">
        <v>4180.17</v>
      </c>
      <c r="G48" s="1840">
        <f t="shared" si="1"/>
        <v>-1.266285506765108E-3</v>
      </c>
      <c r="H48" s="1838">
        <v>44304</v>
      </c>
      <c r="M48" s="1844">
        <f t="shared" si="2"/>
        <v>-1.266285506765108E-3</v>
      </c>
      <c r="N48" s="1823">
        <f t="shared" si="3"/>
        <v>0</v>
      </c>
      <c r="P48" s="1838">
        <v>44465</v>
      </c>
      <c r="Q48" s="1872">
        <v>48000</v>
      </c>
      <c r="R48" s="1839">
        <v>1334.89</v>
      </c>
      <c r="S48" s="1873">
        <f t="shared" si="4"/>
        <v>4.1841004184099972E-3</v>
      </c>
      <c r="T48" s="1873">
        <f t="shared" si="4"/>
        <v>-1.2048816951234831E-2</v>
      </c>
    </row>
    <row r="49" spans="2:20" x14ac:dyDescent="0.3">
      <c r="B49" s="1838">
        <v>44297</v>
      </c>
      <c r="C49" s="1839">
        <v>1238.71</v>
      </c>
      <c r="D49" s="1840">
        <f t="shared" si="0"/>
        <v>5.7239822678336605E-3</v>
      </c>
      <c r="F49" s="1839">
        <v>4185.47</v>
      </c>
      <c r="G49" s="1840">
        <f t="shared" si="1"/>
        <v>1.3725537686494871E-2</v>
      </c>
      <c r="H49" s="1838">
        <v>44297</v>
      </c>
      <c r="M49" s="1844">
        <f t="shared" si="2"/>
        <v>1.3725537686494871E-2</v>
      </c>
      <c r="N49" s="1823">
        <f t="shared" si="3"/>
        <v>0</v>
      </c>
      <c r="P49" s="1838">
        <v>44458</v>
      </c>
      <c r="Q49" s="1872">
        <v>47800</v>
      </c>
      <c r="R49" s="1839">
        <v>1351.17</v>
      </c>
      <c r="S49" s="1873">
        <f t="shared" si="4"/>
        <v>-5.9055118110236227E-2</v>
      </c>
      <c r="T49" s="1873">
        <f t="shared" si="4"/>
        <v>-1.0867636621717525E-3</v>
      </c>
    </row>
    <row r="50" spans="2:20" x14ac:dyDescent="0.3">
      <c r="B50" s="1838">
        <v>44290</v>
      </c>
      <c r="C50" s="1839">
        <v>1231.6600000000001</v>
      </c>
      <c r="D50" s="1840">
        <f t="shared" si="0"/>
        <v>5.8883580383028988E-3</v>
      </c>
      <c r="F50" s="1839">
        <v>4128.8</v>
      </c>
      <c r="G50" s="1840">
        <f t="shared" si="1"/>
        <v>2.7097891225338122E-2</v>
      </c>
      <c r="H50" s="1838">
        <v>44290</v>
      </c>
      <c r="M50" s="1844">
        <f t="shared" si="2"/>
        <v>2.7097891225338122E-2</v>
      </c>
      <c r="N50" s="1823">
        <f t="shared" si="3"/>
        <v>0</v>
      </c>
      <c r="P50" s="1838">
        <v>44451</v>
      </c>
      <c r="Q50" s="1872">
        <v>50800</v>
      </c>
      <c r="R50" s="1839">
        <v>1352.64</v>
      </c>
      <c r="S50" s="1873">
        <f t="shared" si="4"/>
        <v>-5.4003724394785846E-2</v>
      </c>
      <c r="T50" s="1873">
        <f t="shared" si="4"/>
        <v>5.4485583248471414E-3</v>
      </c>
    </row>
    <row r="51" spans="2:20" x14ac:dyDescent="0.3">
      <c r="B51" s="1838">
        <v>44283</v>
      </c>
      <c r="C51" s="1839">
        <v>1224.45</v>
      </c>
      <c r="D51" s="1840">
        <f t="shared" si="0"/>
        <v>5.3553144440333433E-2</v>
      </c>
      <c r="F51" s="1839">
        <v>4019.87</v>
      </c>
      <c r="G51" s="1840">
        <f t="shared" si="1"/>
        <v>1.140509341961593E-2</v>
      </c>
      <c r="H51" s="1838">
        <v>44283</v>
      </c>
      <c r="M51" s="1844">
        <f t="shared" si="2"/>
        <v>1.140509341961593E-2</v>
      </c>
      <c r="N51" s="1823">
        <f t="shared" si="3"/>
        <v>0</v>
      </c>
      <c r="P51" s="1838">
        <v>44444</v>
      </c>
      <c r="Q51" s="1872">
        <v>53700</v>
      </c>
      <c r="R51" s="1839">
        <v>1345.31</v>
      </c>
      <c r="S51" s="1873">
        <f t="shared" si="4"/>
        <v>6.9721115537848544E-2</v>
      </c>
      <c r="T51" s="1873">
        <f t="shared" si="4"/>
        <v>7.987112726182799E-3</v>
      </c>
    </row>
    <row r="52" spans="2:20" x14ac:dyDescent="0.3">
      <c r="B52" s="1838">
        <v>44276</v>
      </c>
      <c r="C52" s="1839">
        <v>1162.21</v>
      </c>
      <c r="D52" s="1840">
        <f t="shared" si="0"/>
        <v>-2.6665550018843409E-2</v>
      </c>
      <c r="F52" s="1839">
        <v>3974.54</v>
      </c>
      <c r="G52" s="1840">
        <f t="shared" si="1"/>
        <v>1.570110653957224E-2</v>
      </c>
      <c r="H52" s="1838">
        <v>44276</v>
      </c>
      <c r="M52" s="1844">
        <f t="shared" si="2"/>
        <v>1.570110653957224E-2</v>
      </c>
      <c r="N52" s="1823">
        <f t="shared" si="3"/>
        <v>0</v>
      </c>
      <c r="P52" s="1838">
        <v>44437</v>
      </c>
      <c r="Q52" s="1872">
        <v>50200</v>
      </c>
      <c r="R52" s="1839">
        <v>1334.65</v>
      </c>
      <c r="S52" s="1873">
        <f t="shared" si="4"/>
        <v>4.0000000000000036E-3</v>
      </c>
      <c r="T52" s="1873">
        <f t="shared" si="4"/>
        <v>1.6334145598537964E-2</v>
      </c>
    </row>
    <row r="53" spans="2:20" x14ac:dyDescent="0.3">
      <c r="B53" s="1838">
        <v>44269</v>
      </c>
      <c r="C53" s="1839">
        <v>1194.05</v>
      </c>
      <c r="D53" s="1840">
        <f t="shared" si="0"/>
        <v>1.0570770845323096E-2</v>
      </c>
      <c r="F53" s="1839">
        <v>3913.1</v>
      </c>
      <c r="G53" s="1840">
        <f t="shared" si="1"/>
        <v>-7.6686260885442392E-3</v>
      </c>
      <c r="H53" s="1838">
        <v>44269</v>
      </c>
      <c r="M53" s="1844">
        <f t="shared" si="2"/>
        <v>-7.6686260885442392E-3</v>
      </c>
      <c r="N53" s="1823">
        <f t="shared" si="3"/>
        <v>0</v>
      </c>
      <c r="P53" s="1838">
        <v>44430</v>
      </c>
      <c r="Q53" s="1872">
        <v>50000</v>
      </c>
      <c r="R53" s="1839">
        <v>1313.2</v>
      </c>
      <c r="S53" s="1873">
        <f t="shared" si="4"/>
        <v>4.6025104602510414E-2</v>
      </c>
      <c r="T53" s="1873">
        <f t="shared" si="4"/>
        <v>-1.2208239621491979E-2</v>
      </c>
    </row>
    <row r="54" spans="2:20" x14ac:dyDescent="0.3">
      <c r="B54" s="1838">
        <v>44262</v>
      </c>
      <c r="C54" s="1839">
        <v>1181.56</v>
      </c>
      <c r="D54" s="1840">
        <f t="shared" si="0"/>
        <v>1.1012330044750884E-2</v>
      </c>
      <c r="F54" s="1839">
        <v>3943.34</v>
      </c>
      <c r="G54" s="1840">
        <f t="shared" si="1"/>
        <v>2.6392916078856077E-2</v>
      </c>
      <c r="H54" s="1838">
        <v>44262</v>
      </c>
      <c r="M54" s="1844">
        <f t="shared" si="2"/>
        <v>2.6392916078856077E-2</v>
      </c>
      <c r="N54" s="1823">
        <f t="shared" si="3"/>
        <v>0</v>
      </c>
      <c r="P54" s="1838">
        <v>44423</v>
      </c>
      <c r="Q54" s="1872">
        <v>47800</v>
      </c>
      <c r="R54" s="1839">
        <v>1329.43</v>
      </c>
      <c r="S54" s="1873">
        <f t="shared" si="4"/>
        <v>0.12075029308323559</v>
      </c>
      <c r="T54" s="1873">
        <f t="shared" si="4"/>
        <v>-2.0352971519103868E-2</v>
      </c>
    </row>
    <row r="55" spans="2:20" x14ac:dyDescent="0.3">
      <c r="B55" s="1838">
        <v>44255</v>
      </c>
      <c r="C55" s="1839">
        <v>1168.69</v>
      </c>
      <c r="D55" s="1840">
        <f t="shared" si="0"/>
        <v>1.8828040086615871E-4</v>
      </c>
      <c r="F55" s="1839">
        <v>3841.94</v>
      </c>
      <c r="G55" s="1840">
        <f t="shared" si="1"/>
        <v>8.0789263083320684E-3</v>
      </c>
      <c r="H55" s="1838">
        <v>44255</v>
      </c>
      <c r="M55" s="1844">
        <f t="shared" si="2"/>
        <v>8.0789263083320684E-3</v>
      </c>
      <c r="N55" s="1823">
        <f t="shared" si="3"/>
        <v>0</v>
      </c>
      <c r="P55" s="1838">
        <v>44416</v>
      </c>
      <c r="Q55" s="1872">
        <v>42650</v>
      </c>
      <c r="R55" s="1839">
        <v>1357.05</v>
      </c>
      <c r="S55" s="1873">
        <f t="shared" si="4"/>
        <v>1.5476190476190421E-2</v>
      </c>
      <c r="T55" s="1873">
        <f t="shared" si="4"/>
        <v>1.1629207201162783E-2</v>
      </c>
    </row>
    <row r="56" spans="2:20" x14ac:dyDescent="0.3">
      <c r="B56" s="1838">
        <v>44248</v>
      </c>
      <c r="C56" s="1839">
        <v>1168.47</v>
      </c>
      <c r="D56" s="1840">
        <f t="shared" si="0"/>
        <v>-4.2863229654878099E-3</v>
      </c>
      <c r="F56" s="1839">
        <v>3811.15</v>
      </c>
      <c r="G56" s="1840">
        <f t="shared" si="1"/>
        <v>-2.4460479533930046E-2</v>
      </c>
      <c r="H56" s="1838">
        <v>44248</v>
      </c>
      <c r="M56" s="1844">
        <f t="shared" si="2"/>
        <v>-2.4460479533930046E-2</v>
      </c>
      <c r="N56" s="1823">
        <f t="shared" si="3"/>
        <v>0</v>
      </c>
      <c r="P56" s="1838">
        <v>44409</v>
      </c>
      <c r="Q56" s="1872">
        <v>42000</v>
      </c>
      <c r="R56" s="1839">
        <v>1341.45</v>
      </c>
      <c r="S56" s="1873">
        <f t="shared" si="4"/>
        <v>3.5842293906809264E-3</v>
      </c>
      <c r="T56" s="1873">
        <f t="shared" si="4"/>
        <v>2.3968550818671108E-2</v>
      </c>
    </row>
    <row r="57" spans="2:20" x14ac:dyDescent="0.3">
      <c r="B57" s="1838">
        <v>44241</v>
      </c>
      <c r="C57" s="1839">
        <v>1173.5</v>
      </c>
      <c r="D57" s="1840">
        <f t="shared" si="0"/>
        <v>5.2532445983155762E-2</v>
      </c>
      <c r="F57" s="1839">
        <v>3906.71</v>
      </c>
      <c r="G57" s="1840">
        <f t="shared" si="1"/>
        <v>-7.1464332639529227E-3</v>
      </c>
      <c r="H57" s="1838">
        <v>44241</v>
      </c>
      <c r="M57" s="1844">
        <f t="shared" si="2"/>
        <v>-7.1464332639529227E-3</v>
      </c>
      <c r="N57" s="1823">
        <f t="shared" si="3"/>
        <v>0</v>
      </c>
      <c r="P57" s="1838">
        <v>44402</v>
      </c>
      <c r="Q57" s="1872">
        <v>41850</v>
      </c>
      <c r="R57" s="1839">
        <v>1310.05</v>
      </c>
      <c r="S57" s="1873">
        <f t="shared" si="4"/>
        <v>1.1961722488038617E-3</v>
      </c>
      <c r="T57" s="1873">
        <f t="shared" si="4"/>
        <v>3.248662153322357E-2</v>
      </c>
    </row>
    <row r="58" spans="2:20" x14ac:dyDescent="0.3">
      <c r="B58" s="1838">
        <v>44234</v>
      </c>
      <c r="C58" s="1839">
        <v>1114.93</v>
      </c>
      <c r="D58" s="1840">
        <f t="shared" si="0"/>
        <v>-1.0630840084833726E-2</v>
      </c>
      <c r="F58" s="1839">
        <v>3934.83</v>
      </c>
      <c r="G58" s="1840">
        <f t="shared" si="1"/>
        <v>1.2349395265550678E-2</v>
      </c>
      <c r="H58" s="1838">
        <v>44234</v>
      </c>
      <c r="M58" s="1844">
        <f t="shared" si="2"/>
        <v>1.2349395265550678E-2</v>
      </c>
      <c r="N58" s="1823">
        <f t="shared" si="3"/>
        <v>0</v>
      </c>
      <c r="P58" s="1838">
        <v>44395</v>
      </c>
      <c r="Q58" s="1872">
        <v>41800</v>
      </c>
      <c r="R58" s="1839">
        <v>1268.83</v>
      </c>
      <c r="S58" s="1873">
        <f t="shared" si="4"/>
        <v>-4.761904761904745E-3</v>
      </c>
      <c r="T58" s="1873">
        <f t="shared" si="4"/>
        <v>-2.345860495185903E-2</v>
      </c>
    </row>
    <row r="59" spans="2:20" x14ac:dyDescent="0.3">
      <c r="B59" s="1838">
        <v>44227</v>
      </c>
      <c r="C59" s="1839">
        <v>1126.9100000000001</v>
      </c>
      <c r="D59" s="1840">
        <f t="shared" si="0"/>
        <v>6.6533536498802892E-2</v>
      </c>
      <c r="F59" s="1839">
        <v>3886.83</v>
      </c>
      <c r="G59" s="1840">
        <f t="shared" si="1"/>
        <v>4.6467110364435404E-2</v>
      </c>
      <c r="H59" s="1838">
        <v>44227</v>
      </c>
      <c r="M59" s="1844">
        <f t="shared" si="2"/>
        <v>4.6467110364435404E-2</v>
      </c>
      <c r="N59" s="1823">
        <f t="shared" si="3"/>
        <v>0</v>
      </c>
      <c r="P59" s="1838">
        <v>44388</v>
      </c>
      <c r="Q59" s="1872">
        <v>42000</v>
      </c>
      <c r="R59" s="1839">
        <v>1299.31</v>
      </c>
      <c r="S59" s="1873">
        <f t="shared" si="4"/>
        <v>4.7846889952152249E-3</v>
      </c>
      <c r="T59" s="1873">
        <f t="shared" si="4"/>
        <v>-3.5504847306145004E-2</v>
      </c>
    </row>
    <row r="60" spans="2:20" x14ac:dyDescent="0.3">
      <c r="B60" s="1838">
        <v>44220</v>
      </c>
      <c r="C60" s="1839">
        <v>1056.6099999999999</v>
      </c>
      <c r="D60" s="1840">
        <f t="shared" si="0"/>
        <v>-9.4422256123690929E-2</v>
      </c>
      <c r="F60" s="1839">
        <v>3714.24</v>
      </c>
      <c r="G60" s="1840">
        <f t="shared" si="1"/>
        <v>-3.3120133698818388E-2</v>
      </c>
      <c r="H60" s="1838">
        <v>44220</v>
      </c>
      <c r="M60" s="1844">
        <f t="shared" si="2"/>
        <v>-3.3120133698818388E-2</v>
      </c>
      <c r="N60" s="1823">
        <f t="shared" si="3"/>
        <v>0</v>
      </c>
      <c r="P60" s="1838">
        <v>44381</v>
      </c>
      <c r="Q60" s="1872">
        <v>41800</v>
      </c>
      <c r="R60" s="1839">
        <v>1347.14</v>
      </c>
      <c r="S60" s="1873">
        <f t="shared" si="4"/>
        <v>-3.686635944700456E-2</v>
      </c>
      <c r="T60" s="1873">
        <f t="shared" si="4"/>
        <v>-5.1490209608032189E-2</v>
      </c>
    </row>
    <row r="61" spans="2:20" x14ac:dyDescent="0.3">
      <c r="B61" s="1838">
        <v>44213</v>
      </c>
      <c r="C61" s="1839">
        <v>1166.78</v>
      </c>
      <c r="D61" s="1840">
        <f t="shared" si="0"/>
        <v>-2.2960978060626469E-2</v>
      </c>
      <c r="F61" s="1839">
        <v>3841.47</v>
      </c>
      <c r="G61" s="1840">
        <f t="shared" si="1"/>
        <v>1.9430770251442908E-2</v>
      </c>
      <c r="H61" s="1838">
        <v>44213</v>
      </c>
      <c r="M61" s="1844">
        <f t="shared" si="2"/>
        <v>1.9430770251442908E-2</v>
      </c>
      <c r="N61" s="1823">
        <f t="shared" si="3"/>
        <v>0</v>
      </c>
      <c r="P61" s="1838">
        <v>44374</v>
      </c>
      <c r="Q61" s="1872">
        <v>43400</v>
      </c>
      <c r="R61" s="1839">
        <v>1420.27</v>
      </c>
      <c r="S61" s="1873">
        <f t="shared" si="4"/>
        <v>-2.3622047244094446E-2</v>
      </c>
      <c r="T61" s="1873">
        <f t="shared" si="4"/>
        <v>2.1688775069778288E-2</v>
      </c>
    </row>
    <row r="62" spans="2:20" x14ac:dyDescent="0.3">
      <c r="B62" s="1838">
        <v>44206</v>
      </c>
      <c r="C62" s="1839">
        <v>1194.2</v>
      </c>
      <c r="D62" s="1840">
        <f t="shared" si="0"/>
        <v>2.2702943418201782E-2</v>
      </c>
      <c r="F62" s="1839">
        <v>3768.25</v>
      </c>
      <c r="G62" s="1840">
        <f t="shared" si="1"/>
        <v>-1.4754175512722623E-2</v>
      </c>
      <c r="H62" s="1838">
        <v>44206</v>
      </c>
      <c r="M62" s="1844">
        <f t="shared" si="2"/>
        <v>-1.4754175512722623E-2</v>
      </c>
      <c r="N62" s="1823">
        <f t="shared" si="3"/>
        <v>0</v>
      </c>
      <c r="P62" s="1838">
        <v>44367</v>
      </c>
      <c r="Q62" s="1872">
        <v>44450</v>
      </c>
      <c r="R62" s="1839">
        <v>1390.12</v>
      </c>
      <c r="S62" s="1873">
        <f t="shared" si="4"/>
        <v>1.2528473804100271E-2</v>
      </c>
      <c r="T62" s="1873">
        <f t="shared" si="4"/>
        <v>8.9637602792917992E-3</v>
      </c>
    </row>
    <row r="63" spans="2:20" x14ac:dyDescent="0.3">
      <c r="B63" s="1838">
        <v>44199</v>
      </c>
      <c r="C63" s="1839">
        <v>1167.69</v>
      </c>
      <c r="D63" s="1840">
        <f t="shared" si="0"/>
        <v>5.7814778914183851E-2</v>
      </c>
      <c r="F63" s="1839">
        <v>3824.68</v>
      </c>
      <c r="G63" s="1840">
        <f t="shared" si="1"/>
        <v>1.8266432734214133E-2</v>
      </c>
      <c r="H63" s="1838">
        <v>44199</v>
      </c>
      <c r="M63" s="1844">
        <f t="shared" si="2"/>
        <v>1.8266432734214133E-2</v>
      </c>
      <c r="N63" s="1823">
        <f t="shared" si="3"/>
        <v>0</v>
      </c>
      <c r="P63" s="1838">
        <v>44360</v>
      </c>
      <c r="Q63" s="1872">
        <v>43900</v>
      </c>
      <c r="R63" s="1839">
        <v>1377.77</v>
      </c>
      <c r="S63" s="1873">
        <f t="shared" si="4"/>
        <v>4.0728272722962311E-2</v>
      </c>
      <c r="T63" s="1873">
        <f t="shared" si="4"/>
        <v>1.9256661784070817E-2</v>
      </c>
    </row>
    <row r="64" spans="2:20" x14ac:dyDescent="0.3">
      <c r="B64" s="1838">
        <v>44192</v>
      </c>
      <c r="C64" s="1839">
        <v>1103.8699999999999</v>
      </c>
      <c r="D64" s="1840">
        <f t="shared" si="0"/>
        <v>1.7935855111488097E-2</v>
      </c>
      <c r="F64" s="1839">
        <v>3756.07</v>
      </c>
      <c r="G64" s="1840">
        <f t="shared" si="1"/>
        <v>1.4315187979671018E-2</v>
      </c>
      <c r="H64" s="1838">
        <v>44192</v>
      </c>
      <c r="M64" s="1844">
        <f t="shared" si="2"/>
        <v>1.4315187979671018E-2</v>
      </c>
      <c r="N64" s="1823">
        <f t="shared" si="3"/>
        <v>0</v>
      </c>
      <c r="P64" s="1838">
        <v>44353</v>
      </c>
      <c r="Q64" s="1872">
        <v>42182</v>
      </c>
      <c r="R64" s="1839">
        <v>1351.74</v>
      </c>
      <c r="S64" s="1873">
        <f t="shared" si="4"/>
        <v>6.5141139134792247E-3</v>
      </c>
      <c r="T64" s="1873">
        <f t="shared" si="4"/>
        <v>-1.6236672610167036E-2</v>
      </c>
    </row>
    <row r="65" spans="2:20" x14ac:dyDescent="0.3">
      <c r="B65" s="1838">
        <v>44185</v>
      </c>
      <c r="C65" s="1839">
        <v>1084.42</v>
      </c>
      <c r="D65" s="1840">
        <f t="shared" si="0"/>
        <v>1.5888183163772052E-2</v>
      </c>
      <c r="F65" s="1839">
        <v>3703.06</v>
      </c>
      <c r="G65" s="1840">
        <f t="shared" si="1"/>
        <v>-1.7118625333947257E-3</v>
      </c>
      <c r="H65" s="1838">
        <v>44185</v>
      </c>
      <c r="M65" s="1844">
        <f t="shared" si="2"/>
        <v>-1.7118625333947257E-3</v>
      </c>
      <c r="N65" s="1823">
        <f t="shared" si="3"/>
        <v>0</v>
      </c>
      <c r="P65" s="1838">
        <v>44346</v>
      </c>
      <c r="Q65" s="1872">
        <v>41909</v>
      </c>
      <c r="R65" s="1839">
        <v>1374.05</v>
      </c>
      <c r="S65" s="1873">
        <f t="shared" si="4"/>
        <v>4.3616842811609047E-3</v>
      </c>
      <c r="T65" s="1873">
        <f t="shared" si="4"/>
        <v>4.0584341820274705E-2</v>
      </c>
    </row>
    <row r="66" spans="2:20" x14ac:dyDescent="0.3">
      <c r="B66" s="1838">
        <v>44178</v>
      </c>
      <c r="C66" s="1839">
        <v>1067.46</v>
      </c>
      <c r="D66" s="1840">
        <f t="shared" si="0"/>
        <v>2.0555279360587431E-2</v>
      </c>
      <c r="F66" s="1839">
        <v>3709.41</v>
      </c>
      <c r="G66" s="1840">
        <f t="shared" si="1"/>
        <v>1.2542787419543178E-2</v>
      </c>
      <c r="H66" s="1838">
        <v>44178</v>
      </c>
      <c r="M66" s="1844">
        <f t="shared" si="2"/>
        <v>1.2542787419543178E-2</v>
      </c>
      <c r="N66" s="1823">
        <f t="shared" si="3"/>
        <v>0</v>
      </c>
      <c r="P66" s="1838">
        <v>44339</v>
      </c>
      <c r="Q66" s="1872">
        <v>41727</v>
      </c>
      <c r="R66" s="1839">
        <v>1320.46</v>
      </c>
      <c r="S66" s="1873">
        <f t="shared" si="4"/>
        <v>-1.1011897637229762E-3</v>
      </c>
      <c r="T66" s="1873">
        <f t="shared" si="4"/>
        <v>2.8451706868754423E-2</v>
      </c>
    </row>
    <row r="67" spans="2:20" x14ac:dyDescent="0.3">
      <c r="B67" s="1838">
        <v>44171</v>
      </c>
      <c r="C67" s="1839">
        <v>1045.96</v>
      </c>
      <c r="D67" s="1840">
        <f t="shared" si="0"/>
        <v>2.3955202694103672E-2</v>
      </c>
      <c r="F67" s="1839">
        <v>3663.46</v>
      </c>
      <c r="G67" s="1840">
        <f t="shared" si="1"/>
        <v>-9.6401306256622687E-3</v>
      </c>
      <c r="H67" s="1838">
        <v>44171</v>
      </c>
      <c r="M67" s="1844">
        <f t="shared" si="2"/>
        <v>-9.6401306256622687E-3</v>
      </c>
      <c r="N67" s="1823">
        <f t="shared" si="3"/>
        <v>0</v>
      </c>
      <c r="P67" s="1838">
        <v>44332</v>
      </c>
      <c r="Q67" s="1872">
        <v>41773</v>
      </c>
      <c r="R67" s="1839">
        <v>1283.93</v>
      </c>
      <c r="S67" s="1873">
        <f t="shared" si="4"/>
        <v>-1.0760916351810756E-3</v>
      </c>
      <c r="T67" s="1873">
        <f t="shared" si="4"/>
        <v>1.3874411699674738E-2</v>
      </c>
    </row>
    <row r="68" spans="2:20" x14ac:dyDescent="0.3">
      <c r="B68" s="1838">
        <v>44164</v>
      </c>
      <c r="C68" s="1839">
        <v>1021.49</v>
      </c>
      <c r="D68" s="1840">
        <f t="shared" si="0"/>
        <v>1.1155985824869763E-2</v>
      </c>
      <c r="F68" s="1839">
        <v>3699.12</v>
      </c>
      <c r="G68" s="1840">
        <f t="shared" si="1"/>
        <v>1.6702626190443493E-2</v>
      </c>
      <c r="H68" s="1838">
        <v>44164</v>
      </c>
      <c r="M68" s="1844">
        <f t="shared" si="2"/>
        <v>1.6702626190443493E-2</v>
      </c>
      <c r="N68" s="1823">
        <f t="shared" si="3"/>
        <v>0</v>
      </c>
      <c r="P68" s="1838">
        <v>44325</v>
      </c>
      <c r="Q68" s="1872">
        <v>41818</v>
      </c>
      <c r="R68" s="1839">
        <v>1266.3599999999999</v>
      </c>
      <c r="S68" s="1873">
        <f t="shared" si="4"/>
        <v>3.2627992898612845E-3</v>
      </c>
      <c r="T68" s="1873">
        <f t="shared" si="4"/>
        <v>1.9769529960299792E-2</v>
      </c>
    </row>
    <row r="69" spans="2:20" x14ac:dyDescent="0.3">
      <c r="B69" s="1838">
        <v>44157</v>
      </c>
      <c r="C69" s="1839">
        <v>1010.22</v>
      </c>
      <c r="D69" s="1840">
        <f t="shared" si="0"/>
        <v>2.0424242424242456E-2</v>
      </c>
      <c r="F69" s="1839">
        <v>3638.35</v>
      </c>
      <c r="G69" s="1840">
        <f t="shared" si="1"/>
        <v>2.2715134615492794E-2</v>
      </c>
      <c r="H69" s="1838">
        <v>44157</v>
      </c>
      <c r="M69" s="1844">
        <f t="shared" si="2"/>
        <v>2.2715134615492794E-2</v>
      </c>
      <c r="N69" s="1823">
        <f t="shared" si="3"/>
        <v>0</v>
      </c>
      <c r="P69" s="1838">
        <v>44318</v>
      </c>
      <c r="Q69" s="1872">
        <v>41682</v>
      </c>
      <c r="R69" s="1839">
        <v>1241.81</v>
      </c>
      <c r="S69" s="1873">
        <f t="shared" si="4"/>
        <v>-3.2521880529915448E-3</v>
      </c>
      <c r="T69" s="1873">
        <f t="shared" si="4"/>
        <v>1.9525734433873954E-3</v>
      </c>
    </row>
    <row r="70" spans="2:20" x14ac:dyDescent="0.3">
      <c r="B70" s="1838">
        <v>44150</v>
      </c>
      <c r="C70" s="1837">
        <v>990</v>
      </c>
      <c r="D70" s="1840">
        <f t="shared" si="0"/>
        <v>2.4537147233232304E-2</v>
      </c>
      <c r="F70" s="1839">
        <v>3557.54</v>
      </c>
      <c r="G70" s="1840">
        <f t="shared" si="1"/>
        <v>-7.7012119437123161E-3</v>
      </c>
      <c r="H70" s="1838">
        <v>44150</v>
      </c>
      <c r="M70" s="1844">
        <f t="shared" si="2"/>
        <v>-7.7012119437123161E-3</v>
      </c>
      <c r="N70" s="1823">
        <f t="shared" si="3"/>
        <v>0</v>
      </c>
      <c r="P70" s="1838">
        <v>44311</v>
      </c>
      <c r="Q70" s="1872">
        <v>41818</v>
      </c>
      <c r="R70" s="1839">
        <v>1239.3900000000001</v>
      </c>
      <c r="S70" s="1873">
        <f t="shared" si="4"/>
        <v>4.3712172158709706E-3</v>
      </c>
      <c r="T70" s="1873">
        <f t="shared" si="4"/>
        <v>-7.3206090362265552E-3</v>
      </c>
    </row>
    <row r="71" spans="2:20" x14ac:dyDescent="0.3">
      <c r="B71" s="1838">
        <v>44143</v>
      </c>
      <c r="C71" s="1837">
        <v>966.29</v>
      </c>
      <c r="D71" s="1840">
        <f t="shared" ref="D71:D134" si="5">C71/C72-1</f>
        <v>2.984152021230102E-2</v>
      </c>
      <c r="F71" s="1839">
        <v>3585.15</v>
      </c>
      <c r="G71" s="1840">
        <f t="shared" ref="G71:G134" si="6">F71/F72-1</f>
        <v>2.1573242454636654E-2</v>
      </c>
      <c r="H71" s="1838">
        <v>44143</v>
      </c>
      <c r="M71" s="1844">
        <f t="shared" ref="M71:M134" si="7">F71/F72-1</f>
        <v>2.1573242454636654E-2</v>
      </c>
      <c r="N71" s="1823">
        <f t="shared" ref="N71:N134" si="8">H71-B71</f>
        <v>0</v>
      </c>
      <c r="P71" s="1838">
        <v>44304</v>
      </c>
      <c r="Q71" s="1872">
        <v>41636</v>
      </c>
      <c r="R71" s="1839">
        <v>1248.53</v>
      </c>
      <c r="S71" s="1873">
        <f t="shared" si="4"/>
        <v>-6.5141139134792247E-3</v>
      </c>
      <c r="T71" s="1873">
        <f t="shared" si="4"/>
        <v>7.9276021021867926E-3</v>
      </c>
    </row>
    <row r="72" spans="2:20" x14ac:dyDescent="0.3">
      <c r="B72" s="1838">
        <v>44136</v>
      </c>
      <c r="C72" s="1837">
        <v>938.29</v>
      </c>
      <c r="D72" s="1840">
        <f t="shared" si="5"/>
        <v>1.3852420932066956E-2</v>
      </c>
      <c r="F72" s="1839">
        <v>3509.44</v>
      </c>
      <c r="G72" s="1840">
        <f t="shared" si="6"/>
        <v>7.3236369863851625E-2</v>
      </c>
      <c r="H72" s="1838">
        <v>44136</v>
      </c>
      <c r="M72" s="1844">
        <f t="shared" si="7"/>
        <v>7.3236369863851625E-2</v>
      </c>
      <c r="N72" s="1823">
        <f t="shared" si="8"/>
        <v>0</v>
      </c>
      <c r="P72" s="1838">
        <v>44297</v>
      </c>
      <c r="Q72" s="1872">
        <v>41909</v>
      </c>
      <c r="R72" s="1839">
        <v>1238.71</v>
      </c>
      <c r="S72" s="1873">
        <f t="shared" si="4"/>
        <v>-8.6106971352872819E-3</v>
      </c>
      <c r="T72" s="1873">
        <f t="shared" si="4"/>
        <v>5.7239822678336605E-3</v>
      </c>
    </row>
    <row r="73" spans="2:20" x14ac:dyDescent="0.3">
      <c r="B73" s="1838">
        <v>44129</v>
      </c>
      <c r="C73" s="1837">
        <v>925.47</v>
      </c>
      <c r="D73" s="1840">
        <f t="shared" si="5"/>
        <v>-3.7232382497971339E-2</v>
      </c>
      <c r="F73" s="1839">
        <v>3269.96</v>
      </c>
      <c r="G73" s="1840">
        <f t="shared" si="6"/>
        <v>-5.6394806933707242E-2</v>
      </c>
      <c r="H73" s="1838">
        <v>44129</v>
      </c>
      <c r="M73" s="1844">
        <f t="shared" si="7"/>
        <v>-5.6394806933707242E-2</v>
      </c>
      <c r="N73" s="1823">
        <f t="shared" si="8"/>
        <v>0</v>
      </c>
      <c r="P73" s="1838">
        <v>44290</v>
      </c>
      <c r="Q73" s="1872">
        <v>42273</v>
      </c>
      <c r="R73" s="1839">
        <v>1231.6600000000001</v>
      </c>
      <c r="S73" s="1873">
        <f t="shared" si="4"/>
        <v>1.0880482089052457E-2</v>
      </c>
      <c r="T73" s="1873">
        <f t="shared" si="4"/>
        <v>5.8883580383028988E-3</v>
      </c>
    </row>
    <row r="74" spans="2:20" x14ac:dyDescent="0.3">
      <c r="B74" s="1838">
        <v>44122</v>
      </c>
      <c r="C74" s="1837">
        <v>961.26</v>
      </c>
      <c r="D74" s="1840">
        <f t="shared" si="5"/>
        <v>1.9039542033287393E-2</v>
      </c>
      <c r="F74" s="1839">
        <v>3465.39</v>
      </c>
      <c r="G74" s="1840">
        <f t="shared" si="6"/>
        <v>-5.2873147502303652E-3</v>
      </c>
      <c r="H74" s="1838">
        <v>44122</v>
      </c>
      <c r="M74" s="1844">
        <f t="shared" si="7"/>
        <v>-5.2873147502303652E-3</v>
      </c>
      <c r="N74" s="1823">
        <f t="shared" si="8"/>
        <v>0</v>
      </c>
      <c r="P74" s="1838">
        <v>44283</v>
      </c>
      <c r="Q74" s="1872">
        <v>41818</v>
      </c>
      <c r="R74" s="1839">
        <v>1224.45</v>
      </c>
      <c r="S74" s="1873">
        <f t="shared" si="4"/>
        <v>-4.3333333333333002E-3</v>
      </c>
      <c r="T74" s="1873">
        <f t="shared" si="4"/>
        <v>5.3553144440333433E-2</v>
      </c>
    </row>
    <row r="75" spans="2:20" x14ac:dyDescent="0.3">
      <c r="B75" s="1838">
        <v>44115</v>
      </c>
      <c r="C75" s="1837">
        <v>943.3</v>
      </c>
      <c r="D75" s="1840">
        <f t="shared" si="5"/>
        <v>2.0887445887445732E-2</v>
      </c>
      <c r="F75" s="1839">
        <v>3483.81</v>
      </c>
      <c r="G75" s="1840">
        <f t="shared" si="6"/>
        <v>1.9211246056374254E-3</v>
      </c>
      <c r="H75" s="1838">
        <v>44115</v>
      </c>
      <c r="M75" s="1844">
        <f t="shared" si="7"/>
        <v>1.9211246056374254E-3</v>
      </c>
      <c r="N75" s="1823">
        <f t="shared" si="8"/>
        <v>0</v>
      </c>
      <c r="P75" s="1838">
        <v>44276</v>
      </c>
      <c r="Q75" s="1872">
        <v>42000</v>
      </c>
      <c r="R75" s="1839">
        <v>1162.21</v>
      </c>
      <c r="S75" s="1873">
        <f t="shared" si="4"/>
        <v>-2.7372516326247043E-2</v>
      </c>
      <c r="T75" s="1873">
        <f t="shared" si="4"/>
        <v>-2.6665550018843409E-2</v>
      </c>
    </row>
    <row r="76" spans="2:20" x14ac:dyDescent="0.3">
      <c r="B76" s="1838">
        <v>44108</v>
      </c>
      <c r="C76" s="1837">
        <v>924</v>
      </c>
      <c r="D76" s="1840">
        <f t="shared" si="5"/>
        <v>1.548504797177741E-2</v>
      </c>
      <c r="F76" s="1839">
        <v>3477.13</v>
      </c>
      <c r="G76" s="1840">
        <f t="shared" si="6"/>
        <v>3.8432822448662751E-2</v>
      </c>
      <c r="H76" s="1838">
        <v>44108</v>
      </c>
      <c r="M76" s="1844">
        <f t="shared" si="7"/>
        <v>3.8432822448662751E-2</v>
      </c>
      <c r="N76" s="1823">
        <f t="shared" si="8"/>
        <v>0</v>
      </c>
      <c r="P76" s="1838">
        <v>44269</v>
      </c>
      <c r="Q76" s="1872">
        <v>43182</v>
      </c>
      <c r="R76" s="1839">
        <v>1194.05</v>
      </c>
      <c r="S76" s="1873">
        <f t="shared" si="4"/>
        <v>-1.2463695199762204E-2</v>
      </c>
      <c r="T76" s="1873">
        <f t="shared" si="4"/>
        <v>1.0570770845323096E-2</v>
      </c>
    </row>
    <row r="77" spans="2:20" x14ac:dyDescent="0.3">
      <c r="B77" s="1838">
        <v>44101</v>
      </c>
      <c r="C77" s="1837">
        <v>909.91</v>
      </c>
      <c r="D77" s="1840">
        <f t="shared" si="5"/>
        <v>1.8056304843272475E-3</v>
      </c>
      <c r="F77" s="1839">
        <v>3348.44</v>
      </c>
      <c r="G77" s="1840">
        <f t="shared" si="6"/>
        <v>1.5152525724125843E-2</v>
      </c>
      <c r="H77" s="1838">
        <v>44101</v>
      </c>
      <c r="M77" s="1844">
        <f t="shared" si="7"/>
        <v>1.5152525724125843E-2</v>
      </c>
      <c r="N77" s="1823">
        <f t="shared" si="8"/>
        <v>0</v>
      </c>
      <c r="P77" s="1838">
        <v>44262</v>
      </c>
      <c r="Q77" s="1872">
        <v>43727</v>
      </c>
      <c r="R77" s="1839">
        <v>1181.56</v>
      </c>
      <c r="S77" s="1873">
        <f t="shared" si="4"/>
        <v>1.2245937311912591E-2</v>
      </c>
      <c r="T77" s="1873">
        <f t="shared" si="4"/>
        <v>1.1012330044750884E-2</v>
      </c>
    </row>
    <row r="78" spans="2:20" x14ac:dyDescent="0.3">
      <c r="B78" s="1838">
        <v>44094</v>
      </c>
      <c r="C78" s="1837">
        <v>908.27</v>
      </c>
      <c r="D78" s="1840">
        <f t="shared" si="5"/>
        <v>8.1247572007325797E-3</v>
      </c>
      <c r="F78" s="1839">
        <v>3298.46</v>
      </c>
      <c r="G78" s="1840">
        <f t="shared" si="6"/>
        <v>-6.3293236570897138E-3</v>
      </c>
      <c r="H78" s="1838">
        <v>44094</v>
      </c>
      <c r="M78" s="1844">
        <f t="shared" si="7"/>
        <v>-6.3293236570897138E-3</v>
      </c>
      <c r="N78" s="1823">
        <f t="shared" si="8"/>
        <v>0</v>
      </c>
      <c r="P78" s="1838">
        <v>44255</v>
      </c>
      <c r="Q78" s="1872">
        <v>43198</v>
      </c>
      <c r="R78" s="1839">
        <v>1168.69</v>
      </c>
      <c r="S78" s="1873">
        <f t="shared" si="4"/>
        <v>6.1489728420365264E-3</v>
      </c>
      <c r="T78" s="1873">
        <f t="shared" si="4"/>
        <v>1.8828040086615871E-4</v>
      </c>
    </row>
    <row r="79" spans="2:20" x14ac:dyDescent="0.3">
      <c r="B79" s="1838">
        <v>44087</v>
      </c>
      <c r="C79" s="1837">
        <v>900.95</v>
      </c>
      <c r="D79" s="1840">
        <f t="shared" si="5"/>
        <v>1.3476270290335934E-2</v>
      </c>
      <c r="F79" s="1839">
        <v>3319.47</v>
      </c>
      <c r="G79" s="1840">
        <f t="shared" si="6"/>
        <v>-6.4352568266102805E-3</v>
      </c>
      <c r="H79" s="1838">
        <v>44087</v>
      </c>
      <c r="M79" s="1844">
        <f t="shared" si="7"/>
        <v>-6.4352568266102805E-3</v>
      </c>
      <c r="N79" s="1823">
        <f t="shared" si="8"/>
        <v>0</v>
      </c>
      <c r="P79" s="1838">
        <v>44248</v>
      </c>
      <c r="Q79" s="1872">
        <v>42934</v>
      </c>
      <c r="R79" s="1839">
        <v>1168.47</v>
      </c>
      <c r="S79" s="1873">
        <f t="shared" si="4"/>
        <v>1.2474943992453635E-2</v>
      </c>
      <c r="T79" s="1873">
        <f t="shared" si="4"/>
        <v>-4.2863229654878099E-3</v>
      </c>
    </row>
    <row r="80" spans="2:20" x14ac:dyDescent="0.3">
      <c r="B80" s="1838">
        <v>44080</v>
      </c>
      <c r="C80" s="1837">
        <v>888.97</v>
      </c>
      <c r="D80" s="1840">
        <f t="shared" si="5"/>
        <v>-1.3942808971315723E-2</v>
      </c>
      <c r="F80" s="1839">
        <v>3340.97</v>
      </c>
      <c r="G80" s="1840">
        <f t="shared" si="6"/>
        <v>-2.5092210005369209E-2</v>
      </c>
      <c r="H80" s="1838">
        <v>44080</v>
      </c>
      <c r="M80" s="1844">
        <f t="shared" si="7"/>
        <v>-2.5092210005369209E-2</v>
      </c>
      <c r="N80" s="1823">
        <f t="shared" si="8"/>
        <v>0</v>
      </c>
      <c r="P80" s="1838">
        <v>44241</v>
      </c>
      <c r="Q80" s="1872">
        <v>42405</v>
      </c>
      <c r="R80" s="1839">
        <v>1173.5</v>
      </c>
      <c r="S80" s="1873">
        <f t="shared" si="4"/>
        <v>1.4765004307456753E-2</v>
      </c>
      <c r="T80" s="1873">
        <f t="shared" si="4"/>
        <v>5.2532445983155762E-2</v>
      </c>
    </row>
    <row r="81" spans="2:20" x14ac:dyDescent="0.3">
      <c r="B81" s="1838">
        <v>44073</v>
      </c>
      <c r="C81" s="1837">
        <v>901.54</v>
      </c>
      <c r="D81" s="1840">
        <f t="shared" si="5"/>
        <v>2.5666112994607415E-2</v>
      </c>
      <c r="F81" s="1839">
        <v>3426.96</v>
      </c>
      <c r="G81" s="1840">
        <f t="shared" si="6"/>
        <v>-2.3104267091598962E-2</v>
      </c>
      <c r="H81" s="1838">
        <v>44073</v>
      </c>
      <c r="M81" s="1844">
        <f t="shared" si="7"/>
        <v>-2.3104267091598962E-2</v>
      </c>
      <c r="N81" s="1823">
        <f t="shared" si="8"/>
        <v>0</v>
      </c>
      <c r="P81" s="1838">
        <v>44234</v>
      </c>
      <c r="Q81" s="1872">
        <v>41788</v>
      </c>
      <c r="R81" s="1839">
        <v>1114.93</v>
      </c>
      <c r="S81" s="1873">
        <f t="shared" si="4"/>
        <v>-1.0443060456084674E-2</v>
      </c>
      <c r="T81" s="1873">
        <f t="shared" si="4"/>
        <v>-1.0630840084833726E-2</v>
      </c>
    </row>
    <row r="82" spans="2:20" x14ac:dyDescent="0.3">
      <c r="B82" s="1838">
        <v>44066</v>
      </c>
      <c r="C82" s="1837">
        <v>878.98</v>
      </c>
      <c r="D82" s="1840">
        <f t="shared" si="5"/>
        <v>2.8311378366363327E-2</v>
      </c>
      <c r="F82" s="1839">
        <v>3508.01</v>
      </c>
      <c r="G82" s="1840">
        <f t="shared" si="6"/>
        <v>3.2630196988072457E-2</v>
      </c>
      <c r="H82" s="1838">
        <v>44066</v>
      </c>
      <c r="M82" s="1844">
        <f t="shared" si="7"/>
        <v>3.2630196988072457E-2</v>
      </c>
      <c r="N82" s="1823">
        <f t="shared" si="8"/>
        <v>0</v>
      </c>
      <c r="P82" s="1838">
        <v>44227</v>
      </c>
      <c r="Q82" s="1872">
        <v>42229</v>
      </c>
      <c r="R82" s="1839">
        <v>1126.9100000000001</v>
      </c>
      <c r="S82" s="1873">
        <f t="shared" si="4"/>
        <v>8.4296494412072764E-3</v>
      </c>
      <c r="T82" s="1873">
        <f t="shared" si="4"/>
        <v>6.6533536498802892E-2</v>
      </c>
    </row>
    <row r="83" spans="2:20" x14ac:dyDescent="0.3">
      <c r="B83" s="1838">
        <v>44059</v>
      </c>
      <c r="C83" s="1837">
        <v>854.78</v>
      </c>
      <c r="D83" s="1840">
        <f t="shared" si="5"/>
        <v>4.7488069210332995E-3</v>
      </c>
      <c r="F83" s="1839">
        <v>3397.16</v>
      </c>
      <c r="G83" s="1840">
        <f t="shared" si="6"/>
        <v>7.2075544420890925E-3</v>
      </c>
      <c r="H83" s="1838">
        <v>44059</v>
      </c>
      <c r="M83" s="1844">
        <f t="shared" si="7"/>
        <v>7.2075544420890925E-3</v>
      </c>
      <c r="N83" s="1823">
        <f t="shared" si="8"/>
        <v>0</v>
      </c>
      <c r="P83" s="1838">
        <v>44220</v>
      </c>
      <c r="Q83" s="1872">
        <v>41876</v>
      </c>
      <c r="R83" s="1839">
        <v>1056.6099999999999</v>
      </c>
      <c r="S83" s="1873">
        <f t="shared" si="4"/>
        <v>-2.6637534284784548E-2</v>
      </c>
      <c r="T83" s="1873">
        <f t="shared" si="4"/>
        <v>-9.4422256123690929E-2</v>
      </c>
    </row>
    <row r="84" spans="2:20" x14ac:dyDescent="0.3">
      <c r="B84" s="1838">
        <v>44052</v>
      </c>
      <c r="C84" s="1837">
        <v>850.74</v>
      </c>
      <c r="D84" s="1840">
        <f t="shared" si="5"/>
        <v>1.1028450550234048E-2</v>
      </c>
      <c r="F84" s="1839">
        <v>3372.85</v>
      </c>
      <c r="G84" s="1840">
        <f t="shared" si="6"/>
        <v>6.4363467093169202E-3</v>
      </c>
      <c r="H84" s="1838">
        <v>44052</v>
      </c>
      <c r="M84" s="1844">
        <f t="shared" si="7"/>
        <v>6.4363467093169202E-3</v>
      </c>
      <c r="N84" s="1823">
        <f t="shared" si="8"/>
        <v>0</v>
      </c>
      <c r="P84" s="1838">
        <v>44213</v>
      </c>
      <c r="Q84" s="1872">
        <v>43022</v>
      </c>
      <c r="R84" s="1839">
        <v>1166.78</v>
      </c>
      <c r="S84" s="1873">
        <f t="shared" si="4"/>
        <v>-3.1755677086849898E-2</v>
      </c>
      <c r="T84" s="1873">
        <f t="shared" si="4"/>
        <v>-2.2960978060626469E-2</v>
      </c>
    </row>
    <row r="85" spans="2:20" x14ac:dyDescent="0.3">
      <c r="B85" s="1838">
        <v>44045</v>
      </c>
      <c r="C85" s="1837">
        <v>841.46</v>
      </c>
      <c r="D85" s="1840">
        <f t="shared" si="5"/>
        <v>5.3946066458748332E-2</v>
      </c>
      <c r="F85" s="1839">
        <v>3351.28</v>
      </c>
      <c r="G85" s="1840">
        <f t="shared" si="6"/>
        <v>2.4505368191934274E-2</v>
      </c>
      <c r="H85" s="1838">
        <v>44045</v>
      </c>
      <c r="M85" s="1844">
        <f t="shared" si="7"/>
        <v>2.4505368191934274E-2</v>
      </c>
      <c r="N85" s="1823">
        <f t="shared" si="8"/>
        <v>0</v>
      </c>
      <c r="P85" s="1838">
        <v>44206</v>
      </c>
      <c r="Q85" s="1872">
        <v>44433</v>
      </c>
      <c r="R85" s="1839">
        <v>1194.2</v>
      </c>
      <c r="S85" s="1873">
        <f t="shared" si="4"/>
        <v>5.441385856668246E-2</v>
      </c>
      <c r="T85" s="1873">
        <f t="shared" si="4"/>
        <v>2.2702943418201782E-2</v>
      </c>
    </row>
    <row r="86" spans="2:20" x14ac:dyDescent="0.3">
      <c r="B86" s="1838">
        <v>44038</v>
      </c>
      <c r="C86" s="1837">
        <v>798.39</v>
      </c>
      <c r="D86" s="1840">
        <f t="shared" si="5"/>
        <v>-3.7109846109315447E-2</v>
      </c>
      <c r="F86" s="1839">
        <v>3271.12</v>
      </c>
      <c r="G86" s="1840">
        <f t="shared" si="6"/>
        <v>1.7256338571290719E-2</v>
      </c>
      <c r="H86" s="1838">
        <v>44038</v>
      </c>
      <c r="M86" s="1844">
        <f t="shared" si="7"/>
        <v>1.7256338571290719E-2</v>
      </c>
      <c r="N86" s="1823">
        <f t="shared" si="8"/>
        <v>0</v>
      </c>
      <c r="P86" s="1838">
        <v>44199</v>
      </c>
      <c r="Q86" s="1872">
        <v>42140</v>
      </c>
      <c r="R86" s="1839">
        <v>1167.69</v>
      </c>
      <c r="S86" s="1873">
        <f t="shared" si="4"/>
        <v>-2.2500579911853391E-2</v>
      </c>
      <c r="T86" s="1873">
        <f t="shared" si="4"/>
        <v>5.7814778914183851E-2</v>
      </c>
    </row>
    <row r="87" spans="2:20" x14ac:dyDescent="0.3">
      <c r="B87" s="1838">
        <v>44031</v>
      </c>
      <c r="C87" s="1837">
        <v>829.16</v>
      </c>
      <c r="D87" s="1840">
        <f t="shared" si="5"/>
        <v>-4.9150248847503519E-2</v>
      </c>
      <c r="F87" s="1839">
        <v>3215.63</v>
      </c>
      <c r="G87" s="1840">
        <f t="shared" si="6"/>
        <v>-2.8219416819392773E-3</v>
      </c>
      <c r="H87" s="1838">
        <v>44031</v>
      </c>
      <c r="M87" s="1844">
        <f t="shared" si="7"/>
        <v>-2.8219416819392773E-3</v>
      </c>
      <c r="N87" s="1823">
        <f t="shared" si="8"/>
        <v>0</v>
      </c>
      <c r="P87" s="1838">
        <v>44192</v>
      </c>
      <c r="Q87" s="1872">
        <v>43110</v>
      </c>
      <c r="R87" s="1839">
        <v>1103.8699999999999</v>
      </c>
      <c r="S87" s="1873">
        <f t="shared" si="4"/>
        <v>1.4520038594592055E-2</v>
      </c>
      <c r="T87" s="1873">
        <f t="shared" si="4"/>
        <v>1.7935855111488097E-2</v>
      </c>
    </row>
    <row r="88" spans="2:20" x14ac:dyDescent="0.3">
      <c r="B88" s="1838">
        <v>44024</v>
      </c>
      <c r="C88" s="1837">
        <v>872.02</v>
      </c>
      <c r="D88" s="1840">
        <f t="shared" si="5"/>
        <v>9.2974139415291646E-4</v>
      </c>
      <c r="F88" s="1839">
        <v>3224.73</v>
      </c>
      <c r="G88" s="1840">
        <f t="shared" si="6"/>
        <v>1.246138196066604E-2</v>
      </c>
      <c r="H88" s="1838">
        <v>44024</v>
      </c>
      <c r="M88" s="1844">
        <f t="shared" si="7"/>
        <v>1.246138196066604E-2</v>
      </c>
      <c r="N88" s="1823">
        <f t="shared" si="8"/>
        <v>0</v>
      </c>
      <c r="P88" s="1838">
        <v>44185</v>
      </c>
      <c r="Q88" s="1872">
        <v>42493</v>
      </c>
      <c r="R88" s="1839">
        <v>1084.42</v>
      </c>
      <c r="S88" s="1873">
        <f t="shared" si="4"/>
        <v>8.314853049884019E-2</v>
      </c>
      <c r="T88" s="1873">
        <f t="shared" si="4"/>
        <v>1.5888183163772052E-2</v>
      </c>
    </row>
    <row r="89" spans="2:20" x14ac:dyDescent="0.3">
      <c r="B89" s="1838">
        <v>44017</v>
      </c>
      <c r="C89" s="1837">
        <v>871.21</v>
      </c>
      <c r="D89" s="1840">
        <f t="shared" si="5"/>
        <v>2.7842993829709339E-2</v>
      </c>
      <c r="F89" s="1839">
        <v>3185.04</v>
      </c>
      <c r="G89" s="1840">
        <f t="shared" si="6"/>
        <v>1.75814134779122E-2</v>
      </c>
      <c r="H89" s="1838">
        <v>44017</v>
      </c>
      <c r="M89" s="1844">
        <f t="shared" si="7"/>
        <v>1.75814134779122E-2</v>
      </c>
      <c r="N89" s="1823">
        <f t="shared" si="8"/>
        <v>0</v>
      </c>
      <c r="P89" s="1838">
        <v>44178</v>
      </c>
      <c r="Q89" s="1872">
        <v>39231</v>
      </c>
      <c r="R89" s="1839">
        <v>1067.46</v>
      </c>
      <c r="S89" s="1873">
        <f t="shared" si="4"/>
        <v>-4.4662115867739605E-3</v>
      </c>
      <c r="T89" s="1873">
        <f t="shared" si="4"/>
        <v>2.0555279360587431E-2</v>
      </c>
    </row>
    <row r="90" spans="2:20" x14ac:dyDescent="0.3">
      <c r="B90" s="1838">
        <v>44010</v>
      </c>
      <c r="C90" s="1837">
        <v>847.61</v>
      </c>
      <c r="D90" s="1840">
        <f t="shared" si="5"/>
        <v>-5.1292283856428922E-3</v>
      </c>
      <c r="F90" s="1839">
        <v>3130.01</v>
      </c>
      <c r="G90" s="1840">
        <f t="shared" si="6"/>
        <v>4.0198733819644117E-2</v>
      </c>
      <c r="H90" s="1838">
        <v>44010</v>
      </c>
      <c r="M90" s="1844">
        <f t="shared" si="7"/>
        <v>4.0198733819644117E-2</v>
      </c>
      <c r="N90" s="1823">
        <f t="shared" si="8"/>
        <v>0</v>
      </c>
      <c r="P90" s="1838">
        <v>44171</v>
      </c>
      <c r="Q90" s="1872">
        <v>39407</v>
      </c>
      <c r="R90" s="1839">
        <v>1045.96</v>
      </c>
      <c r="S90" s="1873">
        <f t="shared" si="4"/>
        <v>-2.1891831517287574E-2</v>
      </c>
      <c r="T90" s="1873">
        <f t="shared" si="4"/>
        <v>2.3955202694103672E-2</v>
      </c>
    </row>
    <row r="91" spans="2:20" x14ac:dyDescent="0.3">
      <c r="B91" s="1838">
        <v>44003</v>
      </c>
      <c r="C91" s="1837">
        <v>851.98</v>
      </c>
      <c r="D91" s="1840">
        <f t="shared" si="5"/>
        <v>-1.9089066961407331E-2</v>
      </c>
      <c r="F91" s="1839">
        <v>3009.05</v>
      </c>
      <c r="G91" s="1840">
        <f t="shared" si="6"/>
        <v>-2.8630550013880929E-2</v>
      </c>
      <c r="H91" s="1838">
        <v>44003</v>
      </c>
      <c r="M91" s="1844">
        <f t="shared" si="7"/>
        <v>-2.8630550013880929E-2</v>
      </c>
      <c r="N91" s="1823">
        <f t="shared" si="8"/>
        <v>0</v>
      </c>
      <c r="P91" s="1838">
        <v>44164</v>
      </c>
      <c r="Q91" s="1872">
        <v>40289</v>
      </c>
      <c r="R91" s="1839">
        <v>1021.49</v>
      </c>
      <c r="S91" s="1873">
        <f t="shared" si="4"/>
        <v>3.159646652157222E-2</v>
      </c>
      <c r="T91" s="1873">
        <f t="shared" si="4"/>
        <v>1.1155985824869763E-2</v>
      </c>
    </row>
    <row r="92" spans="2:20" x14ac:dyDescent="0.3">
      <c r="B92" s="1838">
        <v>43996</v>
      </c>
      <c r="C92" s="1837">
        <v>868.56</v>
      </c>
      <c r="D92" s="1840">
        <f t="shared" si="5"/>
        <v>5.8365758754863606E-3</v>
      </c>
      <c r="F92" s="1839">
        <v>3097.74</v>
      </c>
      <c r="G92" s="1840">
        <f t="shared" si="6"/>
        <v>1.8554504473401234E-2</v>
      </c>
      <c r="H92" s="1838">
        <v>43996</v>
      </c>
      <c r="M92" s="1844">
        <f t="shared" si="7"/>
        <v>1.8554504473401234E-2</v>
      </c>
      <c r="N92" s="1823">
        <f t="shared" si="8"/>
        <v>0</v>
      </c>
      <c r="P92" s="1838">
        <v>44157</v>
      </c>
      <c r="Q92" s="1872">
        <v>39055</v>
      </c>
      <c r="R92" s="1839">
        <v>1010.22</v>
      </c>
      <c r="S92" s="1873">
        <f t="shared" si="4"/>
        <v>0</v>
      </c>
      <c r="T92" s="1873">
        <f t="shared" si="4"/>
        <v>2.0424242424242456E-2</v>
      </c>
    </row>
    <row r="93" spans="2:20" x14ac:dyDescent="0.3">
      <c r="B93" s="1838">
        <v>43989</v>
      </c>
      <c r="C93" s="1837">
        <v>863.52</v>
      </c>
      <c r="D93" s="1840">
        <f t="shared" si="5"/>
        <v>-2.5614407257791516E-2</v>
      </c>
      <c r="F93" s="1839">
        <v>3041.31</v>
      </c>
      <c r="G93" s="1840">
        <f t="shared" si="6"/>
        <v>-4.7784391016709837E-2</v>
      </c>
      <c r="H93" s="1838">
        <v>43989</v>
      </c>
      <c r="M93" s="1844">
        <f t="shared" si="7"/>
        <v>-4.7784391016709837E-2</v>
      </c>
      <c r="N93" s="1823">
        <f t="shared" si="8"/>
        <v>0</v>
      </c>
      <c r="P93" s="1838">
        <v>44150</v>
      </c>
      <c r="Q93" s="1872">
        <v>39055</v>
      </c>
      <c r="R93" s="1837">
        <v>990</v>
      </c>
      <c r="S93" s="1873">
        <f t="shared" si="4"/>
        <v>-3.0628707587678994E-2</v>
      </c>
      <c r="T93" s="1873">
        <f t="shared" si="4"/>
        <v>2.4537147233232304E-2</v>
      </c>
    </row>
    <row r="94" spans="2:20" x14ac:dyDescent="0.3">
      <c r="B94" s="1838">
        <v>43982</v>
      </c>
      <c r="C94" s="1837">
        <v>886.22</v>
      </c>
      <c r="D94" s="1840">
        <f t="shared" si="5"/>
        <v>2.5159924578065151E-2</v>
      </c>
      <c r="F94" s="1839">
        <v>3193.93</v>
      </c>
      <c r="G94" s="1840">
        <f t="shared" si="6"/>
        <v>4.9147425853477422E-2</v>
      </c>
      <c r="H94" s="1838">
        <v>43982</v>
      </c>
      <c r="M94" s="1844">
        <f t="shared" si="7"/>
        <v>4.9147425853477422E-2</v>
      </c>
      <c r="N94" s="1823">
        <f t="shared" si="8"/>
        <v>0</v>
      </c>
      <c r="P94" s="1838">
        <v>44143</v>
      </c>
      <c r="Q94" s="1872">
        <v>40289</v>
      </c>
      <c r="R94" s="1837">
        <v>966.29</v>
      </c>
      <c r="S94" s="1873">
        <f t="shared" si="4"/>
        <v>1.5552530752167781E-2</v>
      </c>
      <c r="T94" s="1873">
        <f t="shared" si="4"/>
        <v>2.984152021230102E-2</v>
      </c>
    </row>
    <row r="95" spans="2:20" x14ac:dyDescent="0.3">
      <c r="B95" s="1838">
        <v>43975</v>
      </c>
      <c r="C95" s="1837">
        <v>864.47</v>
      </c>
      <c r="D95" s="1840">
        <f t="shared" si="5"/>
        <v>1.3755658231113799E-2</v>
      </c>
      <c r="F95" s="1839">
        <v>3044.31</v>
      </c>
      <c r="G95" s="1840">
        <f t="shared" si="6"/>
        <v>3.0066487336953829E-2</v>
      </c>
      <c r="H95" s="1838">
        <v>43975</v>
      </c>
      <c r="M95" s="1844">
        <f t="shared" si="7"/>
        <v>3.0066487336953829E-2</v>
      </c>
      <c r="N95" s="1823">
        <f t="shared" si="8"/>
        <v>0</v>
      </c>
      <c r="P95" s="1838">
        <v>44136</v>
      </c>
      <c r="Q95" s="1872">
        <v>39672</v>
      </c>
      <c r="R95" s="1837">
        <v>938.29</v>
      </c>
      <c r="S95" s="1873">
        <f t="shared" ref="S95:T158" si="9">Q95/Q96-1</f>
        <v>3.3383915022762167E-3</v>
      </c>
      <c r="T95" s="1873">
        <f t="shared" si="9"/>
        <v>1.3852420932066956E-2</v>
      </c>
    </row>
    <row r="96" spans="2:20" x14ac:dyDescent="0.3">
      <c r="B96" s="1838">
        <v>43968</v>
      </c>
      <c r="C96" s="1837">
        <v>852.74</v>
      </c>
      <c r="D96" s="1840">
        <f t="shared" si="5"/>
        <v>3.108714315079264E-2</v>
      </c>
      <c r="F96" s="1839">
        <v>2955.45</v>
      </c>
      <c r="G96" s="1840">
        <f t="shared" si="6"/>
        <v>3.2038970562558999E-2</v>
      </c>
      <c r="H96" s="1838">
        <v>43968</v>
      </c>
      <c r="M96" s="1844">
        <f t="shared" si="7"/>
        <v>3.2038970562558999E-2</v>
      </c>
      <c r="N96" s="1823">
        <f t="shared" si="8"/>
        <v>0</v>
      </c>
      <c r="P96" s="1838">
        <v>44129</v>
      </c>
      <c r="Q96" s="1872">
        <v>39540</v>
      </c>
      <c r="R96" s="1837">
        <v>925.47</v>
      </c>
      <c r="S96" s="1873">
        <f t="shared" si="9"/>
        <v>-3.1309716301631596E-2</v>
      </c>
      <c r="T96" s="1873">
        <f t="shared" si="9"/>
        <v>-3.7232382497971339E-2</v>
      </c>
    </row>
    <row r="97" spans="2:20" x14ac:dyDescent="0.3">
      <c r="B97" s="1838">
        <v>43961</v>
      </c>
      <c r="C97" s="1837">
        <v>827.03</v>
      </c>
      <c r="D97" s="1840">
        <f t="shared" si="5"/>
        <v>1.6344487729345047E-2</v>
      </c>
      <c r="F97" s="1839">
        <v>2863.7</v>
      </c>
      <c r="G97" s="1840">
        <f t="shared" si="6"/>
        <v>-2.2561266980681394E-2</v>
      </c>
      <c r="H97" s="1838">
        <v>43961</v>
      </c>
      <c r="M97" s="1844">
        <f t="shared" si="7"/>
        <v>-2.2561266980681394E-2</v>
      </c>
      <c r="N97" s="1823">
        <f t="shared" si="8"/>
        <v>0</v>
      </c>
      <c r="P97" s="1838">
        <v>44122</v>
      </c>
      <c r="Q97" s="1872">
        <v>40818</v>
      </c>
      <c r="R97" s="1837">
        <v>961.26</v>
      </c>
      <c r="S97" s="1873">
        <f t="shared" si="9"/>
        <v>2.1605696047140022E-3</v>
      </c>
      <c r="T97" s="1873">
        <f t="shared" si="9"/>
        <v>1.9039542033287393E-2</v>
      </c>
    </row>
    <row r="98" spans="2:20" x14ac:dyDescent="0.3">
      <c r="B98" s="1838">
        <v>43954</v>
      </c>
      <c r="C98" s="1837">
        <v>813.73</v>
      </c>
      <c r="D98" s="1840">
        <f t="shared" si="5"/>
        <v>5.8015108372014401E-2</v>
      </c>
      <c r="F98" s="1839">
        <v>2929.8</v>
      </c>
      <c r="G98" s="1840">
        <f t="shared" si="6"/>
        <v>3.5005352014159108E-2</v>
      </c>
      <c r="H98" s="1838">
        <v>43954</v>
      </c>
      <c r="M98" s="1844">
        <f t="shared" si="7"/>
        <v>3.5005352014159108E-2</v>
      </c>
      <c r="N98" s="1823">
        <f t="shared" si="8"/>
        <v>0</v>
      </c>
      <c r="P98" s="1838">
        <v>44115</v>
      </c>
      <c r="Q98" s="1872">
        <v>40730</v>
      </c>
      <c r="R98" s="1837">
        <v>943.3</v>
      </c>
      <c r="S98" s="1873">
        <f t="shared" si="9"/>
        <v>-1.0711423089067584E-2</v>
      </c>
      <c r="T98" s="1873">
        <f t="shared" si="9"/>
        <v>2.0887445887445732E-2</v>
      </c>
    </row>
    <row r="99" spans="2:20" x14ac:dyDescent="0.3">
      <c r="B99" s="1838">
        <v>43947</v>
      </c>
      <c r="C99" s="1837">
        <v>769.11</v>
      </c>
      <c r="D99" s="1840">
        <f t="shared" si="5"/>
        <v>-9.7211134859526149E-3</v>
      </c>
      <c r="F99" s="1839">
        <v>2830.71</v>
      </c>
      <c r="G99" s="1840">
        <f t="shared" si="6"/>
        <v>-2.1256794771462584E-3</v>
      </c>
      <c r="H99" s="1838">
        <v>43947</v>
      </c>
      <c r="M99" s="1844">
        <f t="shared" si="7"/>
        <v>-2.1256794771462584E-3</v>
      </c>
      <c r="N99" s="1823">
        <f t="shared" si="8"/>
        <v>0</v>
      </c>
      <c r="P99" s="1838">
        <v>44108</v>
      </c>
      <c r="Q99" s="1872">
        <v>41171</v>
      </c>
      <c r="R99" s="1837">
        <v>924</v>
      </c>
      <c r="S99" s="1873">
        <f t="shared" si="9"/>
        <v>-6.3714251236877129E-3</v>
      </c>
      <c r="T99" s="1873">
        <f t="shared" si="9"/>
        <v>1.548504797177741E-2</v>
      </c>
    </row>
    <row r="100" spans="2:20" x14ac:dyDescent="0.3">
      <c r="B100" s="1838">
        <v>43940</v>
      </c>
      <c r="C100" s="1837">
        <v>776.66</v>
      </c>
      <c r="D100" s="1840">
        <f t="shared" si="5"/>
        <v>-1.6388044579534022E-2</v>
      </c>
      <c r="F100" s="1839">
        <v>2836.74</v>
      </c>
      <c r="G100" s="1840">
        <f t="shared" si="6"/>
        <v>-1.3156796170544438E-2</v>
      </c>
      <c r="H100" s="1838">
        <v>43940</v>
      </c>
      <c r="M100" s="1844">
        <f t="shared" si="7"/>
        <v>-1.3156796170544438E-2</v>
      </c>
      <c r="N100" s="1823">
        <f t="shared" si="8"/>
        <v>0</v>
      </c>
      <c r="P100" s="1838">
        <v>44101</v>
      </c>
      <c r="Q100" s="1872">
        <v>41435</v>
      </c>
      <c r="R100" s="1837">
        <v>909.91</v>
      </c>
      <c r="S100" s="1873">
        <f t="shared" si="9"/>
        <v>-1.0531091794822811E-2</v>
      </c>
      <c r="T100" s="1873">
        <f t="shared" si="9"/>
        <v>1.8056304843272475E-3</v>
      </c>
    </row>
    <row r="101" spans="2:20" x14ac:dyDescent="0.3">
      <c r="B101" s="1838">
        <v>43933</v>
      </c>
      <c r="C101" s="1837">
        <v>789.6</v>
      </c>
      <c r="D101" s="1840">
        <f t="shared" si="5"/>
        <v>4.1771116447212098E-2</v>
      </c>
      <c r="F101" s="1839">
        <v>2874.56</v>
      </c>
      <c r="G101" s="1840">
        <f t="shared" si="6"/>
        <v>3.0374719515954274E-2</v>
      </c>
      <c r="H101" s="1838">
        <v>43933</v>
      </c>
      <c r="M101" s="1844">
        <f t="shared" si="7"/>
        <v>3.0374719515954274E-2</v>
      </c>
      <c r="N101" s="1823">
        <f t="shared" si="8"/>
        <v>0</v>
      </c>
      <c r="P101" s="1838">
        <v>44094</v>
      </c>
      <c r="Q101" s="1872">
        <v>41876</v>
      </c>
      <c r="R101" s="1837">
        <v>908.27</v>
      </c>
      <c r="S101" s="1873">
        <f t="shared" si="9"/>
        <v>5.555555555555558E-2</v>
      </c>
      <c r="T101" s="1873">
        <f t="shared" si="9"/>
        <v>8.1247572007325797E-3</v>
      </c>
    </row>
    <row r="102" spans="2:20" x14ac:dyDescent="0.3">
      <c r="B102" s="1838">
        <v>43926</v>
      </c>
      <c r="C102" s="1837">
        <v>757.94</v>
      </c>
      <c r="D102" s="1840">
        <f t="shared" si="5"/>
        <v>7.9994300370476168E-2</v>
      </c>
      <c r="F102" s="1839">
        <v>2789.82</v>
      </c>
      <c r="G102" s="1840">
        <f t="shared" si="6"/>
        <v>0.12101741908263519</v>
      </c>
      <c r="H102" s="1838">
        <v>43926</v>
      </c>
      <c r="M102" s="1844">
        <f t="shared" si="7"/>
        <v>0.12101741908263519</v>
      </c>
      <c r="N102" s="1823">
        <f t="shared" si="8"/>
        <v>0</v>
      </c>
      <c r="P102" s="1838">
        <v>44087</v>
      </c>
      <c r="Q102" s="1872">
        <v>39672</v>
      </c>
      <c r="R102" s="1837">
        <v>900.95</v>
      </c>
      <c r="S102" s="1873">
        <f t="shared" si="9"/>
        <v>-1.9597182750525133E-2</v>
      </c>
      <c r="T102" s="1873">
        <f t="shared" si="9"/>
        <v>1.3476270290335934E-2</v>
      </c>
    </row>
    <row r="103" spans="2:20" x14ac:dyDescent="0.3">
      <c r="B103" s="1838">
        <v>43919</v>
      </c>
      <c r="C103" s="1837">
        <v>701.8</v>
      </c>
      <c r="D103" s="1840">
        <f t="shared" si="5"/>
        <v>8.2464155388903837E-3</v>
      </c>
      <c r="F103" s="1839">
        <v>2488.65</v>
      </c>
      <c r="G103" s="1840">
        <f t="shared" si="6"/>
        <v>-2.0783247490625434E-2</v>
      </c>
      <c r="H103" s="1838">
        <v>43919</v>
      </c>
      <c r="M103" s="1844">
        <f t="shared" si="7"/>
        <v>-2.0783247490625434E-2</v>
      </c>
      <c r="N103" s="1823">
        <f t="shared" si="8"/>
        <v>0</v>
      </c>
      <c r="P103" s="1838">
        <v>44080</v>
      </c>
      <c r="Q103" s="1872">
        <v>40465</v>
      </c>
      <c r="R103" s="1837">
        <v>888.97</v>
      </c>
      <c r="S103" s="1873">
        <f t="shared" si="9"/>
        <v>-2.1946047245647859E-3</v>
      </c>
      <c r="T103" s="1873">
        <f t="shared" si="9"/>
        <v>-1.3942808971315723E-2</v>
      </c>
    </row>
    <row r="104" spans="2:20" x14ac:dyDescent="0.3">
      <c r="B104" s="1838">
        <v>43912</v>
      </c>
      <c r="C104" s="1837">
        <v>696.06</v>
      </c>
      <c r="D104" s="1840">
        <f t="shared" si="5"/>
        <v>-1.9260845673707006E-2</v>
      </c>
      <c r="F104" s="1839">
        <v>2541.4699999999998</v>
      </c>
      <c r="G104" s="1840">
        <f t="shared" si="6"/>
        <v>0.10262829078666491</v>
      </c>
      <c r="H104" s="1838">
        <v>43912</v>
      </c>
      <c r="M104" s="1844">
        <f t="shared" si="7"/>
        <v>0.10262829078666491</v>
      </c>
      <c r="N104" s="1823">
        <f t="shared" si="8"/>
        <v>0</v>
      </c>
      <c r="P104" s="1838">
        <v>44073</v>
      </c>
      <c r="Q104" s="1872">
        <v>40554</v>
      </c>
      <c r="R104" s="1837">
        <v>901.54</v>
      </c>
      <c r="S104" s="1873">
        <f t="shared" si="9"/>
        <v>-4.3211392094278933E-3</v>
      </c>
      <c r="T104" s="1873">
        <f t="shared" si="9"/>
        <v>2.5666112994607415E-2</v>
      </c>
    </row>
    <row r="105" spans="2:20" x14ac:dyDescent="0.3">
      <c r="B105" s="1838">
        <v>43905</v>
      </c>
      <c r="C105" s="1837">
        <v>709.73</v>
      </c>
      <c r="D105" s="1840">
        <f t="shared" si="5"/>
        <v>-6.8326813515713125E-2</v>
      </c>
      <c r="F105" s="1839">
        <v>2304.92</v>
      </c>
      <c r="G105" s="1840">
        <f t="shared" si="6"/>
        <v>-0.14979601773502216</v>
      </c>
      <c r="H105" s="1838">
        <v>43905</v>
      </c>
      <c r="M105" s="1844">
        <f t="shared" si="7"/>
        <v>-0.14979601773502216</v>
      </c>
      <c r="N105" s="1823">
        <f t="shared" si="8"/>
        <v>0</v>
      </c>
      <c r="P105" s="1838">
        <v>44066</v>
      </c>
      <c r="Q105" s="1872">
        <v>40730</v>
      </c>
      <c r="R105" s="1837">
        <v>878.98</v>
      </c>
      <c r="S105" s="1873">
        <f t="shared" si="9"/>
        <v>-4.3025473035740447E-3</v>
      </c>
      <c r="T105" s="1873">
        <f t="shared" si="9"/>
        <v>2.8311378366363327E-2</v>
      </c>
    </row>
    <row r="106" spans="2:20" x14ac:dyDescent="0.3">
      <c r="B106" s="1838">
        <v>43898</v>
      </c>
      <c r="C106" s="1837">
        <v>761.78</v>
      </c>
      <c r="D106" s="1840">
        <f t="shared" si="5"/>
        <v>-0.14545005833258551</v>
      </c>
      <c r="F106" s="1839">
        <v>2711.02</v>
      </c>
      <c r="G106" s="1840">
        <f t="shared" si="6"/>
        <v>-8.7926469450303912E-2</v>
      </c>
      <c r="H106" s="1838">
        <v>43898</v>
      </c>
      <c r="M106" s="1844">
        <f t="shared" si="7"/>
        <v>-8.7926469450303912E-2</v>
      </c>
      <c r="N106" s="1823">
        <f t="shared" si="8"/>
        <v>0</v>
      </c>
      <c r="P106" s="1838">
        <v>44059</v>
      </c>
      <c r="Q106" s="1872">
        <v>40906</v>
      </c>
      <c r="R106" s="1837">
        <v>854.78</v>
      </c>
      <c r="S106" s="1873">
        <f t="shared" si="9"/>
        <v>4.3211392094280043E-3</v>
      </c>
      <c r="T106" s="1873">
        <f t="shared" si="9"/>
        <v>4.7488069210332995E-3</v>
      </c>
    </row>
    <row r="107" spans="2:20" x14ac:dyDescent="0.3">
      <c r="B107" s="1838">
        <v>43891</v>
      </c>
      <c r="C107" s="1837">
        <v>891.44</v>
      </c>
      <c r="D107" s="1840">
        <f t="shared" si="5"/>
        <v>1.0485269613121906E-2</v>
      </c>
      <c r="F107" s="1839">
        <v>2972.37</v>
      </c>
      <c r="G107" s="1840">
        <f t="shared" si="6"/>
        <v>6.1437536811748128E-3</v>
      </c>
      <c r="H107" s="1838">
        <v>43891</v>
      </c>
      <c r="M107" s="1844">
        <f t="shared" si="7"/>
        <v>6.1437536811748128E-3</v>
      </c>
      <c r="N107" s="1823">
        <f t="shared" si="8"/>
        <v>0</v>
      </c>
      <c r="P107" s="1838">
        <v>44052</v>
      </c>
      <c r="Q107" s="1872">
        <v>40730</v>
      </c>
      <c r="R107" s="1837">
        <v>850.74</v>
      </c>
      <c r="S107" s="1873">
        <f t="shared" si="9"/>
        <v>-1.0791190464511935E-3</v>
      </c>
      <c r="T107" s="1873">
        <f t="shared" si="9"/>
        <v>1.1028450550234048E-2</v>
      </c>
    </row>
    <row r="108" spans="2:20" x14ac:dyDescent="0.3">
      <c r="B108" s="1838">
        <v>43884</v>
      </c>
      <c r="C108" s="1837">
        <v>882.19</v>
      </c>
      <c r="D108" s="1840">
        <f t="shared" si="5"/>
        <v>-5.4549936233375118E-2</v>
      </c>
      <c r="F108" s="1839">
        <v>2954.22</v>
      </c>
      <c r="G108" s="1840">
        <f t="shared" si="6"/>
        <v>-0.11490674855816052</v>
      </c>
      <c r="H108" s="1838">
        <v>43884</v>
      </c>
      <c r="M108" s="1844">
        <f t="shared" si="7"/>
        <v>-0.11490674855816052</v>
      </c>
      <c r="N108" s="1823">
        <f t="shared" si="8"/>
        <v>0</v>
      </c>
      <c r="P108" s="1838">
        <v>44045</v>
      </c>
      <c r="Q108" s="1872">
        <v>40774</v>
      </c>
      <c r="R108" s="1837">
        <v>841.46</v>
      </c>
      <c r="S108" s="1873">
        <f t="shared" si="9"/>
        <v>-1.1755011027896889E-2</v>
      </c>
      <c r="T108" s="1873">
        <f t="shared" si="9"/>
        <v>5.3946066458748332E-2</v>
      </c>
    </row>
    <row r="109" spans="2:20" x14ac:dyDescent="0.3">
      <c r="B109" s="1838">
        <v>43877</v>
      </c>
      <c r="C109" s="1837">
        <v>933.09</v>
      </c>
      <c r="D109" s="1840">
        <f t="shared" si="5"/>
        <v>-4.6509147154515373E-3</v>
      </c>
      <c r="F109" s="1839">
        <v>3337.75</v>
      </c>
      <c r="G109" s="1840">
        <f t="shared" si="6"/>
        <v>-1.2546743349427181E-2</v>
      </c>
      <c r="H109" s="1838">
        <v>43877</v>
      </c>
      <c r="M109" s="1844">
        <f t="shared" si="7"/>
        <v>-1.2546743349427181E-2</v>
      </c>
      <c r="N109" s="1823">
        <f t="shared" si="8"/>
        <v>0</v>
      </c>
      <c r="P109" s="1838">
        <v>44038</v>
      </c>
      <c r="Q109" s="1872">
        <v>41259</v>
      </c>
      <c r="R109" s="1837">
        <v>798.39</v>
      </c>
      <c r="S109" s="1873">
        <f t="shared" si="9"/>
        <v>-2.1283285365322202E-3</v>
      </c>
      <c r="T109" s="1873">
        <f t="shared" si="9"/>
        <v>-3.7109846109315447E-2</v>
      </c>
    </row>
    <row r="110" spans="2:20" x14ac:dyDescent="0.3">
      <c r="B110" s="1838">
        <v>43870</v>
      </c>
      <c r="C110" s="1837">
        <v>937.45</v>
      </c>
      <c r="D110" s="1840">
        <f t="shared" si="5"/>
        <v>-3.5078394897687382E-3</v>
      </c>
      <c r="F110" s="1839">
        <v>3380.16</v>
      </c>
      <c r="G110" s="1840">
        <f t="shared" si="6"/>
        <v>1.5761589801995823E-2</v>
      </c>
      <c r="H110" s="1838">
        <v>43870</v>
      </c>
      <c r="M110" s="1844">
        <f t="shared" si="7"/>
        <v>1.5761589801995823E-2</v>
      </c>
      <c r="N110" s="1823">
        <f t="shared" si="8"/>
        <v>0</v>
      </c>
      <c r="P110" s="1838">
        <v>44031</v>
      </c>
      <c r="Q110" s="1872">
        <v>41347</v>
      </c>
      <c r="R110" s="1837">
        <v>829.16</v>
      </c>
      <c r="S110" s="1873">
        <f t="shared" si="9"/>
        <v>-8.4652278177458351E-3</v>
      </c>
      <c r="T110" s="1873">
        <f t="shared" si="9"/>
        <v>-4.9150248847503519E-2</v>
      </c>
    </row>
    <row r="111" spans="2:20" x14ac:dyDescent="0.3">
      <c r="B111" s="1838">
        <v>43863</v>
      </c>
      <c r="C111" s="1837">
        <v>940.75</v>
      </c>
      <c r="D111" s="1840">
        <f t="shared" si="5"/>
        <v>4.4094723580534456E-3</v>
      </c>
      <c r="F111" s="1839">
        <v>3327.71</v>
      </c>
      <c r="G111" s="1840">
        <f t="shared" si="6"/>
        <v>3.1681713336144224E-2</v>
      </c>
      <c r="H111" s="1838">
        <v>43863</v>
      </c>
      <c r="M111" s="1844">
        <f t="shared" si="7"/>
        <v>3.1681713336144224E-2</v>
      </c>
      <c r="N111" s="1823">
        <f t="shared" si="8"/>
        <v>0</v>
      </c>
      <c r="P111" s="1838">
        <v>44024</v>
      </c>
      <c r="Q111" s="1872">
        <v>41700</v>
      </c>
      <c r="R111" s="1837">
        <v>872.02</v>
      </c>
      <c r="S111" s="1873">
        <f t="shared" si="9"/>
        <v>1.0562704052237137E-3</v>
      </c>
      <c r="T111" s="1873">
        <f t="shared" si="9"/>
        <v>9.2974139415291646E-4</v>
      </c>
    </row>
    <row r="112" spans="2:20" x14ac:dyDescent="0.3">
      <c r="B112" s="1838">
        <v>43856</v>
      </c>
      <c r="C112" s="1837">
        <v>936.62</v>
      </c>
      <c r="D112" s="1840">
        <f t="shared" si="5"/>
        <v>-5.5312367619470337E-2</v>
      </c>
      <c r="F112" s="1839">
        <v>3225.52</v>
      </c>
      <c r="G112" s="1840">
        <f t="shared" si="6"/>
        <v>-2.1226107353427559E-2</v>
      </c>
      <c r="H112" s="1838">
        <v>43856</v>
      </c>
      <c r="M112" s="1844">
        <f t="shared" si="7"/>
        <v>-2.1226107353427559E-2</v>
      </c>
      <c r="N112" s="1823">
        <f t="shared" si="8"/>
        <v>0</v>
      </c>
      <c r="P112" s="1838">
        <v>44017</v>
      </c>
      <c r="Q112" s="1872">
        <v>41656</v>
      </c>
      <c r="R112" s="1837">
        <v>871.21</v>
      </c>
      <c r="S112" s="1873">
        <f t="shared" si="9"/>
        <v>-1.5620199919654021E-2</v>
      </c>
      <c r="T112" s="1873">
        <f t="shared" si="9"/>
        <v>2.7842993829709339E-2</v>
      </c>
    </row>
    <row r="113" spans="2:20" x14ac:dyDescent="0.3">
      <c r="B113" s="1838">
        <v>43849</v>
      </c>
      <c r="C113" s="1837">
        <v>991.46</v>
      </c>
      <c r="D113" s="1840">
        <f t="shared" si="5"/>
        <v>1.2768652447495255E-2</v>
      </c>
      <c r="F113" s="1839">
        <v>3295.47</v>
      </c>
      <c r="G113" s="1840">
        <f t="shared" si="6"/>
        <v>-1.0256425658183299E-2</v>
      </c>
      <c r="H113" s="1838">
        <v>43849</v>
      </c>
      <c r="M113" s="1844">
        <f t="shared" si="7"/>
        <v>-1.0256425658183299E-2</v>
      </c>
      <c r="N113" s="1823">
        <f t="shared" si="8"/>
        <v>0</v>
      </c>
      <c r="P113" s="1838">
        <v>44010</v>
      </c>
      <c r="Q113" s="1872">
        <v>42317</v>
      </c>
      <c r="R113" s="1837">
        <v>847.61</v>
      </c>
      <c r="S113" s="1873">
        <f t="shared" si="9"/>
        <v>2.2372013239593258E-2</v>
      </c>
      <c r="T113" s="1873">
        <f t="shared" si="9"/>
        <v>-5.1292283856428922E-3</v>
      </c>
    </row>
    <row r="114" spans="2:20" x14ac:dyDescent="0.3">
      <c r="B114" s="1838">
        <v>43842</v>
      </c>
      <c r="C114" s="1837">
        <v>978.96</v>
      </c>
      <c r="D114" s="1840">
        <f t="shared" si="5"/>
        <v>1.0758461189006141E-2</v>
      </c>
      <c r="F114" s="1839">
        <v>3329.62</v>
      </c>
      <c r="G114" s="1840">
        <f t="shared" si="6"/>
        <v>1.9682423017440609E-2</v>
      </c>
      <c r="H114" s="1838">
        <v>43842</v>
      </c>
      <c r="M114" s="1844">
        <f t="shared" si="7"/>
        <v>1.9682423017440609E-2</v>
      </c>
      <c r="N114" s="1823">
        <f t="shared" si="8"/>
        <v>0</v>
      </c>
      <c r="P114" s="1838">
        <v>44003</v>
      </c>
      <c r="Q114" s="1872">
        <v>41391</v>
      </c>
      <c r="R114" s="1837">
        <v>851.98</v>
      </c>
      <c r="S114" s="1873">
        <f t="shared" si="9"/>
        <v>-1.0542168674698815E-2</v>
      </c>
      <c r="T114" s="1873">
        <f t="shared" si="9"/>
        <v>-1.9089066961407331E-2</v>
      </c>
    </row>
    <row r="115" spans="2:20" x14ac:dyDescent="0.3">
      <c r="B115" s="1838">
        <v>43835</v>
      </c>
      <c r="C115" s="1837">
        <v>968.54</v>
      </c>
      <c r="D115" s="1840">
        <f t="shared" si="5"/>
        <v>3.5228049816606877E-3</v>
      </c>
      <c r="F115" s="1839">
        <v>3265.35</v>
      </c>
      <c r="G115" s="1840">
        <f t="shared" si="6"/>
        <v>9.4285670123808174E-3</v>
      </c>
      <c r="H115" s="1838">
        <v>43835</v>
      </c>
      <c r="M115" s="1844">
        <f t="shared" si="7"/>
        <v>9.4285670123808174E-3</v>
      </c>
      <c r="N115" s="1823">
        <f t="shared" si="8"/>
        <v>0</v>
      </c>
      <c r="P115" s="1838">
        <v>43996</v>
      </c>
      <c r="Q115" s="1872">
        <v>41832</v>
      </c>
      <c r="R115" s="1837">
        <v>868.56</v>
      </c>
      <c r="S115" s="1873">
        <f t="shared" si="9"/>
        <v>-7.3089700996677998E-3</v>
      </c>
      <c r="T115" s="1873">
        <f t="shared" si="9"/>
        <v>5.8365758754863606E-3</v>
      </c>
    </row>
    <row r="116" spans="2:20" x14ac:dyDescent="0.3">
      <c r="B116" s="1838">
        <v>43828</v>
      </c>
      <c r="C116" s="1837">
        <v>965.14</v>
      </c>
      <c r="D116" s="1840">
        <f t="shared" si="5"/>
        <v>1.6917312741953072E-3</v>
      </c>
      <c r="F116" s="1839">
        <v>3234.85</v>
      </c>
      <c r="G116" s="1840">
        <f t="shared" si="6"/>
        <v>-1.5956691625360619E-3</v>
      </c>
      <c r="H116" s="1838">
        <v>43828</v>
      </c>
      <c r="M116" s="1844">
        <f t="shared" si="7"/>
        <v>-1.5956691625360619E-3</v>
      </c>
      <c r="N116" s="1823">
        <f t="shared" si="8"/>
        <v>0</v>
      </c>
      <c r="P116" s="1838">
        <v>43989</v>
      </c>
      <c r="Q116" s="1872">
        <v>42140</v>
      </c>
      <c r="R116" s="1837">
        <v>863.52</v>
      </c>
      <c r="S116" s="1873">
        <f t="shared" si="9"/>
        <v>-2.4491874623825183E-2</v>
      </c>
      <c r="T116" s="1873">
        <f t="shared" si="9"/>
        <v>-2.5614407257791516E-2</v>
      </c>
    </row>
    <row r="117" spans="2:20" x14ac:dyDescent="0.3">
      <c r="B117" s="1838">
        <v>43821</v>
      </c>
      <c r="C117" s="1837">
        <v>963.51</v>
      </c>
      <c r="D117" s="1840">
        <f t="shared" si="5"/>
        <v>7.4235944835374656E-3</v>
      </c>
      <c r="F117" s="1839">
        <v>3240.02</v>
      </c>
      <c r="G117" s="1840">
        <f t="shared" si="6"/>
        <v>5.836298048565558E-3</v>
      </c>
      <c r="H117" s="1838">
        <v>43821</v>
      </c>
      <c r="M117" s="1844">
        <f t="shared" si="7"/>
        <v>5.836298048565558E-3</v>
      </c>
      <c r="N117" s="1823">
        <f t="shared" si="8"/>
        <v>0</v>
      </c>
      <c r="P117" s="1838">
        <v>43982</v>
      </c>
      <c r="Q117" s="1872">
        <v>43198</v>
      </c>
      <c r="R117" s="1837">
        <v>886.22</v>
      </c>
      <c r="S117" s="1873">
        <f t="shared" si="9"/>
        <v>-1.4081935410247604E-2</v>
      </c>
      <c r="T117" s="1873">
        <f t="shared" si="9"/>
        <v>2.5159924578065151E-2</v>
      </c>
    </row>
    <row r="118" spans="2:20" x14ac:dyDescent="0.3">
      <c r="B118" s="1838">
        <v>43814</v>
      </c>
      <c r="C118" s="1837">
        <v>956.41</v>
      </c>
      <c r="D118" s="1840">
        <f t="shared" si="5"/>
        <v>-1.0111987414353374E-2</v>
      </c>
      <c r="F118" s="1839">
        <v>3221.22</v>
      </c>
      <c r="G118" s="1840">
        <f t="shared" si="6"/>
        <v>1.6542539762686159E-2</v>
      </c>
      <c r="H118" s="1838">
        <v>43814</v>
      </c>
      <c r="M118" s="1844">
        <f t="shared" si="7"/>
        <v>1.6542539762686159E-2</v>
      </c>
      <c r="N118" s="1823">
        <f t="shared" si="8"/>
        <v>0</v>
      </c>
      <c r="P118" s="1838">
        <v>43975</v>
      </c>
      <c r="Q118" s="1872">
        <v>43815</v>
      </c>
      <c r="R118" s="1837">
        <v>864.47</v>
      </c>
      <c r="S118" s="1873">
        <f t="shared" si="9"/>
        <v>-2.5510431030648095E-2</v>
      </c>
      <c r="T118" s="1873">
        <f t="shared" si="9"/>
        <v>1.3755658231113799E-2</v>
      </c>
    </row>
    <row r="119" spans="2:20" x14ac:dyDescent="0.3">
      <c r="B119" s="1838">
        <v>43807</v>
      </c>
      <c r="C119" s="1837">
        <v>966.18</v>
      </c>
      <c r="D119" s="1840">
        <f t="shared" si="5"/>
        <v>2.7190833990617946E-3</v>
      </c>
      <c r="F119" s="1839">
        <v>3168.8</v>
      </c>
      <c r="G119" s="1840">
        <f t="shared" si="6"/>
        <v>7.2761140655646095E-3</v>
      </c>
      <c r="H119" s="1838">
        <v>43807</v>
      </c>
      <c r="M119" s="1844">
        <f t="shared" si="7"/>
        <v>7.2761140655646095E-3</v>
      </c>
      <c r="N119" s="1823">
        <f t="shared" si="8"/>
        <v>0</v>
      </c>
      <c r="P119" s="1838">
        <v>43968</v>
      </c>
      <c r="Q119" s="1872">
        <v>44962</v>
      </c>
      <c r="R119" s="1837">
        <v>852.74</v>
      </c>
      <c r="S119" s="1873">
        <f t="shared" si="9"/>
        <v>1.9833753036346824E-3</v>
      </c>
      <c r="T119" s="1873">
        <f t="shared" si="9"/>
        <v>3.108714315079264E-2</v>
      </c>
    </row>
    <row r="120" spans="2:20" x14ac:dyDescent="0.3">
      <c r="B120" s="1838">
        <v>43800</v>
      </c>
      <c r="C120" s="1837">
        <v>963.56</v>
      </c>
      <c r="D120" s="1840">
        <f t="shared" si="5"/>
        <v>-7.4066443471543231E-3</v>
      </c>
      <c r="F120" s="1839">
        <v>3145.91</v>
      </c>
      <c r="G120" s="1840">
        <f t="shared" si="6"/>
        <v>1.5695738272767379E-3</v>
      </c>
      <c r="H120" s="1838">
        <v>43800</v>
      </c>
      <c r="M120" s="1844">
        <f t="shared" si="7"/>
        <v>1.5695738272767379E-3</v>
      </c>
      <c r="N120" s="1823">
        <f t="shared" si="8"/>
        <v>0</v>
      </c>
      <c r="P120" s="1838">
        <v>43961</v>
      </c>
      <c r="Q120" s="1872">
        <v>44873</v>
      </c>
      <c r="R120" s="1837">
        <v>827.03</v>
      </c>
      <c r="S120" s="1873">
        <f t="shared" si="9"/>
        <v>-1.9794493127529567E-3</v>
      </c>
      <c r="T120" s="1873">
        <f t="shared" si="9"/>
        <v>1.6344487729345047E-2</v>
      </c>
    </row>
    <row r="121" spans="2:20" x14ac:dyDescent="0.3">
      <c r="B121" s="1838">
        <v>43793</v>
      </c>
      <c r="C121" s="1837">
        <v>970.75</v>
      </c>
      <c r="D121" s="1840">
        <f t="shared" si="5"/>
        <v>-7.1897563869173231E-3</v>
      </c>
      <c r="F121" s="1839">
        <v>3140.98</v>
      </c>
      <c r="G121" s="1840">
        <f t="shared" si="6"/>
        <v>9.8672471055754052E-3</v>
      </c>
      <c r="H121" s="1838">
        <v>43793</v>
      </c>
      <c r="M121" s="1844">
        <f t="shared" si="7"/>
        <v>9.8672471055754052E-3</v>
      </c>
      <c r="N121" s="1823">
        <f t="shared" si="8"/>
        <v>0</v>
      </c>
      <c r="P121" s="1838">
        <v>43954</v>
      </c>
      <c r="Q121" s="1872">
        <v>44962</v>
      </c>
      <c r="R121" s="1837">
        <v>813.73</v>
      </c>
      <c r="S121" s="1873">
        <f t="shared" si="9"/>
        <v>-2.8562786276034924E-2</v>
      </c>
      <c r="T121" s="1873">
        <f t="shared" si="9"/>
        <v>5.8015108372014401E-2</v>
      </c>
    </row>
    <row r="122" spans="2:20" x14ac:dyDescent="0.3">
      <c r="B122" s="1838">
        <v>43786</v>
      </c>
      <c r="C122" s="1837">
        <v>977.78</v>
      </c>
      <c r="D122" s="1840">
        <f t="shared" si="5"/>
        <v>-3.1929744661049697E-2</v>
      </c>
      <c r="F122" s="1839">
        <v>3110.29</v>
      </c>
      <c r="G122" s="1840">
        <f t="shared" si="6"/>
        <v>-3.259134871140823E-3</v>
      </c>
      <c r="H122" s="1838">
        <v>43786</v>
      </c>
      <c r="M122" s="1844">
        <f t="shared" si="7"/>
        <v>-3.259134871140823E-3</v>
      </c>
      <c r="N122" s="1823">
        <f t="shared" si="8"/>
        <v>0</v>
      </c>
      <c r="P122" s="1838">
        <v>43947</v>
      </c>
      <c r="Q122" s="1872">
        <v>46284</v>
      </c>
      <c r="R122" s="1837">
        <v>769.11</v>
      </c>
      <c r="S122" s="1873">
        <f t="shared" si="9"/>
        <v>0</v>
      </c>
      <c r="T122" s="1873">
        <f t="shared" si="9"/>
        <v>-9.7211134859526149E-3</v>
      </c>
    </row>
    <row r="123" spans="2:20" x14ac:dyDescent="0.3">
      <c r="B123" s="1838">
        <v>43779</v>
      </c>
      <c r="C123" s="1839">
        <v>1010.03</v>
      </c>
      <c r="D123" s="1840">
        <f t="shared" si="5"/>
        <v>-1.2185938248784889E-2</v>
      </c>
      <c r="F123" s="1839">
        <v>3120.46</v>
      </c>
      <c r="G123" s="1840">
        <f t="shared" si="6"/>
        <v>8.8520180532025705E-3</v>
      </c>
      <c r="H123" s="1838">
        <v>43779</v>
      </c>
      <c r="M123" s="1844">
        <f t="shared" si="7"/>
        <v>8.8520180532025705E-3</v>
      </c>
      <c r="N123" s="1823">
        <f t="shared" si="8"/>
        <v>0</v>
      </c>
      <c r="P123" s="1838">
        <v>43940</v>
      </c>
      <c r="Q123" s="1872">
        <v>46284</v>
      </c>
      <c r="R123" s="1837">
        <v>776.66</v>
      </c>
      <c r="S123" s="1873">
        <f t="shared" si="9"/>
        <v>2.1406187933089127E-2</v>
      </c>
      <c r="T123" s="1873">
        <f t="shared" si="9"/>
        <v>-1.6388044579534022E-2</v>
      </c>
    </row>
    <row r="124" spans="2:20" x14ac:dyDescent="0.3">
      <c r="B124" s="1838">
        <v>43772</v>
      </c>
      <c r="C124" s="1839">
        <v>1022.49</v>
      </c>
      <c r="D124" s="1840">
        <f t="shared" si="5"/>
        <v>6.7940802883053042E-3</v>
      </c>
      <c r="F124" s="1839">
        <v>3093.08</v>
      </c>
      <c r="G124" s="1840">
        <f t="shared" si="6"/>
        <v>8.533018575699991E-3</v>
      </c>
      <c r="H124" s="1838">
        <v>43772</v>
      </c>
      <c r="M124" s="1844">
        <f t="shared" si="7"/>
        <v>8.533018575699991E-3</v>
      </c>
      <c r="N124" s="1823">
        <f t="shared" si="8"/>
        <v>0</v>
      </c>
      <c r="P124" s="1838">
        <v>43933</v>
      </c>
      <c r="Q124" s="1872">
        <v>45314</v>
      </c>
      <c r="R124" s="1837">
        <v>789.6</v>
      </c>
      <c r="S124" s="1873">
        <f t="shared" si="9"/>
        <v>2.5946386524180465E-2</v>
      </c>
      <c r="T124" s="1873">
        <f t="shared" si="9"/>
        <v>4.1771116447212098E-2</v>
      </c>
    </row>
    <row r="125" spans="2:20" x14ac:dyDescent="0.3">
      <c r="B125" s="1838">
        <v>43765</v>
      </c>
      <c r="C125" s="1839">
        <v>1015.59</v>
      </c>
      <c r="D125" s="1840">
        <f t="shared" si="5"/>
        <v>1.9085463138565295E-2</v>
      </c>
      <c r="F125" s="1839">
        <v>3066.91</v>
      </c>
      <c r="G125" s="1840">
        <f t="shared" si="6"/>
        <v>1.4676349440042147E-2</v>
      </c>
      <c r="H125" s="1838">
        <v>43765</v>
      </c>
      <c r="M125" s="1844">
        <f t="shared" si="7"/>
        <v>1.4676349440042147E-2</v>
      </c>
      <c r="N125" s="1823">
        <f t="shared" si="8"/>
        <v>0</v>
      </c>
      <c r="P125" s="1838">
        <v>43926</v>
      </c>
      <c r="Q125" s="1872">
        <v>44168</v>
      </c>
      <c r="R125" s="1837">
        <v>757.94</v>
      </c>
      <c r="S125" s="1873">
        <f t="shared" si="9"/>
        <v>1.6220693463405711E-2</v>
      </c>
      <c r="T125" s="1873">
        <f t="shared" si="9"/>
        <v>7.9994300370476168E-2</v>
      </c>
    </row>
    <row r="126" spans="2:20" x14ac:dyDescent="0.3">
      <c r="B126" s="1838">
        <v>43758</v>
      </c>
      <c r="C126" s="1837">
        <v>996.57</v>
      </c>
      <c r="D126" s="1840">
        <f t="shared" si="5"/>
        <v>7.4504650222402269E-3</v>
      </c>
      <c r="F126" s="1839">
        <v>3022.55</v>
      </c>
      <c r="G126" s="1840">
        <f t="shared" si="6"/>
        <v>1.2172660906838217E-2</v>
      </c>
      <c r="H126" s="1838">
        <v>43758</v>
      </c>
      <c r="M126" s="1844">
        <f t="shared" si="7"/>
        <v>1.2172660906838217E-2</v>
      </c>
      <c r="N126" s="1823">
        <f t="shared" si="8"/>
        <v>0</v>
      </c>
      <c r="P126" s="1838">
        <v>43919</v>
      </c>
      <c r="Q126" s="1872">
        <v>43463</v>
      </c>
      <c r="R126" s="1837">
        <v>701.8</v>
      </c>
      <c r="S126" s="1873">
        <f t="shared" si="9"/>
        <v>3.8989290495314632E-2</v>
      </c>
      <c r="T126" s="1873">
        <f t="shared" si="9"/>
        <v>8.2464155388903837E-3</v>
      </c>
    </row>
    <row r="127" spans="2:20" x14ac:dyDescent="0.3">
      <c r="B127" s="1838">
        <v>43751</v>
      </c>
      <c r="C127" s="1837">
        <v>989.2</v>
      </c>
      <c r="D127" s="1840">
        <f t="shared" si="5"/>
        <v>-2.6617196321987446E-3</v>
      </c>
      <c r="F127" s="1839">
        <v>2986.2</v>
      </c>
      <c r="G127" s="1840">
        <f t="shared" si="6"/>
        <v>5.3631488046541609E-3</v>
      </c>
      <c r="H127" s="1838">
        <v>43751</v>
      </c>
      <c r="M127" s="1844">
        <f t="shared" si="7"/>
        <v>5.3631488046541609E-3</v>
      </c>
      <c r="N127" s="1823">
        <f t="shared" si="8"/>
        <v>0</v>
      </c>
      <c r="P127" s="1838">
        <v>43912</v>
      </c>
      <c r="Q127" s="1872">
        <v>41832</v>
      </c>
      <c r="R127" s="1837">
        <v>696.06</v>
      </c>
      <c r="S127" s="1873">
        <f t="shared" si="9"/>
        <v>4.7475961538461453E-2</v>
      </c>
      <c r="T127" s="1873">
        <f t="shared" si="9"/>
        <v>-1.9260845673707006E-2</v>
      </c>
    </row>
    <row r="128" spans="2:20" x14ac:dyDescent="0.3">
      <c r="B128" s="1838">
        <v>43744</v>
      </c>
      <c r="C128" s="1837">
        <v>991.84</v>
      </c>
      <c r="D128" s="1840">
        <f t="shared" si="5"/>
        <v>4.3034052592674232E-3</v>
      </c>
      <c r="F128" s="1839">
        <v>2970.27</v>
      </c>
      <c r="G128" s="1840">
        <f t="shared" si="6"/>
        <v>6.1856159023849777E-3</v>
      </c>
      <c r="H128" s="1838">
        <v>43744</v>
      </c>
      <c r="M128" s="1844">
        <f t="shared" si="7"/>
        <v>6.1856159023849777E-3</v>
      </c>
      <c r="N128" s="1823">
        <f t="shared" si="8"/>
        <v>0</v>
      </c>
      <c r="P128" s="1838">
        <v>43905</v>
      </c>
      <c r="Q128" s="1872">
        <v>39936</v>
      </c>
      <c r="R128" s="1837">
        <v>709.73</v>
      </c>
      <c r="S128" s="1873">
        <f t="shared" si="9"/>
        <v>1.7374025577011176E-2</v>
      </c>
      <c r="T128" s="1873">
        <f t="shared" si="9"/>
        <v>-6.8326813515713125E-2</v>
      </c>
    </row>
    <row r="129" spans="2:20" x14ac:dyDescent="0.3">
      <c r="B129" s="1838">
        <v>43737</v>
      </c>
      <c r="C129" s="1837">
        <v>987.59</v>
      </c>
      <c r="D129" s="1840">
        <f t="shared" si="5"/>
        <v>-1.0272187925919996E-2</v>
      </c>
      <c r="F129" s="1839">
        <v>2952.01</v>
      </c>
      <c r="G129" s="1840">
        <f t="shared" si="6"/>
        <v>-3.3020572018946925E-3</v>
      </c>
      <c r="H129" s="1838">
        <v>43737</v>
      </c>
      <c r="M129" s="1844">
        <f t="shared" si="7"/>
        <v>-3.3020572018946925E-3</v>
      </c>
      <c r="N129" s="1823">
        <f t="shared" si="8"/>
        <v>0</v>
      </c>
      <c r="P129" s="1838">
        <v>43898</v>
      </c>
      <c r="Q129" s="1872">
        <v>39254</v>
      </c>
      <c r="R129" s="1837">
        <v>761.78</v>
      </c>
      <c r="S129" s="1873">
        <f t="shared" si="9"/>
        <v>-3.7656288305957353E-2</v>
      </c>
      <c r="T129" s="1873">
        <f t="shared" si="9"/>
        <v>-0.14545005833258551</v>
      </c>
    </row>
    <row r="130" spans="2:20" x14ac:dyDescent="0.3">
      <c r="B130" s="1838">
        <v>43730</v>
      </c>
      <c r="C130" s="1837">
        <v>997.84</v>
      </c>
      <c r="D130" s="1840">
        <f t="shared" si="5"/>
        <v>7.5528090795267122E-3</v>
      </c>
      <c r="F130" s="1839">
        <v>2961.79</v>
      </c>
      <c r="G130" s="1840">
        <f t="shared" si="6"/>
        <v>-1.0120084088941828E-2</v>
      </c>
      <c r="H130" s="1838">
        <v>43730</v>
      </c>
      <c r="M130" s="1844">
        <f t="shared" si="7"/>
        <v>-1.0120084088941828E-2</v>
      </c>
      <c r="N130" s="1823">
        <f t="shared" si="8"/>
        <v>0</v>
      </c>
      <c r="P130" s="1838">
        <v>43891</v>
      </c>
      <c r="Q130" s="1872">
        <v>40790</v>
      </c>
      <c r="R130" s="1837">
        <v>891.44</v>
      </c>
      <c r="S130" s="1873">
        <f t="shared" si="9"/>
        <v>-1.0335791925465854E-2</v>
      </c>
      <c r="T130" s="1873">
        <f t="shared" si="9"/>
        <v>1.0485269613121906E-2</v>
      </c>
    </row>
    <row r="131" spans="2:20" x14ac:dyDescent="0.3">
      <c r="B131" s="1838">
        <v>43723</v>
      </c>
      <c r="C131" s="1837">
        <v>990.36</v>
      </c>
      <c r="D131" s="1840">
        <f t="shared" si="5"/>
        <v>3.1806486902614672E-3</v>
      </c>
      <c r="F131" s="1839">
        <v>2992.07</v>
      </c>
      <c r="G131" s="1840">
        <f t="shared" si="6"/>
        <v>-5.0941181556098947E-3</v>
      </c>
      <c r="H131" s="1838">
        <v>43723</v>
      </c>
      <c r="M131" s="1844">
        <f t="shared" si="7"/>
        <v>-5.0941181556098947E-3</v>
      </c>
      <c r="N131" s="1823">
        <f t="shared" si="8"/>
        <v>0</v>
      </c>
      <c r="P131" s="1838">
        <v>43884</v>
      </c>
      <c r="Q131" s="1872">
        <v>41216</v>
      </c>
      <c r="R131" s="1837">
        <v>882.19</v>
      </c>
      <c r="S131" s="1873">
        <f t="shared" si="9"/>
        <v>-1.4301430143014326E-2</v>
      </c>
      <c r="T131" s="1873">
        <f t="shared" si="9"/>
        <v>-5.4549936233375118E-2</v>
      </c>
    </row>
    <row r="132" spans="2:20" x14ac:dyDescent="0.3">
      <c r="B132" s="1838">
        <v>43716</v>
      </c>
      <c r="C132" s="1837">
        <v>987.22</v>
      </c>
      <c r="D132" s="1840">
        <f t="shared" si="5"/>
        <v>1.3489651773981537E-2</v>
      </c>
      <c r="F132" s="1839">
        <v>3007.39</v>
      </c>
      <c r="G132" s="1840">
        <f t="shared" si="6"/>
        <v>9.6283290417662482E-3</v>
      </c>
      <c r="H132" s="1838">
        <v>43716</v>
      </c>
      <c r="M132" s="1844">
        <f t="shared" si="7"/>
        <v>9.6283290417662482E-3</v>
      </c>
      <c r="N132" s="1823">
        <f t="shared" si="8"/>
        <v>0</v>
      </c>
      <c r="P132" s="1838">
        <v>43877</v>
      </c>
      <c r="Q132" s="1872">
        <v>41814</v>
      </c>
      <c r="R132" s="1837">
        <v>933.09</v>
      </c>
      <c r="S132" s="1873">
        <f t="shared" si="9"/>
        <v>-7.5463771640834065E-2</v>
      </c>
      <c r="T132" s="1873">
        <f t="shared" si="9"/>
        <v>-4.6509147154515373E-3</v>
      </c>
    </row>
    <row r="133" spans="2:20" x14ac:dyDescent="0.3">
      <c r="B133" s="1838">
        <v>43709</v>
      </c>
      <c r="C133" s="1837">
        <v>974.08</v>
      </c>
      <c r="D133" s="1840">
        <f t="shared" si="5"/>
        <v>-1.0141658028981926E-2</v>
      </c>
      <c r="F133" s="1839">
        <v>2978.71</v>
      </c>
      <c r="G133" s="1840">
        <f t="shared" si="6"/>
        <v>1.7854335955386436E-2</v>
      </c>
      <c r="H133" s="1838">
        <v>43709</v>
      </c>
      <c r="M133" s="1844">
        <f t="shared" si="7"/>
        <v>1.7854335955386436E-2</v>
      </c>
      <c r="N133" s="1823">
        <f t="shared" si="8"/>
        <v>0</v>
      </c>
      <c r="P133" s="1838">
        <v>43870</v>
      </c>
      <c r="Q133" s="1872">
        <v>45227</v>
      </c>
      <c r="R133" s="1837">
        <v>937.45</v>
      </c>
      <c r="S133" s="1873">
        <f t="shared" si="9"/>
        <v>-3.1085307853806921E-2</v>
      </c>
      <c r="T133" s="1873">
        <f t="shared" si="9"/>
        <v>-3.5078394897687382E-3</v>
      </c>
    </row>
    <row r="134" spans="2:20" x14ac:dyDescent="0.3">
      <c r="B134" s="1838">
        <v>43702</v>
      </c>
      <c r="C134" s="1837">
        <v>984.06</v>
      </c>
      <c r="D134" s="1840">
        <f t="shared" si="5"/>
        <v>-8.453826389238861E-3</v>
      </c>
      <c r="F134" s="1839">
        <v>2926.46</v>
      </c>
      <c r="G134" s="1840">
        <f t="shared" si="6"/>
        <v>2.7870366792993595E-2</v>
      </c>
      <c r="H134" s="1838">
        <v>43702</v>
      </c>
      <c r="M134" s="1844">
        <f t="shared" si="7"/>
        <v>2.7870366792993595E-2</v>
      </c>
      <c r="N134" s="1823">
        <f t="shared" si="8"/>
        <v>0</v>
      </c>
      <c r="P134" s="1838">
        <v>43863</v>
      </c>
      <c r="Q134" s="1872">
        <v>46678</v>
      </c>
      <c r="R134" s="1837">
        <v>940.75</v>
      </c>
      <c r="S134" s="1873">
        <f t="shared" si="9"/>
        <v>-5.6895785347718886E-2</v>
      </c>
      <c r="T134" s="1873">
        <f t="shared" si="9"/>
        <v>4.4094723580534456E-3</v>
      </c>
    </row>
    <row r="135" spans="2:20" x14ac:dyDescent="0.3">
      <c r="B135" s="1838">
        <v>43695</v>
      </c>
      <c r="C135" s="1837">
        <v>992.45</v>
      </c>
      <c r="D135" s="1840">
        <f t="shared" ref="D135:D198" si="10">C135/C136-1</f>
        <v>1.270408163265313E-2</v>
      </c>
      <c r="F135" s="1839">
        <v>2847.11</v>
      </c>
      <c r="G135" s="1840">
        <f t="shared" ref="G135:G198" si="11">F135/F136-1</f>
        <v>-1.4390655939737096E-2</v>
      </c>
      <c r="H135" s="1838">
        <v>43695</v>
      </c>
      <c r="M135" s="1844">
        <f t="shared" ref="M135:M198" si="12">F135/F136-1</f>
        <v>-1.4390655939737096E-2</v>
      </c>
      <c r="N135" s="1823">
        <f t="shared" ref="N135:N198" si="13">H135-B135</f>
        <v>0</v>
      </c>
      <c r="P135" s="1838">
        <v>43856</v>
      </c>
      <c r="Q135" s="1872">
        <v>49494</v>
      </c>
      <c r="R135" s="1837">
        <v>936.62</v>
      </c>
      <c r="S135" s="1873">
        <f t="shared" si="9"/>
        <v>5.4544679763071535E-2</v>
      </c>
      <c r="T135" s="1873">
        <f t="shared" si="9"/>
        <v>-5.5312367619470337E-2</v>
      </c>
    </row>
    <row r="136" spans="2:20" x14ac:dyDescent="0.3">
      <c r="B136" s="1838">
        <v>43688</v>
      </c>
      <c r="C136" s="1837">
        <v>980</v>
      </c>
      <c r="D136" s="1840">
        <f t="shared" si="10"/>
        <v>5.8090604922305111E-3</v>
      </c>
      <c r="F136" s="1839">
        <v>2888.68</v>
      </c>
      <c r="G136" s="1840">
        <f t="shared" si="11"/>
        <v>-1.0268446028129485E-2</v>
      </c>
      <c r="H136" s="1838">
        <v>43688</v>
      </c>
      <c r="M136" s="1844">
        <f t="shared" si="12"/>
        <v>-1.0268446028129485E-2</v>
      </c>
      <c r="N136" s="1823">
        <f t="shared" si="13"/>
        <v>0</v>
      </c>
      <c r="P136" s="1838">
        <v>43849</v>
      </c>
      <c r="Q136" s="1872">
        <v>46934</v>
      </c>
      <c r="R136" s="1837">
        <v>991.46</v>
      </c>
      <c r="S136" s="1873">
        <f t="shared" si="9"/>
        <v>3.1902029329639703E-2</v>
      </c>
      <c r="T136" s="1873">
        <f t="shared" si="9"/>
        <v>1.2768652447495255E-2</v>
      </c>
    </row>
    <row r="137" spans="2:20" x14ac:dyDescent="0.3">
      <c r="B137" s="1838">
        <v>43681</v>
      </c>
      <c r="C137" s="1837">
        <v>974.34</v>
      </c>
      <c r="D137" s="1840">
        <f t="shared" si="10"/>
        <v>-1.6910503480980665E-2</v>
      </c>
      <c r="F137" s="1839">
        <v>2918.65</v>
      </c>
      <c r="G137" s="1840">
        <f t="shared" si="11"/>
        <v>-4.5701812724885382E-3</v>
      </c>
      <c r="H137" s="1838">
        <v>43681</v>
      </c>
      <c r="M137" s="1844">
        <f t="shared" si="12"/>
        <v>-4.5701812724885382E-3</v>
      </c>
      <c r="N137" s="1823">
        <f t="shared" si="13"/>
        <v>0</v>
      </c>
      <c r="P137" s="1838">
        <v>43842</v>
      </c>
      <c r="Q137" s="1872">
        <v>45483</v>
      </c>
      <c r="R137" s="1837">
        <v>978.96</v>
      </c>
      <c r="S137" s="1873">
        <f t="shared" si="9"/>
        <v>-7.4415153631285369E-3</v>
      </c>
      <c r="T137" s="1873">
        <f t="shared" si="9"/>
        <v>1.0758461189006141E-2</v>
      </c>
    </row>
    <row r="138" spans="2:20" x14ac:dyDescent="0.3">
      <c r="B138" s="1838">
        <v>43674</v>
      </c>
      <c r="C138" s="1837">
        <v>991.1</v>
      </c>
      <c r="D138" s="1840">
        <f t="shared" si="10"/>
        <v>-2.2650626667337637E-3</v>
      </c>
      <c r="F138" s="1839">
        <v>2932.05</v>
      </c>
      <c r="G138" s="1840">
        <f t="shared" si="11"/>
        <v>-3.1002756241200857E-2</v>
      </c>
      <c r="H138" s="1838">
        <v>43674</v>
      </c>
      <c r="M138" s="1844">
        <f t="shared" si="12"/>
        <v>-3.1002756241200857E-2</v>
      </c>
      <c r="N138" s="1823">
        <f t="shared" si="13"/>
        <v>0</v>
      </c>
      <c r="P138" s="1838">
        <v>43835</v>
      </c>
      <c r="Q138" s="1872">
        <v>45824</v>
      </c>
      <c r="R138" s="1837">
        <v>968.54</v>
      </c>
      <c r="S138" s="1873">
        <f t="shared" si="9"/>
        <v>-3.7634408602150504E-2</v>
      </c>
      <c r="T138" s="1873">
        <f t="shared" si="9"/>
        <v>3.5228049816606877E-3</v>
      </c>
    </row>
    <row r="139" spans="2:20" x14ac:dyDescent="0.3">
      <c r="B139" s="1838">
        <v>43667</v>
      </c>
      <c r="C139" s="1837">
        <v>993.35</v>
      </c>
      <c r="D139" s="1840">
        <f t="shared" si="10"/>
        <v>1.1207932080542271E-2</v>
      </c>
      <c r="F139" s="1839">
        <v>3025.86</v>
      </c>
      <c r="G139" s="1840">
        <f t="shared" si="11"/>
        <v>1.6545667722677848E-2</v>
      </c>
      <c r="H139" s="1838">
        <v>43667</v>
      </c>
      <c r="M139" s="1844">
        <f t="shared" si="12"/>
        <v>1.6545667722677848E-2</v>
      </c>
      <c r="N139" s="1823">
        <f t="shared" si="13"/>
        <v>0</v>
      </c>
      <c r="P139" s="1838">
        <v>43828</v>
      </c>
      <c r="Q139" s="1872">
        <v>47616</v>
      </c>
      <c r="R139" s="1837">
        <v>965.14</v>
      </c>
      <c r="S139" s="1873">
        <f t="shared" si="9"/>
        <v>2.19780219780219E-2</v>
      </c>
      <c r="T139" s="1873">
        <f t="shared" si="9"/>
        <v>1.6917312741953072E-3</v>
      </c>
    </row>
    <row r="140" spans="2:20" x14ac:dyDescent="0.3">
      <c r="B140" s="1838">
        <v>43660</v>
      </c>
      <c r="C140" s="1837">
        <v>982.34</v>
      </c>
      <c r="D140" s="1840">
        <f t="shared" si="10"/>
        <v>7.1150297313922195E-3</v>
      </c>
      <c r="F140" s="1839">
        <v>2976.61</v>
      </c>
      <c r="G140" s="1840">
        <f t="shared" si="11"/>
        <v>-1.2330071637848938E-2</v>
      </c>
      <c r="H140" s="1838">
        <v>43660</v>
      </c>
      <c r="M140" s="1844">
        <f t="shared" si="12"/>
        <v>-1.2330071637848938E-2</v>
      </c>
      <c r="N140" s="1823">
        <f t="shared" si="13"/>
        <v>0</v>
      </c>
      <c r="P140" s="1838">
        <v>43821</v>
      </c>
      <c r="Q140" s="1872">
        <v>46592</v>
      </c>
      <c r="R140" s="1837">
        <v>963.51</v>
      </c>
      <c r="S140" s="1873">
        <f t="shared" si="9"/>
        <v>-2.5006801012827706E-2</v>
      </c>
      <c r="T140" s="1873">
        <f t="shared" si="9"/>
        <v>7.4235944835374656E-3</v>
      </c>
    </row>
    <row r="141" spans="2:20" x14ac:dyDescent="0.3">
      <c r="B141" s="1838">
        <v>43653</v>
      </c>
      <c r="C141" s="1837">
        <v>975.4</v>
      </c>
      <c r="D141" s="1840">
        <f t="shared" si="10"/>
        <v>6.151700945311589E-5</v>
      </c>
      <c r="F141" s="1839">
        <v>3013.77</v>
      </c>
      <c r="G141" s="1840">
        <f t="shared" si="11"/>
        <v>7.8116378690546995E-3</v>
      </c>
      <c r="H141" s="1838">
        <v>43653</v>
      </c>
      <c r="M141" s="1844">
        <f t="shared" si="12"/>
        <v>7.8116378690546995E-3</v>
      </c>
      <c r="N141" s="1823">
        <f t="shared" si="13"/>
        <v>0</v>
      </c>
      <c r="P141" s="1838">
        <v>43814</v>
      </c>
      <c r="Q141" s="1872">
        <v>47787</v>
      </c>
      <c r="R141" s="1837">
        <v>956.41</v>
      </c>
      <c r="S141" s="1873">
        <f t="shared" si="9"/>
        <v>-1.7557204827203354E-2</v>
      </c>
      <c r="T141" s="1873">
        <f t="shared" si="9"/>
        <v>-1.0111987414353374E-2</v>
      </c>
    </row>
    <row r="142" spans="2:20" x14ac:dyDescent="0.3">
      <c r="B142" s="1838">
        <v>43646</v>
      </c>
      <c r="C142" s="1837">
        <v>975.34</v>
      </c>
      <c r="D142" s="1840">
        <f t="shared" si="10"/>
        <v>2.6738530854580222E-2</v>
      </c>
      <c r="F142" s="1839">
        <v>2990.41</v>
      </c>
      <c r="G142" s="1840">
        <f t="shared" si="11"/>
        <v>1.6537718916566746E-2</v>
      </c>
      <c r="H142" s="1838">
        <v>43646</v>
      </c>
      <c r="M142" s="1844">
        <f t="shared" si="12"/>
        <v>1.6537718916566746E-2</v>
      </c>
      <c r="N142" s="1823">
        <f t="shared" si="13"/>
        <v>0</v>
      </c>
      <c r="P142" s="1838">
        <v>43807</v>
      </c>
      <c r="Q142" s="1872">
        <v>48641</v>
      </c>
      <c r="R142" s="1837">
        <v>966.18</v>
      </c>
      <c r="S142" s="1873">
        <f t="shared" si="9"/>
        <v>-4.8400665166780765E-2</v>
      </c>
      <c r="T142" s="1873">
        <f t="shared" si="9"/>
        <v>2.7190833990617946E-3</v>
      </c>
    </row>
    <row r="143" spans="2:20" x14ac:dyDescent="0.3">
      <c r="B143" s="1838">
        <v>43639</v>
      </c>
      <c r="C143" s="1837">
        <v>949.94</v>
      </c>
      <c r="D143" s="1840">
        <f t="shared" si="10"/>
        <v>-9.6538782318599248E-3</v>
      </c>
      <c r="F143" s="1839">
        <v>2941.76</v>
      </c>
      <c r="G143" s="1840">
        <f t="shared" si="11"/>
        <v>-2.9486927462157864E-3</v>
      </c>
      <c r="H143" s="1838">
        <v>43639</v>
      </c>
      <c r="M143" s="1844">
        <f t="shared" si="12"/>
        <v>-2.9486927462157864E-3</v>
      </c>
      <c r="N143" s="1823">
        <f t="shared" si="13"/>
        <v>0</v>
      </c>
      <c r="P143" s="1838">
        <v>43800</v>
      </c>
      <c r="Q143" s="1872">
        <v>51115</v>
      </c>
      <c r="R143" s="1837">
        <v>963.56</v>
      </c>
      <c r="S143" s="1873">
        <f t="shared" si="9"/>
        <v>2.0442794114711171E-2</v>
      </c>
      <c r="T143" s="1873">
        <f t="shared" si="9"/>
        <v>-7.4066443471543231E-3</v>
      </c>
    </row>
    <row r="144" spans="2:20" x14ac:dyDescent="0.3">
      <c r="B144" s="1838">
        <v>43632</v>
      </c>
      <c r="C144" s="1837">
        <v>959.2</v>
      </c>
      <c r="D144" s="1840">
        <f t="shared" si="10"/>
        <v>5.8619351726596491E-3</v>
      </c>
      <c r="F144" s="1839">
        <v>2950.46</v>
      </c>
      <c r="G144" s="1840">
        <f t="shared" si="11"/>
        <v>2.1988375395742166E-2</v>
      </c>
      <c r="H144" s="1838">
        <v>43632</v>
      </c>
      <c r="M144" s="1844">
        <f t="shared" si="12"/>
        <v>2.1988375395742166E-2</v>
      </c>
      <c r="N144" s="1823">
        <f t="shared" si="13"/>
        <v>0</v>
      </c>
      <c r="P144" s="1838">
        <v>43793</v>
      </c>
      <c r="Q144" s="1872">
        <v>50091</v>
      </c>
      <c r="R144" s="1837">
        <v>970.75</v>
      </c>
      <c r="S144" s="1873">
        <f t="shared" si="9"/>
        <v>-2.0033258339039461E-2</v>
      </c>
      <c r="T144" s="1873">
        <f t="shared" si="9"/>
        <v>-7.1897563869173231E-3</v>
      </c>
    </row>
    <row r="145" spans="2:20" x14ac:dyDescent="0.3">
      <c r="B145" s="1838">
        <v>43625</v>
      </c>
      <c r="C145" s="1837">
        <v>953.61</v>
      </c>
      <c r="D145" s="1840">
        <f t="shared" si="10"/>
        <v>-4.873314688817465E-3</v>
      </c>
      <c r="F145" s="1839">
        <v>2886.98</v>
      </c>
      <c r="G145" s="1840">
        <f t="shared" si="11"/>
        <v>4.7470887538543227E-3</v>
      </c>
      <c r="H145" s="1838">
        <v>43625</v>
      </c>
      <c r="M145" s="1844">
        <f t="shared" si="12"/>
        <v>4.7470887538543227E-3</v>
      </c>
      <c r="N145" s="1823">
        <f t="shared" si="13"/>
        <v>0</v>
      </c>
      <c r="P145" s="1838">
        <v>43786</v>
      </c>
      <c r="Q145" s="1872">
        <v>51115</v>
      </c>
      <c r="R145" s="1837">
        <v>977.78</v>
      </c>
      <c r="S145" s="1873">
        <f t="shared" si="9"/>
        <v>-6.4067821437726602E-2</v>
      </c>
      <c r="T145" s="1873">
        <f t="shared" si="9"/>
        <v>-3.1929744661049697E-2</v>
      </c>
    </row>
    <row r="146" spans="2:20" x14ac:dyDescent="0.3">
      <c r="B146" s="1838">
        <v>43618</v>
      </c>
      <c r="C146" s="1837">
        <v>958.28</v>
      </c>
      <c r="D146" s="1840">
        <f t="shared" si="10"/>
        <v>-1.6668750260449006E-3</v>
      </c>
      <c r="F146" s="1839">
        <v>2873.34</v>
      </c>
      <c r="G146" s="1840">
        <f t="shared" si="11"/>
        <v>4.4068806639390168E-2</v>
      </c>
      <c r="H146" s="1838">
        <v>43618</v>
      </c>
      <c r="M146" s="1844">
        <f t="shared" si="12"/>
        <v>4.4068806639390168E-2</v>
      </c>
      <c r="N146" s="1823">
        <f t="shared" si="13"/>
        <v>0</v>
      </c>
      <c r="P146" s="1838">
        <v>43779</v>
      </c>
      <c r="Q146" s="1872">
        <v>54614</v>
      </c>
      <c r="R146" s="1839">
        <v>1010.03</v>
      </c>
      <c r="S146" s="1873">
        <f t="shared" si="9"/>
        <v>0.1208389771374625</v>
      </c>
      <c r="T146" s="1873">
        <f t="shared" si="9"/>
        <v>-1.2185938248784889E-2</v>
      </c>
    </row>
    <row r="147" spans="2:20" x14ac:dyDescent="0.3">
      <c r="B147" s="1838">
        <v>43611</v>
      </c>
      <c r="C147" s="1837">
        <v>959.88</v>
      </c>
      <c r="D147" s="1840">
        <f t="shared" si="10"/>
        <v>-1.0463593909466717E-2</v>
      </c>
      <c r="F147" s="1839">
        <v>2752.06</v>
      </c>
      <c r="G147" s="1840">
        <f t="shared" si="11"/>
        <v>-2.6184865147944492E-2</v>
      </c>
      <c r="H147" s="1838">
        <v>43611</v>
      </c>
      <c r="M147" s="1844">
        <f t="shared" si="12"/>
        <v>-2.6184865147944492E-2</v>
      </c>
      <c r="N147" s="1823">
        <f t="shared" si="13"/>
        <v>0</v>
      </c>
      <c r="P147" s="1838">
        <v>43772</v>
      </c>
      <c r="Q147" s="1872">
        <v>48726</v>
      </c>
      <c r="R147" s="1839">
        <v>1022.49</v>
      </c>
      <c r="S147" s="1873">
        <f t="shared" si="9"/>
        <v>5.9376019132514335E-2</v>
      </c>
      <c r="T147" s="1873">
        <f t="shared" si="9"/>
        <v>6.7940802883053042E-3</v>
      </c>
    </row>
    <row r="148" spans="2:20" x14ac:dyDescent="0.3">
      <c r="B148" s="1838">
        <v>43604</v>
      </c>
      <c r="C148" s="1837">
        <v>970.03</v>
      </c>
      <c r="D148" s="1840">
        <f t="shared" si="10"/>
        <v>-6.6053580206456575E-3</v>
      </c>
      <c r="F148" s="1839">
        <v>2826.06</v>
      </c>
      <c r="G148" s="1840">
        <f t="shared" si="11"/>
        <v>-1.170472070585038E-2</v>
      </c>
      <c r="H148" s="1838">
        <v>43604</v>
      </c>
      <c r="M148" s="1844">
        <f t="shared" si="12"/>
        <v>-1.170472070585038E-2</v>
      </c>
      <c r="N148" s="1823">
        <f t="shared" si="13"/>
        <v>0</v>
      </c>
      <c r="P148" s="1838">
        <v>43765</v>
      </c>
      <c r="Q148" s="1872">
        <v>45995</v>
      </c>
      <c r="R148" s="1839">
        <v>1015.59</v>
      </c>
      <c r="S148" s="1873">
        <f t="shared" si="9"/>
        <v>7.469225040522165E-3</v>
      </c>
      <c r="T148" s="1873">
        <f t="shared" si="9"/>
        <v>1.9085463138565295E-2</v>
      </c>
    </row>
    <row r="149" spans="2:20" x14ac:dyDescent="0.3">
      <c r="B149" s="1838">
        <v>43597</v>
      </c>
      <c r="C149" s="1837">
        <v>976.48</v>
      </c>
      <c r="D149" s="1840">
        <f t="shared" si="10"/>
        <v>2.5122040837751269E-2</v>
      </c>
      <c r="F149" s="1839">
        <v>2859.53</v>
      </c>
      <c r="G149" s="1840">
        <f t="shared" si="11"/>
        <v>-7.5900603873116923E-3</v>
      </c>
      <c r="H149" s="1838">
        <v>43597</v>
      </c>
      <c r="M149" s="1844">
        <f t="shared" si="12"/>
        <v>-7.5900603873116923E-3</v>
      </c>
      <c r="N149" s="1823">
        <f t="shared" si="13"/>
        <v>0</v>
      </c>
      <c r="P149" s="1838">
        <v>43758</v>
      </c>
      <c r="Q149" s="1872">
        <v>45654</v>
      </c>
      <c r="R149" s="1837">
        <v>996.57</v>
      </c>
      <c r="S149" s="1873">
        <f t="shared" si="9"/>
        <v>-1.2907829019913053E-2</v>
      </c>
      <c r="T149" s="1873">
        <f t="shared" si="9"/>
        <v>7.4504650222402269E-3</v>
      </c>
    </row>
    <row r="150" spans="2:20" x14ac:dyDescent="0.3">
      <c r="B150" s="1838">
        <v>43590</v>
      </c>
      <c r="C150" s="1837">
        <v>952.55</v>
      </c>
      <c r="D150" s="1840">
        <f t="shared" si="10"/>
        <v>-2.2163138768554913E-2</v>
      </c>
      <c r="F150" s="1839">
        <v>2881.4</v>
      </c>
      <c r="G150" s="1840">
        <f t="shared" si="11"/>
        <v>-2.1808503415217007E-2</v>
      </c>
      <c r="H150" s="1838">
        <v>43590</v>
      </c>
      <c r="M150" s="1844">
        <f t="shared" si="12"/>
        <v>-2.1808503415217007E-2</v>
      </c>
      <c r="N150" s="1823">
        <f t="shared" si="13"/>
        <v>0</v>
      </c>
      <c r="P150" s="1838">
        <v>43751</v>
      </c>
      <c r="Q150" s="1872">
        <v>46251</v>
      </c>
      <c r="R150" s="1837">
        <v>989.2</v>
      </c>
      <c r="S150" s="1873">
        <f t="shared" si="9"/>
        <v>-2.1660497091485986E-2</v>
      </c>
      <c r="T150" s="1873">
        <f t="shared" si="9"/>
        <v>-2.6617196321987446E-3</v>
      </c>
    </row>
    <row r="151" spans="2:20" x14ac:dyDescent="0.3">
      <c r="B151" s="1838">
        <v>43583</v>
      </c>
      <c r="C151" s="1837">
        <v>974.14</v>
      </c>
      <c r="D151" s="1840">
        <f t="shared" si="10"/>
        <v>-5.6143072965578744E-3</v>
      </c>
      <c r="F151" s="1839">
        <v>2945.64</v>
      </c>
      <c r="G151" s="1840">
        <f t="shared" si="11"/>
        <v>1.9592636434140331E-3</v>
      </c>
      <c r="H151" s="1838">
        <v>43583</v>
      </c>
      <c r="M151" s="1844">
        <f t="shared" si="12"/>
        <v>1.9592636434140331E-3</v>
      </c>
      <c r="N151" s="1823">
        <f t="shared" si="13"/>
        <v>0</v>
      </c>
      <c r="P151" s="1838">
        <v>43744</v>
      </c>
      <c r="Q151" s="1872">
        <v>47275</v>
      </c>
      <c r="R151" s="1837">
        <v>991.84</v>
      </c>
      <c r="S151" s="1873">
        <f t="shared" si="9"/>
        <v>2.2140061836500857E-2</v>
      </c>
      <c r="T151" s="1873">
        <f t="shared" si="9"/>
        <v>4.3034052592674232E-3</v>
      </c>
    </row>
    <row r="152" spans="2:20" x14ac:dyDescent="0.3">
      <c r="B152" s="1838">
        <v>43576</v>
      </c>
      <c r="C152" s="1837">
        <v>979.64</v>
      </c>
      <c r="D152" s="1840">
        <f t="shared" si="10"/>
        <v>1.3899669844029683E-2</v>
      </c>
      <c r="F152" s="1839">
        <v>2939.88</v>
      </c>
      <c r="G152" s="1840">
        <f t="shared" si="11"/>
        <v>1.1996433771768178E-2</v>
      </c>
      <c r="H152" s="1838">
        <v>43576</v>
      </c>
      <c r="M152" s="1844">
        <f t="shared" si="12"/>
        <v>1.1996433771768178E-2</v>
      </c>
      <c r="N152" s="1823">
        <f t="shared" si="13"/>
        <v>0</v>
      </c>
      <c r="P152" s="1838">
        <v>43737</v>
      </c>
      <c r="Q152" s="1872">
        <v>46251</v>
      </c>
      <c r="R152" s="1837">
        <v>987.59</v>
      </c>
      <c r="S152" s="1873">
        <f t="shared" si="9"/>
        <v>-5.0794237162910982E-2</v>
      </c>
      <c r="T152" s="1873">
        <f t="shared" si="9"/>
        <v>-1.0272187925919996E-2</v>
      </c>
    </row>
    <row r="153" spans="2:20" x14ac:dyDescent="0.3">
      <c r="B153" s="1838">
        <v>43569</v>
      </c>
      <c r="C153" s="1837">
        <v>966.21</v>
      </c>
      <c r="D153" s="1840">
        <f t="shared" si="10"/>
        <v>-1.6980364228303957E-2</v>
      </c>
      <c r="F153" s="1839">
        <v>2905.03</v>
      </c>
      <c r="G153" s="1840">
        <f t="shared" si="11"/>
        <v>-8.1859799615457973E-4</v>
      </c>
      <c r="H153" s="1838">
        <v>43569</v>
      </c>
      <c r="M153" s="1844">
        <f t="shared" si="12"/>
        <v>-8.1859799615457973E-4</v>
      </c>
      <c r="N153" s="1823">
        <f t="shared" si="13"/>
        <v>0</v>
      </c>
      <c r="P153" s="1838">
        <v>43730</v>
      </c>
      <c r="Q153" s="1872">
        <v>48726</v>
      </c>
      <c r="R153" s="1837">
        <v>997.84</v>
      </c>
      <c r="S153" s="1873">
        <f t="shared" si="9"/>
        <v>8.1454190340909172E-2</v>
      </c>
      <c r="T153" s="1873">
        <f t="shared" si="9"/>
        <v>7.5528090795267122E-3</v>
      </c>
    </row>
    <row r="154" spans="2:20" x14ac:dyDescent="0.3">
      <c r="B154" s="1838">
        <v>43562</v>
      </c>
      <c r="C154" s="1837">
        <v>982.9</v>
      </c>
      <c r="D154" s="1840">
        <f t="shared" si="10"/>
        <v>-6.4290479752542318E-3</v>
      </c>
      <c r="F154" s="1839">
        <v>2907.41</v>
      </c>
      <c r="G154" s="1840">
        <f t="shared" si="11"/>
        <v>5.0713164681237544E-3</v>
      </c>
      <c r="H154" s="1838">
        <v>43562</v>
      </c>
      <c r="M154" s="1844">
        <f t="shared" si="12"/>
        <v>5.0713164681237544E-3</v>
      </c>
      <c r="N154" s="1823">
        <f t="shared" si="13"/>
        <v>0</v>
      </c>
      <c r="P154" s="1838">
        <v>43723</v>
      </c>
      <c r="Q154" s="1872">
        <v>45056</v>
      </c>
      <c r="R154" s="1837">
        <v>990.36</v>
      </c>
      <c r="S154" s="1873">
        <f t="shared" si="9"/>
        <v>-7.533371514163667E-3</v>
      </c>
      <c r="T154" s="1873">
        <f t="shared" si="9"/>
        <v>3.1806486902614672E-3</v>
      </c>
    </row>
    <row r="155" spans="2:20" x14ac:dyDescent="0.3">
      <c r="B155" s="1838">
        <v>43555</v>
      </c>
      <c r="C155" s="1837">
        <v>989.26</v>
      </c>
      <c r="D155" s="1840">
        <f t="shared" si="10"/>
        <v>8.6667482360618386E-3</v>
      </c>
      <c r="F155" s="1839">
        <v>2892.74</v>
      </c>
      <c r="G155" s="1840">
        <f t="shared" si="11"/>
        <v>2.0582839401636965E-2</v>
      </c>
      <c r="H155" s="1838">
        <v>43555</v>
      </c>
      <c r="M155" s="1844">
        <f t="shared" si="12"/>
        <v>2.0582839401636965E-2</v>
      </c>
      <c r="N155" s="1823">
        <f t="shared" si="13"/>
        <v>0</v>
      </c>
      <c r="P155" s="1838">
        <v>43716</v>
      </c>
      <c r="Q155" s="1872">
        <v>45398</v>
      </c>
      <c r="R155" s="1837">
        <v>987.22</v>
      </c>
      <c r="S155" s="1873">
        <f t="shared" si="9"/>
        <v>0.11296886491787195</v>
      </c>
      <c r="T155" s="1873">
        <f t="shared" si="9"/>
        <v>1.3489651773981537E-2</v>
      </c>
    </row>
    <row r="156" spans="2:20" x14ac:dyDescent="0.3">
      <c r="B156" s="1838">
        <v>43548</v>
      </c>
      <c r="C156" s="1837">
        <v>980.76</v>
      </c>
      <c r="D156" s="1840">
        <f t="shared" si="10"/>
        <v>-8.040780410838444E-3</v>
      </c>
      <c r="F156" s="1839">
        <v>2834.4</v>
      </c>
      <c r="G156" s="1840">
        <f t="shared" si="11"/>
        <v>1.202909262294205E-2</v>
      </c>
      <c r="H156" s="1838">
        <v>43548</v>
      </c>
      <c r="M156" s="1844">
        <f t="shared" si="12"/>
        <v>1.202909262294205E-2</v>
      </c>
      <c r="N156" s="1823">
        <f t="shared" si="13"/>
        <v>0</v>
      </c>
      <c r="P156" s="1838">
        <v>43709</v>
      </c>
      <c r="Q156" s="1872">
        <v>40790</v>
      </c>
      <c r="R156" s="1837">
        <v>974.08</v>
      </c>
      <c r="S156" s="1873">
        <f t="shared" si="9"/>
        <v>-2.4489405462285396E-2</v>
      </c>
      <c r="T156" s="1873">
        <f t="shared" si="9"/>
        <v>-1.0141658028981926E-2</v>
      </c>
    </row>
    <row r="157" spans="2:20" x14ac:dyDescent="0.3">
      <c r="B157" s="1838">
        <v>43541</v>
      </c>
      <c r="C157" s="1837">
        <v>988.71</v>
      </c>
      <c r="D157" s="1840">
        <f t="shared" si="10"/>
        <v>-1.5346771302234719E-2</v>
      </c>
      <c r="F157" s="1839">
        <v>2800.71</v>
      </c>
      <c r="G157" s="1840">
        <f t="shared" si="11"/>
        <v>-7.7130750262180969E-3</v>
      </c>
      <c r="H157" s="1838">
        <v>43541</v>
      </c>
      <c r="M157" s="1844">
        <f t="shared" si="12"/>
        <v>-7.7130750262180969E-3</v>
      </c>
      <c r="N157" s="1823">
        <f t="shared" si="13"/>
        <v>0</v>
      </c>
      <c r="P157" s="1838">
        <v>43702</v>
      </c>
      <c r="Q157" s="1872">
        <v>41814</v>
      </c>
      <c r="R157" s="1837">
        <v>984.06</v>
      </c>
      <c r="S157" s="1873">
        <f t="shared" si="9"/>
        <v>0.11364423256185585</v>
      </c>
      <c r="T157" s="1873">
        <f t="shared" si="9"/>
        <v>-8.453826389238861E-3</v>
      </c>
    </row>
    <row r="158" spans="2:20" x14ac:dyDescent="0.3">
      <c r="B158" s="1838">
        <v>43534</v>
      </c>
      <c r="C158" s="1839">
        <v>1004.12</v>
      </c>
      <c r="D158" s="1840">
        <f t="shared" si="10"/>
        <v>1.9152499365643338E-2</v>
      </c>
      <c r="F158" s="1839">
        <v>2822.48</v>
      </c>
      <c r="G158" s="1840">
        <f t="shared" si="11"/>
        <v>2.894931591246297E-2</v>
      </c>
      <c r="H158" s="1838">
        <v>43534</v>
      </c>
      <c r="M158" s="1844">
        <f t="shared" si="12"/>
        <v>2.894931591246297E-2</v>
      </c>
      <c r="N158" s="1823">
        <f t="shared" si="13"/>
        <v>0</v>
      </c>
      <c r="P158" s="1838">
        <v>43695</v>
      </c>
      <c r="Q158" s="1872">
        <v>37547</v>
      </c>
      <c r="R158" s="1837">
        <v>992.45</v>
      </c>
      <c r="S158" s="1873">
        <f t="shared" si="9"/>
        <v>1.968931616968117E-2</v>
      </c>
      <c r="T158" s="1873">
        <f t="shared" si="9"/>
        <v>1.270408163265313E-2</v>
      </c>
    </row>
    <row r="159" spans="2:20" x14ac:dyDescent="0.3">
      <c r="B159" s="1838">
        <v>43527</v>
      </c>
      <c r="C159" s="1837">
        <v>985.25</v>
      </c>
      <c r="D159" s="1840">
        <f t="shared" si="10"/>
        <v>5.7368598348355171E-3</v>
      </c>
      <c r="F159" s="1839">
        <v>2743.07</v>
      </c>
      <c r="G159" s="1840">
        <f t="shared" si="11"/>
        <v>-2.1621505943952402E-2</v>
      </c>
      <c r="H159" s="1838">
        <v>43527</v>
      </c>
      <c r="M159" s="1844">
        <f t="shared" si="12"/>
        <v>-2.1621505943952402E-2</v>
      </c>
      <c r="N159" s="1823">
        <f t="shared" si="13"/>
        <v>0</v>
      </c>
      <c r="P159" s="1838">
        <v>43688</v>
      </c>
      <c r="Q159" s="1872">
        <v>36822</v>
      </c>
      <c r="R159" s="1837">
        <v>980</v>
      </c>
      <c r="S159" s="1873">
        <f t="shared" ref="S159:T222" si="14">Q159/Q160-1</f>
        <v>3.4883087153212422E-3</v>
      </c>
      <c r="T159" s="1873">
        <f t="shared" si="14"/>
        <v>5.8090604922305111E-3</v>
      </c>
    </row>
    <row r="160" spans="2:20" x14ac:dyDescent="0.3">
      <c r="B160" s="1838">
        <v>43520</v>
      </c>
      <c r="C160" s="1837">
        <v>979.63</v>
      </c>
      <c r="D160" s="1840">
        <f t="shared" si="10"/>
        <v>-9.3840693288570476E-3</v>
      </c>
      <c r="F160" s="1839">
        <v>2803.69</v>
      </c>
      <c r="G160" s="1840">
        <f t="shared" si="11"/>
        <v>3.946044466406784E-3</v>
      </c>
      <c r="H160" s="1838">
        <v>43520</v>
      </c>
      <c r="M160" s="1844">
        <f t="shared" si="12"/>
        <v>3.946044466406784E-3</v>
      </c>
      <c r="N160" s="1823">
        <f t="shared" si="13"/>
        <v>0</v>
      </c>
      <c r="P160" s="1838">
        <v>43681</v>
      </c>
      <c r="Q160" s="1872">
        <v>36694</v>
      </c>
      <c r="R160" s="1837">
        <v>974.34</v>
      </c>
      <c r="S160" s="1873">
        <f t="shared" si="14"/>
        <v>-6.9282814614343158E-3</v>
      </c>
      <c r="T160" s="1873">
        <f t="shared" si="14"/>
        <v>-1.6910503480980665E-2</v>
      </c>
    </row>
    <row r="161" spans="2:20" x14ac:dyDescent="0.3">
      <c r="B161" s="1838">
        <v>43513</v>
      </c>
      <c r="C161" s="1837">
        <v>988.91</v>
      </c>
      <c r="D161" s="1840">
        <f t="shared" si="10"/>
        <v>3.9983594316903126E-2</v>
      </c>
      <c r="F161" s="1839">
        <v>2792.67</v>
      </c>
      <c r="G161" s="1840">
        <f t="shared" si="11"/>
        <v>6.1500216169476651E-3</v>
      </c>
      <c r="H161" s="1838">
        <v>43513</v>
      </c>
      <c r="M161" s="1844">
        <f t="shared" si="12"/>
        <v>6.1500216169476651E-3</v>
      </c>
      <c r="N161" s="1823">
        <f t="shared" si="13"/>
        <v>0</v>
      </c>
      <c r="P161" s="1838">
        <v>43674</v>
      </c>
      <c r="Q161" s="1872">
        <v>36950</v>
      </c>
      <c r="R161" s="1837">
        <v>991.1</v>
      </c>
      <c r="S161" s="1873">
        <f t="shared" si="14"/>
        <v>8.1580311587678978E-3</v>
      </c>
      <c r="T161" s="1873">
        <f t="shared" si="14"/>
        <v>-2.2650626667337637E-3</v>
      </c>
    </row>
    <row r="162" spans="2:20" x14ac:dyDescent="0.3">
      <c r="B162" s="1838">
        <v>43506</v>
      </c>
      <c r="C162" s="1837">
        <v>950.89</v>
      </c>
      <c r="D162" s="1840">
        <f t="shared" si="10"/>
        <v>4.6463512606336854E-2</v>
      </c>
      <c r="F162" s="1839">
        <v>2775.6</v>
      </c>
      <c r="G162" s="1840">
        <f t="shared" si="11"/>
        <v>2.5519761465788271E-2</v>
      </c>
      <c r="H162" s="1838">
        <v>43506</v>
      </c>
      <c r="M162" s="1844">
        <f t="shared" si="12"/>
        <v>2.5519761465788271E-2</v>
      </c>
      <c r="N162" s="1823">
        <f t="shared" si="13"/>
        <v>0</v>
      </c>
      <c r="P162" s="1838">
        <v>43667</v>
      </c>
      <c r="Q162" s="1872">
        <v>36651</v>
      </c>
      <c r="R162" s="1837">
        <v>993.35</v>
      </c>
      <c r="S162" s="1873">
        <f t="shared" si="14"/>
        <v>-1.0368570271364952E-2</v>
      </c>
      <c r="T162" s="1873">
        <f t="shared" si="14"/>
        <v>1.1207932080542271E-2</v>
      </c>
    </row>
    <row r="163" spans="2:20" x14ac:dyDescent="0.3">
      <c r="B163" s="1838">
        <v>43492</v>
      </c>
      <c r="C163" s="1837">
        <v>908.67</v>
      </c>
      <c r="D163" s="1840">
        <f t="shared" si="10"/>
        <v>-2.310536044363154E-4</v>
      </c>
      <c r="F163" s="1839">
        <v>2706.53</v>
      </c>
      <c r="G163" s="1840">
        <f t="shared" si="11"/>
        <v>1.5674957594680183E-2</v>
      </c>
      <c r="H163" s="1838">
        <v>43492</v>
      </c>
      <c r="M163" s="1844">
        <f t="shared" si="12"/>
        <v>1.5674957594680183E-2</v>
      </c>
      <c r="N163" s="1823">
        <f t="shared" si="13"/>
        <v>0</v>
      </c>
      <c r="P163" s="1838">
        <v>43660</v>
      </c>
      <c r="Q163" s="1872">
        <v>37035</v>
      </c>
      <c r="R163" s="1837">
        <v>982.34</v>
      </c>
      <c r="S163" s="1873">
        <f t="shared" si="14"/>
        <v>-3.1258174208736555E-2</v>
      </c>
      <c r="T163" s="1873">
        <f t="shared" si="14"/>
        <v>7.1150297313922195E-3</v>
      </c>
    </row>
    <row r="164" spans="2:20" x14ac:dyDescent="0.3">
      <c r="B164" s="1838">
        <v>43485</v>
      </c>
      <c r="C164" s="1837">
        <v>908.88</v>
      </c>
      <c r="D164" s="1840">
        <f t="shared" si="10"/>
        <v>7.2924747866562889E-3</v>
      </c>
      <c r="F164" s="1839">
        <v>2664.76</v>
      </c>
      <c r="G164" s="1840">
        <f t="shared" si="11"/>
        <v>-2.2278719890964638E-3</v>
      </c>
      <c r="H164" s="1838">
        <v>43485</v>
      </c>
      <c r="M164" s="1844">
        <f t="shared" si="12"/>
        <v>-2.2278719890964638E-3</v>
      </c>
      <c r="N164" s="1823">
        <f t="shared" si="13"/>
        <v>0</v>
      </c>
      <c r="P164" s="1838">
        <v>43653</v>
      </c>
      <c r="Q164" s="1872">
        <v>38230</v>
      </c>
      <c r="R164" s="1837">
        <v>975.4</v>
      </c>
      <c r="S164" s="1873">
        <f t="shared" si="14"/>
        <v>1.8190534530055702E-2</v>
      </c>
      <c r="T164" s="1873">
        <f t="shared" si="14"/>
        <v>6.151700945311589E-5</v>
      </c>
    </row>
    <row r="165" spans="2:20" x14ac:dyDescent="0.3">
      <c r="B165" s="1838">
        <v>43478</v>
      </c>
      <c r="C165" s="1837">
        <v>902.3</v>
      </c>
      <c r="D165" s="1840">
        <f t="shared" si="10"/>
        <v>-4.541879451873676E-4</v>
      </c>
      <c r="F165" s="1839">
        <v>2670.71</v>
      </c>
      <c r="G165" s="1840">
        <f t="shared" si="11"/>
        <v>2.8675864512799132E-2</v>
      </c>
      <c r="H165" s="1838">
        <v>43478</v>
      </c>
      <c r="M165" s="1844">
        <f t="shared" si="12"/>
        <v>2.8675864512799132E-2</v>
      </c>
      <c r="N165" s="1823">
        <f t="shared" si="13"/>
        <v>0</v>
      </c>
      <c r="P165" s="1838">
        <v>43646</v>
      </c>
      <c r="Q165" s="1872">
        <v>37547</v>
      </c>
      <c r="R165" s="1837">
        <v>975.34</v>
      </c>
      <c r="S165" s="1873">
        <f t="shared" si="14"/>
        <v>2.3246307298195878E-2</v>
      </c>
      <c r="T165" s="1873">
        <f t="shared" si="14"/>
        <v>2.6738530854580222E-2</v>
      </c>
    </row>
    <row r="166" spans="2:20" x14ac:dyDescent="0.3">
      <c r="B166" s="1838">
        <v>43471</v>
      </c>
      <c r="C166" s="1837">
        <v>902.71</v>
      </c>
      <c r="D166" s="1840">
        <f t="shared" si="10"/>
        <v>2.4758769440345274E-2</v>
      </c>
      <c r="F166" s="1839">
        <v>2596.2600000000002</v>
      </c>
      <c r="G166" s="1840">
        <f t="shared" si="11"/>
        <v>2.5403445579279094E-2</v>
      </c>
      <c r="H166" s="1838">
        <v>43471</v>
      </c>
      <c r="M166" s="1844">
        <f t="shared" si="12"/>
        <v>2.5403445579279094E-2</v>
      </c>
      <c r="N166" s="1823">
        <f t="shared" si="13"/>
        <v>0</v>
      </c>
      <c r="P166" s="1838">
        <v>43639</v>
      </c>
      <c r="Q166" s="1872">
        <v>36694</v>
      </c>
      <c r="R166" s="1837">
        <v>949.94</v>
      </c>
      <c r="S166" s="1873">
        <f t="shared" si="14"/>
        <v>1.415068265988606E-2</v>
      </c>
      <c r="T166" s="1873">
        <f t="shared" si="14"/>
        <v>-9.6538782318599248E-3</v>
      </c>
    </row>
    <row r="167" spans="2:20" x14ac:dyDescent="0.3">
      <c r="B167" s="1838">
        <v>43464</v>
      </c>
      <c r="C167" s="1837">
        <v>880.9</v>
      </c>
      <c r="D167" s="1840">
        <f t="shared" si="10"/>
        <v>-1.3041432316758916E-2</v>
      </c>
      <c r="F167" s="1839">
        <v>2531.94</v>
      </c>
      <c r="G167" s="1840">
        <f t="shared" si="11"/>
        <v>1.8586014627435032E-2</v>
      </c>
      <c r="H167" s="1838">
        <v>43464</v>
      </c>
      <c r="M167" s="1844">
        <f t="shared" si="12"/>
        <v>1.8586014627435032E-2</v>
      </c>
      <c r="N167" s="1823">
        <f t="shared" si="13"/>
        <v>0</v>
      </c>
      <c r="P167" s="1838">
        <v>43632</v>
      </c>
      <c r="Q167" s="1872">
        <v>36182</v>
      </c>
      <c r="R167" s="1837">
        <v>959.2</v>
      </c>
      <c r="S167" s="1873">
        <f t="shared" si="14"/>
        <v>9.5424107142856318E-3</v>
      </c>
      <c r="T167" s="1873">
        <f t="shared" si="14"/>
        <v>5.8619351726596491E-3</v>
      </c>
    </row>
    <row r="168" spans="2:20" x14ac:dyDescent="0.3">
      <c r="B168" s="1838">
        <v>43457</v>
      </c>
      <c r="C168" s="1837">
        <v>892.54</v>
      </c>
      <c r="D168" s="1840">
        <f t="shared" si="10"/>
        <v>-2.161664437769939E-2</v>
      </c>
      <c r="F168" s="1839">
        <v>2485.7399999999998</v>
      </c>
      <c r="G168" s="1840">
        <f t="shared" si="11"/>
        <v>2.8601931623507104E-2</v>
      </c>
      <c r="H168" s="1838">
        <v>43457</v>
      </c>
      <c r="M168" s="1844">
        <f t="shared" si="12"/>
        <v>2.8601931623507104E-2</v>
      </c>
      <c r="N168" s="1823">
        <f t="shared" si="13"/>
        <v>0</v>
      </c>
      <c r="P168" s="1838">
        <v>43625</v>
      </c>
      <c r="Q168" s="1872">
        <v>35840</v>
      </c>
      <c r="R168" s="1837">
        <v>953.61</v>
      </c>
      <c r="S168" s="1873">
        <f t="shared" si="14"/>
        <v>-3.8910192807916077E-2</v>
      </c>
      <c r="T168" s="1873">
        <f t="shared" si="14"/>
        <v>-4.873314688817465E-3</v>
      </c>
    </row>
    <row r="169" spans="2:20" x14ac:dyDescent="0.3">
      <c r="B169" s="1838">
        <v>43450</v>
      </c>
      <c r="C169" s="1837">
        <v>912.26</v>
      </c>
      <c r="D169" s="1840">
        <f t="shared" si="10"/>
        <v>-4.1783958657199305E-2</v>
      </c>
      <c r="F169" s="1839">
        <v>2416.62</v>
      </c>
      <c r="G169" s="1840">
        <f t="shared" si="11"/>
        <v>-7.0512894478739985E-2</v>
      </c>
      <c r="H169" s="1838">
        <v>43450</v>
      </c>
      <c r="M169" s="1844">
        <f t="shared" si="12"/>
        <v>-7.0512894478739985E-2</v>
      </c>
      <c r="N169" s="1823">
        <f t="shared" si="13"/>
        <v>0</v>
      </c>
      <c r="P169" s="1838">
        <v>43618</v>
      </c>
      <c r="Q169" s="1872">
        <v>37291</v>
      </c>
      <c r="R169" s="1837">
        <v>958.28</v>
      </c>
      <c r="S169" s="1873">
        <f t="shared" si="14"/>
        <v>-2.2741866438356073E-3</v>
      </c>
      <c r="T169" s="1873">
        <f t="shared" si="14"/>
        <v>-1.6668750260449006E-3</v>
      </c>
    </row>
    <row r="170" spans="2:20" x14ac:dyDescent="0.3">
      <c r="B170" s="1838">
        <v>43443</v>
      </c>
      <c r="C170" s="1837">
        <v>952.04</v>
      </c>
      <c r="D170" s="1840">
        <f t="shared" si="10"/>
        <v>-6.8329525657476742E-3</v>
      </c>
      <c r="F170" s="1839">
        <v>2599.9499999999998</v>
      </c>
      <c r="G170" s="1840">
        <f t="shared" si="11"/>
        <v>-1.2582223099943834E-2</v>
      </c>
      <c r="H170" s="1838">
        <v>43443</v>
      </c>
      <c r="M170" s="1844">
        <f t="shared" si="12"/>
        <v>-1.2582223099943834E-2</v>
      </c>
      <c r="N170" s="1823">
        <f t="shared" si="13"/>
        <v>0</v>
      </c>
      <c r="P170" s="1838">
        <v>43611</v>
      </c>
      <c r="Q170" s="1872">
        <v>37376</v>
      </c>
      <c r="R170" s="1837">
        <v>959.88</v>
      </c>
      <c r="S170" s="1873">
        <f t="shared" si="14"/>
        <v>2.8169014084507005E-2</v>
      </c>
      <c r="T170" s="1873">
        <f t="shared" si="14"/>
        <v>-1.0463593909466717E-2</v>
      </c>
    </row>
    <row r="171" spans="2:20" x14ac:dyDescent="0.3">
      <c r="B171" s="1838">
        <v>43436</v>
      </c>
      <c r="C171" s="1837">
        <v>958.59</v>
      </c>
      <c r="D171" s="1840">
        <f t="shared" si="10"/>
        <v>3.4591059209532204E-2</v>
      </c>
      <c r="F171" s="1839">
        <v>2633.08</v>
      </c>
      <c r="G171" s="1840">
        <f t="shared" si="11"/>
        <v>-4.6044265389450723E-2</v>
      </c>
      <c r="H171" s="1838">
        <v>43436</v>
      </c>
      <c r="M171" s="1844">
        <f t="shared" si="12"/>
        <v>-4.6044265389450723E-2</v>
      </c>
      <c r="N171" s="1823">
        <f t="shared" si="13"/>
        <v>0</v>
      </c>
      <c r="P171" s="1838">
        <v>43604</v>
      </c>
      <c r="Q171" s="1872">
        <v>36352</v>
      </c>
      <c r="R171" s="1837">
        <v>970.03</v>
      </c>
      <c r="S171" s="1873">
        <f t="shared" si="14"/>
        <v>7.0921985815601829E-3</v>
      </c>
      <c r="T171" s="1873">
        <f t="shared" si="14"/>
        <v>-6.6053580206456575E-3</v>
      </c>
    </row>
    <row r="172" spans="2:20" x14ac:dyDescent="0.3">
      <c r="B172" s="1838">
        <v>43429</v>
      </c>
      <c r="C172" s="1837">
        <v>926.54</v>
      </c>
      <c r="D172" s="1840">
        <f t="shared" si="10"/>
        <v>9.3358170746320468E-3</v>
      </c>
      <c r="F172" s="1839">
        <v>2760.17</v>
      </c>
      <c r="G172" s="1840">
        <f t="shared" si="11"/>
        <v>4.8473728993831067E-2</v>
      </c>
      <c r="H172" s="1838">
        <v>43429</v>
      </c>
      <c r="M172" s="1844">
        <f t="shared" si="12"/>
        <v>4.8473728993831067E-2</v>
      </c>
      <c r="N172" s="1823">
        <f t="shared" si="13"/>
        <v>0</v>
      </c>
      <c r="P172" s="1838">
        <v>43597</v>
      </c>
      <c r="Q172" s="1872">
        <v>36096</v>
      </c>
      <c r="R172" s="1837">
        <v>976.48</v>
      </c>
      <c r="S172" s="1873">
        <f t="shared" si="14"/>
        <v>0</v>
      </c>
      <c r="T172" s="1873">
        <f t="shared" si="14"/>
        <v>2.5122040837751269E-2</v>
      </c>
    </row>
    <row r="173" spans="2:20" x14ac:dyDescent="0.3">
      <c r="B173" s="1838">
        <v>43422</v>
      </c>
      <c r="C173" s="1837">
        <v>917.97</v>
      </c>
      <c r="D173" s="1840">
        <f t="shared" si="10"/>
        <v>2.2022066600607904E-2</v>
      </c>
      <c r="F173" s="1839">
        <v>2632.56</v>
      </c>
      <c r="G173" s="1840">
        <f t="shared" si="11"/>
        <v>-3.7901961429244957E-2</v>
      </c>
      <c r="H173" s="1838">
        <v>43422</v>
      </c>
      <c r="M173" s="1844">
        <f t="shared" si="12"/>
        <v>-3.7901961429244957E-2</v>
      </c>
      <c r="N173" s="1823">
        <f t="shared" si="13"/>
        <v>0</v>
      </c>
      <c r="P173" s="1838">
        <v>43590</v>
      </c>
      <c r="Q173" s="1872">
        <v>36096</v>
      </c>
      <c r="R173" s="1837">
        <v>952.55</v>
      </c>
      <c r="S173" s="1873">
        <f t="shared" si="14"/>
        <v>-4.715030192737224E-3</v>
      </c>
      <c r="T173" s="1873">
        <f t="shared" si="14"/>
        <v>-2.2163138768554913E-2</v>
      </c>
    </row>
    <row r="174" spans="2:20" x14ac:dyDescent="0.3">
      <c r="B174" s="1838">
        <v>43415</v>
      </c>
      <c r="C174" s="1837">
        <v>898.19</v>
      </c>
      <c r="D174" s="1840">
        <f t="shared" si="10"/>
        <v>-1.7609292456441494E-2</v>
      </c>
      <c r="F174" s="1839">
        <v>2736.27</v>
      </c>
      <c r="G174" s="1840">
        <f t="shared" si="11"/>
        <v>-1.6087680375115654E-2</v>
      </c>
      <c r="H174" s="1838">
        <v>43415</v>
      </c>
      <c r="M174" s="1844">
        <f t="shared" si="12"/>
        <v>-1.6087680375115654E-2</v>
      </c>
      <c r="N174" s="1823">
        <f t="shared" si="13"/>
        <v>0</v>
      </c>
      <c r="P174" s="1838">
        <v>43583</v>
      </c>
      <c r="Q174" s="1872">
        <v>36267</v>
      </c>
      <c r="R174" s="1837">
        <v>974.14</v>
      </c>
      <c r="S174" s="1873">
        <f t="shared" si="14"/>
        <v>-1.163677985501721E-2</v>
      </c>
      <c r="T174" s="1873">
        <f t="shared" si="14"/>
        <v>-5.6143072965578744E-3</v>
      </c>
    </row>
    <row r="175" spans="2:20" x14ac:dyDescent="0.3">
      <c r="B175" s="1838">
        <v>43408</v>
      </c>
      <c r="C175" s="1837">
        <v>914.29</v>
      </c>
      <c r="D175" s="1840">
        <f t="shared" si="10"/>
        <v>-1.1428756784810701E-2</v>
      </c>
      <c r="F175" s="1839">
        <v>2781.01</v>
      </c>
      <c r="G175" s="1840">
        <f t="shared" si="11"/>
        <v>2.1281205702408323E-2</v>
      </c>
      <c r="H175" s="1838">
        <v>43408</v>
      </c>
      <c r="M175" s="1844">
        <f t="shared" si="12"/>
        <v>2.1281205702408323E-2</v>
      </c>
      <c r="N175" s="1823">
        <f t="shared" si="13"/>
        <v>0</v>
      </c>
      <c r="P175" s="1838">
        <v>43576</v>
      </c>
      <c r="Q175" s="1872">
        <v>36694</v>
      </c>
      <c r="R175" s="1837">
        <v>979.64</v>
      </c>
      <c r="S175" s="1873">
        <f t="shared" si="14"/>
        <v>-1.1476293103448221E-2</v>
      </c>
      <c r="T175" s="1873">
        <f t="shared" si="14"/>
        <v>1.3899669844029683E-2</v>
      </c>
    </row>
    <row r="176" spans="2:20" x14ac:dyDescent="0.3">
      <c r="B176" s="1838">
        <v>43401</v>
      </c>
      <c r="C176" s="1837">
        <v>924.86</v>
      </c>
      <c r="D176" s="1840">
        <f t="shared" si="10"/>
        <v>2.6686796474323371E-2</v>
      </c>
      <c r="F176" s="1839">
        <v>2723.06</v>
      </c>
      <c r="G176" s="1840">
        <f t="shared" si="11"/>
        <v>2.4211171667249509E-2</v>
      </c>
      <c r="H176" s="1838">
        <v>43401</v>
      </c>
      <c r="M176" s="1844">
        <f t="shared" si="12"/>
        <v>2.4211171667249509E-2</v>
      </c>
      <c r="N176" s="1823">
        <f t="shared" si="13"/>
        <v>0</v>
      </c>
      <c r="P176" s="1838">
        <v>43569</v>
      </c>
      <c r="Q176" s="1872">
        <v>37120</v>
      </c>
      <c r="R176" s="1837">
        <v>966.21</v>
      </c>
      <c r="S176" s="1873">
        <f t="shared" si="14"/>
        <v>-2.3114551416437701E-3</v>
      </c>
      <c r="T176" s="1873">
        <f t="shared" si="14"/>
        <v>-1.6980364228303957E-2</v>
      </c>
    </row>
    <row r="177" spans="2:20" x14ac:dyDescent="0.3">
      <c r="B177" s="1838">
        <v>43394</v>
      </c>
      <c r="C177" s="1837">
        <v>900.82</v>
      </c>
      <c r="D177" s="1840">
        <f t="shared" si="10"/>
        <v>-6.0040068450269213E-2</v>
      </c>
      <c r="F177" s="1839">
        <v>2658.69</v>
      </c>
      <c r="G177" s="1840">
        <f t="shared" si="11"/>
        <v>-3.9414259803886242E-2</v>
      </c>
      <c r="H177" s="1838">
        <v>43394</v>
      </c>
      <c r="M177" s="1844">
        <f t="shared" si="12"/>
        <v>-3.9414259803886242E-2</v>
      </c>
      <c r="N177" s="1823">
        <f t="shared" si="13"/>
        <v>0</v>
      </c>
      <c r="P177" s="1838">
        <v>43562</v>
      </c>
      <c r="Q177" s="1872">
        <v>37206</v>
      </c>
      <c r="R177" s="1837">
        <v>982.9</v>
      </c>
      <c r="S177" s="1873">
        <f t="shared" si="14"/>
        <v>2.3492517605633756E-2</v>
      </c>
      <c r="T177" s="1873">
        <f t="shared" si="14"/>
        <v>-6.4290479752542318E-3</v>
      </c>
    </row>
    <row r="178" spans="2:20" x14ac:dyDescent="0.3">
      <c r="B178" s="1838">
        <v>43387</v>
      </c>
      <c r="C178" s="1837">
        <v>958.36</v>
      </c>
      <c r="D178" s="1840">
        <f t="shared" si="10"/>
        <v>-1.2081477816262565E-2</v>
      </c>
      <c r="F178" s="1839">
        <v>2767.78</v>
      </c>
      <c r="G178" s="1840">
        <f t="shared" si="11"/>
        <v>2.3490042029106206E-4</v>
      </c>
      <c r="H178" s="1838">
        <v>43387</v>
      </c>
      <c r="M178" s="1844">
        <f t="shared" si="12"/>
        <v>2.3490042029106206E-4</v>
      </c>
      <c r="N178" s="1823">
        <f t="shared" si="13"/>
        <v>0</v>
      </c>
      <c r="P178" s="1838">
        <v>43555</v>
      </c>
      <c r="Q178" s="1872">
        <v>36352</v>
      </c>
      <c r="R178" s="1837">
        <v>989.26</v>
      </c>
      <c r="S178" s="1873">
        <f t="shared" si="14"/>
        <v>-3.5087719298245723E-3</v>
      </c>
      <c r="T178" s="1873">
        <f t="shared" si="14"/>
        <v>8.6667482360618386E-3</v>
      </c>
    </row>
    <row r="179" spans="2:20" x14ac:dyDescent="0.3">
      <c r="B179" s="1838">
        <v>43380</v>
      </c>
      <c r="C179" s="1837">
        <v>970.08</v>
      </c>
      <c r="D179" s="1840">
        <f t="shared" si="10"/>
        <v>-3.7991253384107249E-2</v>
      </c>
      <c r="F179" s="1839">
        <v>2767.13</v>
      </c>
      <c r="G179" s="1840">
        <f t="shared" si="11"/>
        <v>-4.1045616637267579E-2</v>
      </c>
      <c r="H179" s="1838">
        <v>43380</v>
      </c>
      <c r="M179" s="1844">
        <f t="shared" si="12"/>
        <v>-4.1045616637267579E-2</v>
      </c>
      <c r="N179" s="1823">
        <f t="shared" si="13"/>
        <v>0</v>
      </c>
      <c r="P179" s="1838">
        <v>43548</v>
      </c>
      <c r="Q179" s="1872">
        <v>36480</v>
      </c>
      <c r="R179" s="1837">
        <v>980.76</v>
      </c>
      <c r="S179" s="1873">
        <f t="shared" si="14"/>
        <v>-3.4965034965035446E-3</v>
      </c>
      <c r="T179" s="1873">
        <f t="shared" si="14"/>
        <v>-8.040780410838444E-3</v>
      </c>
    </row>
    <row r="180" spans="2:20" x14ac:dyDescent="0.3">
      <c r="B180" s="1838">
        <v>43373</v>
      </c>
      <c r="C180" s="1839">
        <v>1008.39</v>
      </c>
      <c r="D180" s="1840">
        <f t="shared" si="10"/>
        <v>-8.5928052461337057E-3</v>
      </c>
      <c r="F180" s="1839">
        <v>2885.57</v>
      </c>
      <c r="G180" s="1840">
        <f t="shared" si="11"/>
        <v>-9.749552158902941E-3</v>
      </c>
      <c r="H180" s="1838">
        <v>43373</v>
      </c>
      <c r="M180" s="1844">
        <f t="shared" si="12"/>
        <v>-9.749552158902941E-3</v>
      </c>
      <c r="N180" s="1823">
        <f t="shared" si="13"/>
        <v>0</v>
      </c>
      <c r="P180" s="1838">
        <v>43541</v>
      </c>
      <c r="Q180" s="1872">
        <v>36608</v>
      </c>
      <c r="R180" s="1837">
        <v>988.71</v>
      </c>
      <c r="S180" s="1873">
        <f t="shared" si="14"/>
        <v>-1.7788629229159358E-2</v>
      </c>
      <c r="T180" s="1873">
        <f t="shared" si="14"/>
        <v>-1.5346771302234719E-2</v>
      </c>
    </row>
    <row r="181" spans="2:20" x14ac:dyDescent="0.3">
      <c r="B181" s="1838">
        <v>43366</v>
      </c>
      <c r="C181" s="1839">
        <v>1017.13</v>
      </c>
      <c r="D181" s="1840">
        <f t="shared" si="10"/>
        <v>1.4118069334077665E-2</v>
      </c>
      <c r="F181" s="1839">
        <v>2913.98</v>
      </c>
      <c r="G181" s="1840">
        <f t="shared" si="11"/>
        <v>-5.3555519904971982E-3</v>
      </c>
      <c r="H181" s="1838">
        <v>43366</v>
      </c>
      <c r="M181" s="1844">
        <f t="shared" si="12"/>
        <v>-5.3555519904971982E-3</v>
      </c>
      <c r="N181" s="1823">
        <f t="shared" si="13"/>
        <v>0</v>
      </c>
      <c r="P181" s="1838">
        <v>43534</v>
      </c>
      <c r="Q181" s="1872">
        <v>37271</v>
      </c>
      <c r="R181" s="1839">
        <v>1004.12</v>
      </c>
      <c r="S181" s="1873">
        <f t="shared" si="14"/>
        <v>5.116056067913255E-2</v>
      </c>
      <c r="T181" s="1873">
        <f t="shared" si="14"/>
        <v>1.9152499365643338E-2</v>
      </c>
    </row>
    <row r="182" spans="2:20" x14ac:dyDescent="0.3">
      <c r="B182" s="1838">
        <v>43359</v>
      </c>
      <c r="C182" s="1839">
        <v>1002.97</v>
      </c>
      <c r="D182" s="1840">
        <f t="shared" si="10"/>
        <v>1.1731595618052371E-2</v>
      </c>
      <c r="F182" s="1839">
        <v>2929.67</v>
      </c>
      <c r="G182" s="1840">
        <f t="shared" si="11"/>
        <v>8.4991979290736097E-3</v>
      </c>
      <c r="H182" s="1838">
        <v>43359</v>
      </c>
      <c r="M182" s="1844">
        <f t="shared" si="12"/>
        <v>8.4991979290736097E-3</v>
      </c>
      <c r="N182" s="1823">
        <f t="shared" si="13"/>
        <v>0</v>
      </c>
      <c r="P182" s="1838">
        <v>43527</v>
      </c>
      <c r="Q182" s="1872">
        <v>35457</v>
      </c>
      <c r="R182" s="1837">
        <v>985.25</v>
      </c>
      <c r="S182" s="1873">
        <f t="shared" si="14"/>
        <v>3.7391380672342711E-2</v>
      </c>
      <c r="T182" s="1873">
        <f t="shared" si="14"/>
        <v>5.7368598348355171E-3</v>
      </c>
    </row>
    <row r="183" spans="2:20" x14ac:dyDescent="0.3">
      <c r="B183" s="1838">
        <v>43352</v>
      </c>
      <c r="C183" s="1837">
        <v>991.34</v>
      </c>
      <c r="D183" s="1840">
        <f t="shared" si="10"/>
        <v>2.3160284859118585E-2</v>
      </c>
      <c r="F183" s="1839">
        <v>2904.98</v>
      </c>
      <c r="G183" s="1840">
        <f t="shared" si="11"/>
        <v>1.1595999554268044E-2</v>
      </c>
      <c r="H183" s="1838">
        <v>43352</v>
      </c>
      <c r="M183" s="1844">
        <f t="shared" si="12"/>
        <v>1.1595999554268044E-2</v>
      </c>
      <c r="N183" s="1823">
        <f t="shared" si="13"/>
        <v>0</v>
      </c>
      <c r="P183" s="1838">
        <v>43520</v>
      </c>
      <c r="Q183" s="1872">
        <v>34179</v>
      </c>
      <c r="R183" s="1837">
        <v>979.63</v>
      </c>
      <c r="S183" s="1873">
        <f t="shared" si="14"/>
        <v>3.1102932303608055E-2</v>
      </c>
      <c r="T183" s="1873">
        <f t="shared" si="14"/>
        <v>-9.3840693288570476E-3</v>
      </c>
    </row>
    <row r="184" spans="2:20" x14ac:dyDescent="0.3">
      <c r="B184" s="1838">
        <v>43345</v>
      </c>
      <c r="C184" s="1837">
        <v>968.9</v>
      </c>
      <c r="D184" s="1840">
        <f t="shared" si="10"/>
        <v>-2.0858176526466821E-2</v>
      </c>
      <c r="F184" s="1839">
        <v>2871.68</v>
      </c>
      <c r="G184" s="1840">
        <f t="shared" si="11"/>
        <v>-1.0284264799139797E-2</v>
      </c>
      <c r="H184" s="1838">
        <v>43345</v>
      </c>
      <c r="M184" s="1844">
        <f t="shared" si="12"/>
        <v>-1.0284264799139797E-2</v>
      </c>
      <c r="N184" s="1823">
        <f t="shared" si="13"/>
        <v>0</v>
      </c>
      <c r="P184" s="1838">
        <v>43513</v>
      </c>
      <c r="Q184" s="1872">
        <v>33148</v>
      </c>
      <c r="R184" s="1837">
        <v>988.91</v>
      </c>
      <c r="S184" s="1873">
        <f t="shared" si="14"/>
        <v>-2.4676497141137288E-3</v>
      </c>
      <c r="T184" s="1873">
        <f t="shared" si="14"/>
        <v>3.9983594316903126E-2</v>
      </c>
    </row>
    <row r="185" spans="2:20" x14ac:dyDescent="0.3">
      <c r="B185" s="1838">
        <v>43338</v>
      </c>
      <c r="C185" s="1837">
        <v>989.54</v>
      </c>
      <c r="D185" s="1840">
        <f t="shared" si="10"/>
        <v>2.5226685578239039E-3</v>
      </c>
      <c r="F185" s="1839">
        <v>2901.52</v>
      </c>
      <c r="G185" s="1840">
        <f t="shared" si="11"/>
        <v>9.3331802733511715E-3</v>
      </c>
      <c r="H185" s="1838">
        <v>43338</v>
      </c>
      <c r="M185" s="1844">
        <f t="shared" si="12"/>
        <v>9.3331802733511715E-3</v>
      </c>
      <c r="N185" s="1823">
        <f t="shared" si="13"/>
        <v>0</v>
      </c>
      <c r="P185" s="1838">
        <v>43506</v>
      </c>
      <c r="Q185" s="1872">
        <v>33230</v>
      </c>
      <c r="R185" s="1837">
        <v>950.89</v>
      </c>
      <c r="S185" s="1873">
        <f t="shared" si="14"/>
        <v>1.5090420332355858E-2</v>
      </c>
      <c r="T185" s="1873">
        <f t="shared" si="14"/>
        <v>4.6463512606336854E-2</v>
      </c>
    </row>
    <row r="186" spans="2:20" x14ac:dyDescent="0.3">
      <c r="B186" s="1838">
        <v>43331</v>
      </c>
      <c r="C186" s="1837">
        <v>987.05</v>
      </c>
      <c r="D186" s="1840">
        <f t="shared" si="10"/>
        <v>1.8753612418462406E-2</v>
      </c>
      <c r="F186" s="1839">
        <v>2874.69</v>
      </c>
      <c r="G186" s="1840">
        <f t="shared" si="11"/>
        <v>8.6171507966303906E-3</v>
      </c>
      <c r="H186" s="1838">
        <v>43331</v>
      </c>
      <c r="M186" s="1844">
        <f t="shared" si="12"/>
        <v>8.6171507966303906E-3</v>
      </c>
      <c r="N186" s="1823">
        <f t="shared" si="13"/>
        <v>0</v>
      </c>
      <c r="P186" s="1838">
        <v>43492</v>
      </c>
      <c r="Q186" s="1872">
        <v>32736</v>
      </c>
      <c r="R186" s="1837">
        <v>908.67</v>
      </c>
      <c r="S186" s="1873">
        <f t="shared" si="14"/>
        <v>1.0183299389002087E-2</v>
      </c>
      <c r="T186" s="1873">
        <f t="shared" si="14"/>
        <v>-2.310536044363154E-4</v>
      </c>
    </row>
    <row r="187" spans="2:20" x14ac:dyDescent="0.3">
      <c r="B187" s="1838">
        <v>43324</v>
      </c>
      <c r="C187" s="1837">
        <v>968.88</v>
      </c>
      <c r="D187" s="1840">
        <f t="shared" si="10"/>
        <v>4.2334816772848782E-4</v>
      </c>
      <c r="F187" s="1839">
        <v>2850.13</v>
      </c>
      <c r="G187" s="1840">
        <f t="shared" si="11"/>
        <v>5.9471707702731802E-3</v>
      </c>
      <c r="H187" s="1838">
        <v>43324</v>
      </c>
      <c r="M187" s="1844">
        <f t="shared" si="12"/>
        <v>5.9471707702731802E-3</v>
      </c>
      <c r="N187" s="1823">
        <f t="shared" si="13"/>
        <v>0</v>
      </c>
      <c r="P187" s="1838">
        <v>43485</v>
      </c>
      <c r="Q187" s="1872">
        <v>32406</v>
      </c>
      <c r="R187" s="1837">
        <v>908.88</v>
      </c>
      <c r="S187" s="1873">
        <f t="shared" si="14"/>
        <v>-1.7493860473577261E-2</v>
      </c>
      <c r="T187" s="1873">
        <f t="shared" si="14"/>
        <v>7.2924747866562889E-3</v>
      </c>
    </row>
    <row r="188" spans="2:20" x14ac:dyDescent="0.3">
      <c r="B188" s="1838">
        <v>43317</v>
      </c>
      <c r="C188" s="1837">
        <v>968.47</v>
      </c>
      <c r="D188" s="1840">
        <f t="shared" si="10"/>
        <v>9.2434347644851922E-3</v>
      </c>
      <c r="F188" s="1839">
        <v>2833.28</v>
      </c>
      <c r="G188" s="1840">
        <f t="shared" si="11"/>
        <v>-2.4891298607564449E-3</v>
      </c>
      <c r="H188" s="1838">
        <v>43317</v>
      </c>
      <c r="M188" s="1844">
        <f t="shared" si="12"/>
        <v>-2.4891298607564449E-3</v>
      </c>
      <c r="N188" s="1823">
        <f t="shared" si="13"/>
        <v>0</v>
      </c>
      <c r="P188" s="1838">
        <v>43478</v>
      </c>
      <c r="Q188" s="1872">
        <v>32983</v>
      </c>
      <c r="R188" s="1837">
        <v>902.3</v>
      </c>
      <c r="S188" s="1873">
        <f t="shared" si="14"/>
        <v>0</v>
      </c>
      <c r="T188" s="1873">
        <f t="shared" si="14"/>
        <v>-4.541879451873676E-4</v>
      </c>
    </row>
    <row r="189" spans="2:20" x14ac:dyDescent="0.3">
      <c r="B189" s="1838">
        <v>43310</v>
      </c>
      <c r="C189" s="1837">
        <v>959.6</v>
      </c>
      <c r="D189" s="1840">
        <f t="shared" si="10"/>
        <v>2.5739695570377918E-2</v>
      </c>
      <c r="F189" s="1839">
        <v>2840.35</v>
      </c>
      <c r="G189" s="1840">
        <f t="shared" si="11"/>
        <v>7.6379477937575935E-3</v>
      </c>
      <c r="H189" s="1838">
        <v>43310</v>
      </c>
      <c r="M189" s="1844">
        <f t="shared" si="12"/>
        <v>7.6379477937575935E-3</v>
      </c>
      <c r="N189" s="1823">
        <f t="shared" si="13"/>
        <v>0</v>
      </c>
      <c r="P189" s="1838">
        <v>43471</v>
      </c>
      <c r="Q189" s="1872">
        <v>32983</v>
      </c>
      <c r="R189" s="1837">
        <v>902.71</v>
      </c>
      <c r="S189" s="1873">
        <f t="shared" si="14"/>
        <v>-2.5101312526462083E-3</v>
      </c>
      <c r="T189" s="1873">
        <f t="shared" si="14"/>
        <v>2.4758769440345274E-2</v>
      </c>
    </row>
    <row r="190" spans="2:20" x14ac:dyDescent="0.3">
      <c r="B190" s="1838">
        <v>43303</v>
      </c>
      <c r="C190" s="1837">
        <v>935.52</v>
      </c>
      <c r="D190" s="1840">
        <f t="shared" si="10"/>
        <v>2.2820043068814133E-3</v>
      </c>
      <c r="F190" s="1839">
        <v>2818.82</v>
      </c>
      <c r="G190" s="1840">
        <f t="shared" si="11"/>
        <v>6.0638939550223814E-3</v>
      </c>
      <c r="H190" s="1838">
        <v>43303</v>
      </c>
      <c r="M190" s="1844">
        <f t="shared" si="12"/>
        <v>6.0638939550223814E-3</v>
      </c>
      <c r="N190" s="1823">
        <f t="shared" si="13"/>
        <v>0</v>
      </c>
      <c r="P190" s="1838">
        <v>43464</v>
      </c>
      <c r="Q190" s="1872">
        <v>33066</v>
      </c>
      <c r="R190" s="1837">
        <v>880.9</v>
      </c>
      <c r="S190" s="1873">
        <f t="shared" si="14"/>
        <v>-4.9352994282274576E-3</v>
      </c>
      <c r="T190" s="1873">
        <f t="shared" si="14"/>
        <v>-1.3041432316758916E-2</v>
      </c>
    </row>
    <row r="191" spans="2:20" x14ac:dyDescent="0.3">
      <c r="B191" s="1838">
        <v>43296</v>
      </c>
      <c r="C191" s="1837">
        <v>933.39</v>
      </c>
      <c r="D191" s="1840">
        <f t="shared" si="10"/>
        <v>2.6018994855559807E-2</v>
      </c>
      <c r="F191" s="1839">
        <v>2801.83</v>
      </c>
      <c r="G191" s="1840">
        <f t="shared" si="11"/>
        <v>1.8562743859118491E-4</v>
      </c>
      <c r="H191" s="1838">
        <v>43296</v>
      </c>
      <c r="M191" s="1844">
        <f t="shared" si="12"/>
        <v>1.8562743859118491E-4</v>
      </c>
      <c r="N191" s="1823">
        <f t="shared" si="13"/>
        <v>0</v>
      </c>
      <c r="P191" s="1838">
        <v>43457</v>
      </c>
      <c r="Q191" s="1872">
        <v>33230</v>
      </c>
      <c r="R191" s="1837">
        <v>892.54</v>
      </c>
      <c r="S191" s="1873">
        <f t="shared" si="14"/>
        <v>-2.7765587056379659E-2</v>
      </c>
      <c r="T191" s="1873">
        <f t="shared" si="14"/>
        <v>-2.161664437769939E-2</v>
      </c>
    </row>
    <row r="192" spans="2:20" x14ac:dyDescent="0.3">
      <c r="B192" s="1838">
        <v>43289</v>
      </c>
      <c r="C192" s="1837">
        <v>909.72</v>
      </c>
      <c r="D192" s="1840">
        <f t="shared" si="10"/>
        <v>-8.4903706771587428E-3</v>
      </c>
      <c r="F192" s="1839">
        <v>2801.31</v>
      </c>
      <c r="G192" s="1840">
        <f t="shared" si="11"/>
        <v>1.5033589147118276E-2</v>
      </c>
      <c r="H192" s="1838">
        <v>43289</v>
      </c>
      <c r="M192" s="1844">
        <f t="shared" si="12"/>
        <v>1.5033589147118276E-2</v>
      </c>
      <c r="N192" s="1823">
        <f t="shared" si="13"/>
        <v>0</v>
      </c>
      <c r="P192" s="1838">
        <v>43450</v>
      </c>
      <c r="Q192" s="1872">
        <v>34179</v>
      </c>
      <c r="R192" s="1837">
        <v>912.26</v>
      </c>
      <c r="S192" s="1873">
        <f t="shared" si="14"/>
        <v>-2.3933919033303219E-3</v>
      </c>
      <c r="T192" s="1873">
        <f t="shared" si="14"/>
        <v>-4.1783958657199305E-2</v>
      </c>
    </row>
    <row r="193" spans="2:20" x14ac:dyDescent="0.3">
      <c r="B193" s="1838">
        <v>43282</v>
      </c>
      <c r="C193" s="1837">
        <v>917.51</v>
      </c>
      <c r="D193" s="1840">
        <f t="shared" si="10"/>
        <v>-4.5036324652886206E-2</v>
      </c>
      <c r="F193" s="1839">
        <v>2759.82</v>
      </c>
      <c r="G193" s="1840">
        <f t="shared" si="11"/>
        <v>1.5248108241335823E-2</v>
      </c>
      <c r="H193" s="1838">
        <v>43282</v>
      </c>
      <c r="M193" s="1844">
        <f t="shared" si="12"/>
        <v>1.5248108241335823E-2</v>
      </c>
      <c r="N193" s="1823">
        <f t="shared" si="13"/>
        <v>0</v>
      </c>
      <c r="P193" s="1838">
        <v>43443</v>
      </c>
      <c r="Q193" s="1872">
        <v>34261</v>
      </c>
      <c r="R193" s="1837">
        <v>952.04</v>
      </c>
      <c r="S193" s="1873">
        <f t="shared" si="14"/>
        <v>1.1981297486849396E-3</v>
      </c>
      <c r="T193" s="1873">
        <f t="shared" si="14"/>
        <v>-6.8329525657476742E-3</v>
      </c>
    </row>
    <row r="194" spans="2:20" x14ac:dyDescent="0.3">
      <c r="B194" s="1838">
        <v>43275</v>
      </c>
      <c r="C194" s="1837">
        <v>960.78</v>
      </c>
      <c r="D194" s="1840">
        <f t="shared" si="10"/>
        <v>-2.2773274204867966E-2</v>
      </c>
      <c r="F194" s="1839">
        <v>2718.37</v>
      </c>
      <c r="G194" s="1840">
        <f t="shared" si="11"/>
        <v>-1.3252845858984896E-2</v>
      </c>
      <c r="H194" s="1838">
        <v>43275</v>
      </c>
      <c r="M194" s="1844">
        <f t="shared" si="12"/>
        <v>-1.3252845858984896E-2</v>
      </c>
      <c r="N194" s="1823">
        <f t="shared" si="13"/>
        <v>0</v>
      </c>
      <c r="P194" s="1838">
        <v>43436</v>
      </c>
      <c r="Q194" s="1872">
        <v>34220</v>
      </c>
      <c r="R194" s="1837">
        <v>958.59</v>
      </c>
      <c r="S194" s="1873">
        <f t="shared" si="14"/>
        <v>3.2339809339930081E-2</v>
      </c>
      <c r="T194" s="1873">
        <f t="shared" si="14"/>
        <v>3.4591059209532204E-2</v>
      </c>
    </row>
    <row r="195" spans="2:20" x14ac:dyDescent="0.3">
      <c r="B195" s="1838">
        <v>43268</v>
      </c>
      <c r="C195" s="1837">
        <v>983.17</v>
      </c>
      <c r="D195" s="1840">
        <f t="shared" si="10"/>
        <v>-3.2798496817542433E-2</v>
      </c>
      <c r="F195" s="1839">
        <v>2754.88</v>
      </c>
      <c r="G195" s="1840">
        <f t="shared" si="11"/>
        <v>-8.9147593590581664E-3</v>
      </c>
      <c r="H195" s="1838">
        <v>43268</v>
      </c>
      <c r="M195" s="1844">
        <f t="shared" si="12"/>
        <v>-8.9147593590581664E-3</v>
      </c>
      <c r="N195" s="1823">
        <f t="shared" si="13"/>
        <v>0</v>
      </c>
      <c r="P195" s="1838">
        <v>43429</v>
      </c>
      <c r="Q195" s="1872">
        <v>33148</v>
      </c>
      <c r="R195" s="1837">
        <v>926.54</v>
      </c>
      <c r="S195" s="1873">
        <f t="shared" si="14"/>
        <v>1.7715145374719743E-2</v>
      </c>
      <c r="T195" s="1873">
        <f t="shared" si="14"/>
        <v>9.3358170746320468E-3</v>
      </c>
    </row>
    <row r="196" spans="2:20" x14ac:dyDescent="0.3">
      <c r="B196" s="1838">
        <v>43261</v>
      </c>
      <c r="C196" s="1839">
        <v>1016.51</v>
      </c>
      <c r="D196" s="1840">
        <f t="shared" si="10"/>
        <v>-2.1655229497309914E-2</v>
      </c>
      <c r="F196" s="1839">
        <v>2779.66</v>
      </c>
      <c r="G196" s="1840">
        <f t="shared" si="11"/>
        <v>2.2669780462947209E-4</v>
      </c>
      <c r="H196" s="1838">
        <v>43261</v>
      </c>
      <c r="M196" s="1844">
        <f t="shared" si="12"/>
        <v>2.2669780462947209E-4</v>
      </c>
      <c r="N196" s="1823">
        <f t="shared" si="13"/>
        <v>0</v>
      </c>
      <c r="P196" s="1838">
        <v>43422</v>
      </c>
      <c r="Q196" s="1872">
        <v>32571</v>
      </c>
      <c r="R196" s="1837">
        <v>917.97</v>
      </c>
      <c r="S196" s="1873">
        <f t="shared" si="14"/>
        <v>-3.186398359242637E-2</v>
      </c>
      <c r="T196" s="1873">
        <f t="shared" si="14"/>
        <v>2.2022066600607904E-2</v>
      </c>
    </row>
    <row r="197" spans="2:20" x14ac:dyDescent="0.3">
      <c r="B197" s="1838">
        <v>43254</v>
      </c>
      <c r="C197" s="1839">
        <v>1039.01</v>
      </c>
      <c r="D197" s="1840">
        <f t="shared" si="10"/>
        <v>4.6471340658897908E-2</v>
      </c>
      <c r="F197" s="1839">
        <v>2779.03</v>
      </c>
      <c r="G197" s="1840">
        <f t="shared" si="11"/>
        <v>1.6239916332068116E-2</v>
      </c>
      <c r="H197" s="1838">
        <v>43254</v>
      </c>
      <c r="M197" s="1844">
        <f t="shared" si="12"/>
        <v>1.6239916332068116E-2</v>
      </c>
      <c r="N197" s="1823">
        <f t="shared" si="13"/>
        <v>0</v>
      </c>
      <c r="P197" s="1838">
        <v>43415</v>
      </c>
      <c r="Q197" s="1872">
        <v>33643</v>
      </c>
      <c r="R197" s="1837">
        <v>898.19</v>
      </c>
      <c r="S197" s="1873">
        <f t="shared" si="14"/>
        <v>2.0010308340660421E-2</v>
      </c>
      <c r="T197" s="1873">
        <f t="shared" si="14"/>
        <v>-1.7609292456441494E-2</v>
      </c>
    </row>
    <row r="198" spans="2:20" x14ac:dyDescent="0.3">
      <c r="B198" s="1838">
        <v>43247</v>
      </c>
      <c r="C198" s="1837">
        <v>992.87</v>
      </c>
      <c r="D198" s="1840">
        <f t="shared" si="10"/>
        <v>3.0054984956945807E-2</v>
      </c>
      <c r="F198" s="1839">
        <v>2734.62</v>
      </c>
      <c r="G198" s="1840">
        <f t="shared" si="11"/>
        <v>4.883641454729748E-3</v>
      </c>
      <c r="H198" s="1838">
        <v>43247</v>
      </c>
      <c r="M198" s="1844">
        <f t="shared" si="12"/>
        <v>4.883641454729748E-3</v>
      </c>
      <c r="N198" s="1823">
        <f t="shared" si="13"/>
        <v>0</v>
      </c>
      <c r="P198" s="1838">
        <v>43408</v>
      </c>
      <c r="Q198" s="1872">
        <v>32983</v>
      </c>
      <c r="R198" s="1837">
        <v>914.29</v>
      </c>
      <c r="S198" s="1873">
        <f t="shared" si="14"/>
        <v>9.5889955809549177E-2</v>
      </c>
      <c r="T198" s="1873">
        <f t="shared" si="14"/>
        <v>-1.1428756784810701E-2</v>
      </c>
    </row>
    <row r="199" spans="2:20" x14ac:dyDescent="0.3">
      <c r="B199" s="1838">
        <v>43240</v>
      </c>
      <c r="C199" s="1837">
        <v>963.9</v>
      </c>
      <c r="D199" s="1840">
        <f t="shared" ref="D199:D262" si="15">C199/C200-1</f>
        <v>-7.3654064235877503E-2</v>
      </c>
      <c r="F199" s="1839">
        <v>2721.33</v>
      </c>
      <c r="G199" s="1840">
        <f t="shared" ref="G199:G262" si="16">F199/F200-1</f>
        <v>3.0814937135317244E-3</v>
      </c>
      <c r="H199" s="1838">
        <v>43240</v>
      </c>
      <c r="M199" s="1844">
        <f t="shared" ref="M199:M262" si="17">F199/F200-1</f>
        <v>3.0814937135317244E-3</v>
      </c>
      <c r="N199" s="1823">
        <f t="shared" ref="N199:N262" si="18">H199-B199</f>
        <v>0</v>
      </c>
      <c r="P199" s="1838">
        <v>43401</v>
      </c>
      <c r="Q199" s="1872">
        <v>30097</v>
      </c>
      <c r="R199" s="1837">
        <v>924.86</v>
      </c>
      <c r="S199" s="1873">
        <f t="shared" si="14"/>
        <v>1.3879063500084277E-2</v>
      </c>
      <c r="T199" s="1873">
        <f t="shared" si="14"/>
        <v>2.6686796474323371E-2</v>
      </c>
    </row>
    <row r="200" spans="2:20" x14ac:dyDescent="0.3">
      <c r="B200" s="1838">
        <v>43233</v>
      </c>
      <c r="C200" s="1839">
        <v>1040.54</v>
      </c>
      <c r="D200" s="1840">
        <f t="shared" si="15"/>
        <v>-4.1249940182800371E-3</v>
      </c>
      <c r="F200" s="1839">
        <v>2712.97</v>
      </c>
      <c r="G200" s="1840">
        <f t="shared" si="16"/>
        <v>-5.4074465121053406E-3</v>
      </c>
      <c r="H200" s="1838">
        <v>43233</v>
      </c>
      <c r="M200" s="1844">
        <f t="shared" si="17"/>
        <v>-5.4074465121053406E-3</v>
      </c>
      <c r="N200" s="1823">
        <f t="shared" si="18"/>
        <v>0</v>
      </c>
      <c r="P200" s="1838">
        <v>43394</v>
      </c>
      <c r="Q200" s="1872">
        <v>29685</v>
      </c>
      <c r="R200" s="1837">
        <v>900.82</v>
      </c>
      <c r="S200" s="1873">
        <f t="shared" si="14"/>
        <v>-2.4386235908896658E-2</v>
      </c>
      <c r="T200" s="1873">
        <f t="shared" si="14"/>
        <v>-6.0040068450269213E-2</v>
      </c>
    </row>
    <row r="201" spans="2:20" x14ac:dyDescent="0.3">
      <c r="B201" s="1838">
        <v>43226</v>
      </c>
      <c r="C201" s="1839">
        <v>1044.8499999999999</v>
      </c>
      <c r="D201" s="1840">
        <f t="shared" si="15"/>
        <v>1.7578885858979376E-2</v>
      </c>
      <c r="F201" s="1839">
        <v>2727.72</v>
      </c>
      <c r="G201" s="1840">
        <f t="shared" si="16"/>
        <v>2.4141892754428351E-2</v>
      </c>
      <c r="H201" s="1838">
        <v>43226</v>
      </c>
      <c r="M201" s="1844">
        <f t="shared" si="17"/>
        <v>2.4141892754428351E-2</v>
      </c>
      <c r="N201" s="1823">
        <f t="shared" si="18"/>
        <v>0</v>
      </c>
      <c r="P201" s="1838">
        <v>43387</v>
      </c>
      <c r="Q201" s="1872">
        <v>30427</v>
      </c>
      <c r="R201" s="1837">
        <v>958.36</v>
      </c>
      <c r="S201" s="1873">
        <f t="shared" si="14"/>
        <v>0</v>
      </c>
      <c r="T201" s="1873">
        <f t="shared" si="14"/>
        <v>-1.2081477816262565E-2</v>
      </c>
    </row>
    <row r="202" spans="2:20" x14ac:dyDescent="0.3">
      <c r="B202" s="1838">
        <v>43219</v>
      </c>
      <c r="C202" s="1839">
        <v>1026.8</v>
      </c>
      <c r="D202" s="1840">
        <f t="shared" si="15"/>
        <v>-2.2337325995467783E-2</v>
      </c>
      <c r="F202" s="1839">
        <v>2663.42</v>
      </c>
      <c r="G202" s="1840">
        <f t="shared" si="16"/>
        <v>-2.4307935473479869E-3</v>
      </c>
      <c r="H202" s="1838">
        <v>43219</v>
      </c>
      <c r="M202" s="1844">
        <f t="shared" si="17"/>
        <v>-2.4307935473479869E-3</v>
      </c>
      <c r="N202" s="1823">
        <f t="shared" si="18"/>
        <v>0</v>
      </c>
      <c r="P202" s="1838">
        <v>43380</v>
      </c>
      <c r="Q202" s="1872">
        <v>30427</v>
      </c>
      <c r="R202" s="1837">
        <v>970.08</v>
      </c>
      <c r="S202" s="1873">
        <f t="shared" si="14"/>
        <v>-2.6877314890687565E-3</v>
      </c>
      <c r="T202" s="1873">
        <f t="shared" si="14"/>
        <v>-3.7991253384107249E-2</v>
      </c>
    </row>
    <row r="203" spans="2:20" x14ac:dyDescent="0.3">
      <c r="B203" s="1838">
        <v>43212</v>
      </c>
      <c r="C203" s="1839">
        <v>1050.26</v>
      </c>
      <c r="D203" s="1840">
        <f t="shared" si="15"/>
        <v>-6.2150625971103435E-2</v>
      </c>
      <c r="F203" s="1839">
        <v>2669.91</v>
      </c>
      <c r="G203" s="1840">
        <f t="shared" si="16"/>
        <v>-8.6137805508368359E-5</v>
      </c>
      <c r="H203" s="1838">
        <v>43212</v>
      </c>
      <c r="M203" s="1844">
        <f t="shared" si="17"/>
        <v>-8.6137805508368359E-5</v>
      </c>
      <c r="N203" s="1823">
        <f t="shared" si="18"/>
        <v>0</v>
      </c>
      <c r="P203" s="1838">
        <v>43373</v>
      </c>
      <c r="Q203" s="1872">
        <v>30509</v>
      </c>
      <c r="R203" s="1839">
        <v>1008.39</v>
      </c>
      <c r="S203" s="1873">
        <f t="shared" si="14"/>
        <v>-5.3791484644976073E-3</v>
      </c>
      <c r="T203" s="1873">
        <f t="shared" si="14"/>
        <v>-8.5928052461337057E-3</v>
      </c>
    </row>
    <row r="204" spans="2:20" x14ac:dyDescent="0.3">
      <c r="B204" s="1838">
        <v>43205</v>
      </c>
      <c r="C204" s="1839">
        <v>1119.8599999999999</v>
      </c>
      <c r="D204" s="1840">
        <f t="shared" si="15"/>
        <v>-3.2217363499663088E-2</v>
      </c>
      <c r="F204" s="1839">
        <v>2670.14</v>
      </c>
      <c r="G204" s="1840">
        <f t="shared" si="16"/>
        <v>5.2102548657906311E-3</v>
      </c>
      <c r="H204" s="1838">
        <v>43205</v>
      </c>
      <c r="M204" s="1844">
        <f t="shared" si="17"/>
        <v>5.2102548657906311E-3</v>
      </c>
      <c r="N204" s="1823">
        <f t="shared" si="18"/>
        <v>0</v>
      </c>
      <c r="P204" s="1838">
        <v>43366</v>
      </c>
      <c r="Q204" s="1872">
        <v>30674</v>
      </c>
      <c r="R204" s="1839">
        <v>1017.13</v>
      </c>
      <c r="S204" s="1873">
        <f t="shared" si="14"/>
        <v>-1.5881163977028434E-2</v>
      </c>
      <c r="T204" s="1873">
        <f t="shared" si="14"/>
        <v>1.4118069334077665E-2</v>
      </c>
    </row>
    <row r="205" spans="2:20" x14ac:dyDescent="0.3">
      <c r="B205" s="1838">
        <v>43198</v>
      </c>
      <c r="C205" s="1839">
        <v>1157.1400000000001</v>
      </c>
      <c r="D205" s="1840">
        <f t="shared" si="15"/>
        <v>-3.5684522817427178E-2</v>
      </c>
      <c r="F205" s="1839">
        <v>2656.3</v>
      </c>
      <c r="G205" s="1840">
        <f t="shared" si="16"/>
        <v>1.9900402001175044E-2</v>
      </c>
      <c r="H205" s="1838">
        <v>43198</v>
      </c>
      <c r="M205" s="1844">
        <f t="shared" si="17"/>
        <v>1.9900402001175044E-2</v>
      </c>
      <c r="N205" s="1823">
        <f t="shared" si="18"/>
        <v>0</v>
      </c>
      <c r="P205" s="1838">
        <v>43359</v>
      </c>
      <c r="Q205" s="1872">
        <v>31169</v>
      </c>
      <c r="R205" s="1839">
        <v>1002.97</v>
      </c>
      <c r="S205" s="1873">
        <f t="shared" si="14"/>
        <v>5.3218939491679329E-3</v>
      </c>
      <c r="T205" s="1873">
        <f t="shared" si="14"/>
        <v>1.1731595618052371E-2</v>
      </c>
    </row>
    <row r="206" spans="2:20" x14ac:dyDescent="0.3">
      <c r="B206" s="1838">
        <v>43191</v>
      </c>
      <c r="C206" s="1839">
        <v>1199.96</v>
      </c>
      <c r="D206" s="1840">
        <f t="shared" si="15"/>
        <v>2.1712105989135422E-2</v>
      </c>
      <c r="F206" s="1839">
        <v>2604.4699999999998</v>
      </c>
      <c r="G206" s="1840">
        <f t="shared" si="16"/>
        <v>-1.3783336551969616E-2</v>
      </c>
      <c r="H206" s="1838">
        <v>43191</v>
      </c>
      <c r="M206" s="1844">
        <f t="shared" si="17"/>
        <v>-1.3783336551969616E-2</v>
      </c>
      <c r="N206" s="1823">
        <f t="shared" si="18"/>
        <v>0</v>
      </c>
      <c r="P206" s="1838">
        <v>43352</v>
      </c>
      <c r="Q206" s="1872">
        <v>31004</v>
      </c>
      <c r="R206" s="1837">
        <v>991.34</v>
      </c>
      <c r="S206" s="1873">
        <f t="shared" si="14"/>
        <v>-2.6699263357673475E-3</v>
      </c>
      <c r="T206" s="1873">
        <f t="shared" si="14"/>
        <v>2.3160284859118585E-2</v>
      </c>
    </row>
    <row r="207" spans="2:20" x14ac:dyDescent="0.3">
      <c r="B207" s="1838">
        <v>43184</v>
      </c>
      <c r="C207" s="1839">
        <v>1174.46</v>
      </c>
      <c r="D207" s="1840">
        <f t="shared" si="15"/>
        <v>1.809134961294756E-2</v>
      </c>
      <c r="F207" s="1839">
        <v>2640.87</v>
      </c>
      <c r="G207" s="1840">
        <f t="shared" si="16"/>
        <v>2.0326396884393194E-2</v>
      </c>
      <c r="H207" s="1838">
        <v>43184</v>
      </c>
      <c r="M207" s="1844">
        <f t="shared" si="17"/>
        <v>2.0326396884393194E-2</v>
      </c>
      <c r="N207" s="1823">
        <f t="shared" si="18"/>
        <v>0</v>
      </c>
      <c r="P207" s="1838">
        <v>43345</v>
      </c>
      <c r="Q207" s="1872">
        <v>31087</v>
      </c>
      <c r="R207" s="1837">
        <v>968.9</v>
      </c>
      <c r="S207" s="1873">
        <f t="shared" si="14"/>
        <v>-7.8828110040212174E-3</v>
      </c>
      <c r="T207" s="1873">
        <f t="shared" si="14"/>
        <v>-2.0858176526466821E-2</v>
      </c>
    </row>
    <row r="208" spans="2:20" x14ac:dyDescent="0.3">
      <c r="B208" s="1838">
        <v>43177</v>
      </c>
      <c r="C208" s="1839">
        <v>1153.5899999999999</v>
      </c>
      <c r="D208" s="1840">
        <f t="shared" si="15"/>
        <v>2.9560333510114667E-3</v>
      </c>
      <c r="F208" s="1839">
        <v>2588.2600000000002</v>
      </c>
      <c r="G208" s="1840">
        <f t="shared" si="16"/>
        <v>-5.9501964019026077E-2</v>
      </c>
      <c r="H208" s="1838">
        <v>43177</v>
      </c>
      <c r="M208" s="1844">
        <f t="shared" si="17"/>
        <v>-5.9501964019026077E-2</v>
      </c>
      <c r="N208" s="1823">
        <f t="shared" si="18"/>
        <v>0</v>
      </c>
      <c r="P208" s="1838">
        <v>43338</v>
      </c>
      <c r="Q208" s="1872">
        <v>31334</v>
      </c>
      <c r="R208" s="1837">
        <v>989.54</v>
      </c>
      <c r="S208" s="1873">
        <f t="shared" si="14"/>
        <v>0</v>
      </c>
      <c r="T208" s="1873">
        <f t="shared" si="14"/>
        <v>2.5226685578239039E-3</v>
      </c>
    </row>
    <row r="209" spans="2:20" x14ac:dyDescent="0.3">
      <c r="B209" s="1838">
        <v>43170</v>
      </c>
      <c r="C209" s="1839">
        <v>1150.19</v>
      </c>
      <c r="D209" s="1840">
        <f t="shared" si="15"/>
        <v>2.3838135676200078E-2</v>
      </c>
      <c r="F209" s="1839">
        <v>2752.01</v>
      </c>
      <c r="G209" s="1840">
        <f t="shared" si="16"/>
        <v>-1.2402344100453266E-2</v>
      </c>
      <c r="H209" s="1838">
        <v>43170</v>
      </c>
      <c r="M209" s="1844">
        <f t="shared" si="17"/>
        <v>-1.2402344100453266E-2</v>
      </c>
      <c r="N209" s="1823">
        <f t="shared" si="18"/>
        <v>0</v>
      </c>
      <c r="P209" s="1838">
        <v>43331</v>
      </c>
      <c r="Q209" s="1872">
        <v>31334</v>
      </c>
      <c r="R209" s="1837">
        <v>987.05</v>
      </c>
      <c r="S209" s="1873">
        <f t="shared" si="14"/>
        <v>-3.9188028946400055E-2</v>
      </c>
      <c r="T209" s="1873">
        <f t="shared" si="14"/>
        <v>1.8753612418462406E-2</v>
      </c>
    </row>
    <row r="210" spans="2:20" x14ac:dyDescent="0.3">
      <c r="B210" s="1838">
        <v>43163</v>
      </c>
      <c r="C210" s="1839">
        <v>1123.4100000000001</v>
      </c>
      <c r="D210" s="1840">
        <f t="shared" si="15"/>
        <v>1.9621658743678161E-3</v>
      </c>
      <c r="F210" s="1839">
        <v>2786.57</v>
      </c>
      <c r="G210" s="1840">
        <f t="shared" si="16"/>
        <v>3.5418485833720537E-2</v>
      </c>
      <c r="H210" s="1838">
        <v>43163</v>
      </c>
      <c r="M210" s="1844">
        <f t="shared" si="17"/>
        <v>3.5418485833720537E-2</v>
      </c>
      <c r="N210" s="1823">
        <f t="shared" si="18"/>
        <v>0</v>
      </c>
      <c r="P210" s="1838">
        <v>43324</v>
      </c>
      <c r="Q210" s="1872">
        <v>32612</v>
      </c>
      <c r="R210" s="1837">
        <v>968.88</v>
      </c>
      <c r="S210" s="1873">
        <f t="shared" si="14"/>
        <v>-1.495152082641138E-2</v>
      </c>
      <c r="T210" s="1873">
        <f t="shared" si="14"/>
        <v>4.2334816772848782E-4</v>
      </c>
    </row>
    <row r="211" spans="2:20" x14ac:dyDescent="0.3">
      <c r="B211" s="1838">
        <v>43156</v>
      </c>
      <c r="C211" s="1839">
        <v>1121.21</v>
      </c>
      <c r="D211" s="1840">
        <f t="shared" si="15"/>
        <v>1.664777621616742E-2</v>
      </c>
      <c r="F211" s="1839">
        <v>2691.25</v>
      </c>
      <c r="G211" s="1840">
        <f t="shared" si="16"/>
        <v>-2.0401849088195756E-2</v>
      </c>
      <c r="H211" s="1838">
        <v>43156</v>
      </c>
      <c r="M211" s="1844">
        <f t="shared" si="17"/>
        <v>-2.0401849088195756E-2</v>
      </c>
      <c r="N211" s="1823">
        <f t="shared" si="18"/>
        <v>0</v>
      </c>
      <c r="P211" s="1838">
        <v>43317</v>
      </c>
      <c r="Q211" s="1872">
        <v>33107</v>
      </c>
      <c r="R211" s="1837">
        <v>968.47</v>
      </c>
      <c r="S211" s="1873">
        <f t="shared" si="14"/>
        <v>-3.4837618797737724E-2</v>
      </c>
      <c r="T211" s="1873">
        <f t="shared" si="14"/>
        <v>9.2434347644851922E-3</v>
      </c>
    </row>
    <row r="212" spans="2:20" x14ac:dyDescent="0.3">
      <c r="B212" s="1838">
        <v>43149</v>
      </c>
      <c r="C212" s="1839">
        <v>1102.8499999999999</v>
      </c>
      <c r="D212" s="1840">
        <f t="shared" si="15"/>
        <v>4.0689609617543976E-2</v>
      </c>
      <c r="F212" s="1839">
        <v>2747.3</v>
      </c>
      <c r="G212" s="1840">
        <f t="shared" si="16"/>
        <v>5.5193212845232598E-3</v>
      </c>
      <c r="H212" s="1838">
        <v>43149</v>
      </c>
      <c r="M212" s="1844">
        <f t="shared" si="17"/>
        <v>5.5193212845232598E-3</v>
      </c>
      <c r="N212" s="1823">
        <f t="shared" si="18"/>
        <v>0</v>
      </c>
      <c r="P212" s="1838">
        <v>43310</v>
      </c>
      <c r="Q212" s="1872">
        <v>34302</v>
      </c>
      <c r="R212" s="1837">
        <v>959.6</v>
      </c>
      <c r="S212" s="1873">
        <f t="shared" si="14"/>
        <v>-2.2345094909650531E-2</v>
      </c>
      <c r="T212" s="1873">
        <f t="shared" si="14"/>
        <v>2.5739695570377918E-2</v>
      </c>
    </row>
    <row r="213" spans="2:20" x14ac:dyDescent="0.3">
      <c r="B213" s="1838">
        <v>43142</v>
      </c>
      <c r="C213" s="1839">
        <v>1059.73</v>
      </c>
      <c r="D213" s="1840">
        <f t="shared" si="15"/>
        <v>5.5571050062752647E-2</v>
      </c>
      <c r="F213" s="1839">
        <v>2732.22</v>
      </c>
      <c r="G213" s="1840">
        <f t="shared" si="16"/>
        <v>4.3011204214464138E-2</v>
      </c>
      <c r="H213" s="1838">
        <v>43142</v>
      </c>
      <c r="M213" s="1844">
        <f t="shared" si="17"/>
        <v>4.3011204214464138E-2</v>
      </c>
      <c r="N213" s="1823">
        <f t="shared" si="18"/>
        <v>0</v>
      </c>
      <c r="P213" s="1838">
        <v>43303</v>
      </c>
      <c r="Q213" s="1872">
        <v>35086</v>
      </c>
      <c r="R213" s="1837">
        <v>935.52</v>
      </c>
      <c r="S213" s="1873">
        <f t="shared" si="14"/>
        <v>3.5467078542417152E-3</v>
      </c>
      <c r="T213" s="1873">
        <f t="shared" si="14"/>
        <v>2.2820043068814133E-3</v>
      </c>
    </row>
    <row r="214" spans="2:20" x14ac:dyDescent="0.3">
      <c r="B214" s="1838">
        <v>43135</v>
      </c>
      <c r="C214" s="1839">
        <v>1003.94</v>
      </c>
      <c r="D214" s="1840">
        <f t="shared" si="15"/>
        <v>-9.1489900818069847E-2</v>
      </c>
      <c r="F214" s="1839">
        <v>2619.5500000000002</v>
      </c>
      <c r="G214" s="1840">
        <f t="shared" si="16"/>
        <v>-5.161958343741968E-2</v>
      </c>
      <c r="H214" s="1838">
        <v>43135</v>
      </c>
      <c r="M214" s="1844">
        <f t="shared" si="17"/>
        <v>-5.161958343741968E-2</v>
      </c>
      <c r="N214" s="1823">
        <f t="shared" si="18"/>
        <v>0</v>
      </c>
      <c r="P214" s="1838">
        <v>43296</v>
      </c>
      <c r="Q214" s="1872">
        <v>34962</v>
      </c>
      <c r="R214" s="1837">
        <v>933.39</v>
      </c>
      <c r="S214" s="1873">
        <f t="shared" si="14"/>
        <v>9.5287595287594229E-3</v>
      </c>
      <c r="T214" s="1873">
        <f t="shared" si="14"/>
        <v>2.6018994855559807E-2</v>
      </c>
    </row>
    <row r="215" spans="2:20" x14ac:dyDescent="0.3">
      <c r="B215" s="1838">
        <v>43128</v>
      </c>
      <c r="C215" s="1839">
        <v>1105.04</v>
      </c>
      <c r="D215" s="1840">
        <f t="shared" si="15"/>
        <v>-9.501272812018291E-3</v>
      </c>
      <c r="F215" s="1839">
        <v>2762.13</v>
      </c>
      <c r="G215" s="1840">
        <f t="shared" si="16"/>
        <v>-3.8546819034623869E-2</v>
      </c>
      <c r="H215" s="1838">
        <v>43128</v>
      </c>
      <c r="M215" s="1844">
        <f t="shared" si="17"/>
        <v>-3.8546819034623869E-2</v>
      </c>
      <c r="N215" s="1823">
        <f t="shared" si="18"/>
        <v>0</v>
      </c>
      <c r="P215" s="1838">
        <v>43289</v>
      </c>
      <c r="Q215" s="1872">
        <v>34632</v>
      </c>
      <c r="R215" s="1837">
        <v>909.72</v>
      </c>
      <c r="S215" s="1873">
        <f t="shared" si="14"/>
        <v>-4.7417880851797767E-3</v>
      </c>
      <c r="T215" s="1873">
        <f t="shared" si="14"/>
        <v>-8.4903706771587428E-3</v>
      </c>
    </row>
    <row r="216" spans="2:20" x14ac:dyDescent="0.3">
      <c r="B216" s="1838">
        <v>43121</v>
      </c>
      <c r="C216" s="1839">
        <v>1115.6400000000001</v>
      </c>
      <c r="D216" s="1840">
        <f t="shared" si="15"/>
        <v>5.0439236585159364E-2</v>
      </c>
      <c r="F216" s="1839">
        <v>2872.87</v>
      </c>
      <c r="G216" s="1840">
        <f t="shared" si="16"/>
        <v>2.2264526918834182E-2</v>
      </c>
      <c r="H216" s="1838">
        <v>43121</v>
      </c>
      <c r="M216" s="1844">
        <f t="shared" si="17"/>
        <v>2.2264526918834182E-2</v>
      </c>
      <c r="N216" s="1823">
        <f t="shared" si="18"/>
        <v>0</v>
      </c>
      <c r="P216" s="1838">
        <v>43282</v>
      </c>
      <c r="Q216" s="1872">
        <v>34797</v>
      </c>
      <c r="R216" s="1837">
        <v>917.51</v>
      </c>
      <c r="S216" s="1873">
        <f t="shared" si="14"/>
        <v>4.7643797643797114E-3</v>
      </c>
      <c r="T216" s="1873">
        <f t="shared" si="14"/>
        <v>-4.5036324652886206E-2</v>
      </c>
    </row>
    <row r="217" spans="2:20" x14ac:dyDescent="0.3">
      <c r="B217" s="1838">
        <v>43114</v>
      </c>
      <c r="C217" s="1839">
        <v>1062.07</v>
      </c>
      <c r="D217" s="1840">
        <f t="shared" si="15"/>
        <v>1.1389283027492425E-2</v>
      </c>
      <c r="F217" s="1839">
        <v>2810.3</v>
      </c>
      <c r="G217" s="1840">
        <f t="shared" si="16"/>
        <v>8.6352934420581562E-3</v>
      </c>
      <c r="H217" s="1838">
        <v>43114</v>
      </c>
      <c r="M217" s="1844">
        <f t="shared" si="17"/>
        <v>8.6352934420581562E-3</v>
      </c>
      <c r="N217" s="1823">
        <f t="shared" si="18"/>
        <v>0</v>
      </c>
      <c r="P217" s="1838">
        <v>43275</v>
      </c>
      <c r="Q217" s="1872">
        <v>34632</v>
      </c>
      <c r="R217" s="1837">
        <v>960.78</v>
      </c>
      <c r="S217" s="1873">
        <f t="shared" si="14"/>
        <v>-2.3267619934004613E-2</v>
      </c>
      <c r="T217" s="1873">
        <f t="shared" si="14"/>
        <v>-2.2773274204867966E-2</v>
      </c>
    </row>
    <row r="218" spans="2:20" x14ac:dyDescent="0.3">
      <c r="B218" s="1838">
        <v>43107</v>
      </c>
      <c r="C218" s="1839">
        <v>1050.1099999999999</v>
      </c>
      <c r="D218" s="1840">
        <f t="shared" si="15"/>
        <v>3.6992050560410661E-2</v>
      </c>
      <c r="F218" s="1839">
        <v>2786.24</v>
      </c>
      <c r="G218" s="1840">
        <f t="shared" si="16"/>
        <v>1.5708218653737394E-2</v>
      </c>
      <c r="H218" s="1838">
        <v>43107</v>
      </c>
      <c r="M218" s="1844">
        <f t="shared" si="17"/>
        <v>1.5708218653737394E-2</v>
      </c>
      <c r="N218" s="1823">
        <f t="shared" si="18"/>
        <v>0</v>
      </c>
      <c r="P218" s="1838">
        <v>43268</v>
      </c>
      <c r="Q218" s="1872">
        <v>35457</v>
      </c>
      <c r="R218" s="1837">
        <v>983.17</v>
      </c>
      <c r="S218" s="1873">
        <f t="shared" si="14"/>
        <v>-0.10416877210712483</v>
      </c>
      <c r="T218" s="1873">
        <f t="shared" si="14"/>
        <v>-3.2798496817542433E-2</v>
      </c>
    </row>
    <row r="219" spans="2:20" x14ac:dyDescent="0.3">
      <c r="B219" s="1838">
        <v>43100</v>
      </c>
      <c r="C219" s="1839">
        <v>1012.65</v>
      </c>
      <c r="D219" s="1840">
        <f t="shared" si="15"/>
        <v>2.8864910997317805E-2</v>
      </c>
      <c r="F219" s="1839">
        <v>2743.15</v>
      </c>
      <c r="G219" s="1840">
        <f t="shared" si="16"/>
        <v>2.6009777043024318E-2</v>
      </c>
      <c r="H219" s="1838">
        <v>43100</v>
      </c>
      <c r="M219" s="1844">
        <f t="shared" si="17"/>
        <v>2.6009777043024318E-2</v>
      </c>
      <c r="N219" s="1823">
        <f t="shared" si="18"/>
        <v>0</v>
      </c>
      <c r="P219" s="1838">
        <v>43261</v>
      </c>
      <c r="Q219" s="1872">
        <v>39580</v>
      </c>
      <c r="R219" s="1839">
        <v>1016.51</v>
      </c>
      <c r="S219" s="1873">
        <f t="shared" si="14"/>
        <v>-2.0394020394020385E-2</v>
      </c>
      <c r="T219" s="1873">
        <f t="shared" si="14"/>
        <v>-2.1655229497309914E-2</v>
      </c>
    </row>
    <row r="220" spans="2:20" x14ac:dyDescent="0.3">
      <c r="B220" s="1838">
        <v>43093</v>
      </c>
      <c r="C220" s="1837">
        <v>984.24</v>
      </c>
      <c r="D220" s="1840">
        <f t="shared" si="15"/>
        <v>3.3518145161290258E-2</v>
      </c>
      <c r="F220" s="1839">
        <v>2673.61</v>
      </c>
      <c r="G220" s="1840">
        <f t="shared" si="16"/>
        <v>-3.6260779476324778E-3</v>
      </c>
      <c r="H220" s="1838">
        <v>43093</v>
      </c>
      <c r="M220" s="1844">
        <f t="shared" si="17"/>
        <v>-3.6260779476324778E-3</v>
      </c>
      <c r="N220" s="1823">
        <f t="shared" si="18"/>
        <v>0</v>
      </c>
      <c r="P220" s="1838">
        <v>43254</v>
      </c>
      <c r="Q220" s="1872">
        <v>40404</v>
      </c>
      <c r="R220" s="1839">
        <v>1039.01</v>
      </c>
      <c r="S220" s="1873">
        <f t="shared" si="14"/>
        <v>3.1582709934383502E-2</v>
      </c>
      <c r="T220" s="1873">
        <f t="shared" si="14"/>
        <v>4.6471340658897908E-2</v>
      </c>
    </row>
    <row r="221" spans="2:20" x14ac:dyDescent="0.3">
      <c r="B221" s="1838">
        <v>43086</v>
      </c>
      <c r="C221" s="1837">
        <v>952.32</v>
      </c>
      <c r="D221" s="1840">
        <f t="shared" si="15"/>
        <v>1.8349801103554553E-2</v>
      </c>
      <c r="F221" s="1839">
        <v>2683.34</v>
      </c>
      <c r="G221" s="1840">
        <f t="shared" si="16"/>
        <v>2.8141011506797042E-3</v>
      </c>
      <c r="H221" s="1838">
        <v>43086</v>
      </c>
      <c r="M221" s="1844">
        <f t="shared" si="17"/>
        <v>2.8141011506797042E-3</v>
      </c>
      <c r="N221" s="1823">
        <f t="shared" si="18"/>
        <v>0</v>
      </c>
      <c r="P221" s="1838">
        <v>43247</v>
      </c>
      <c r="Q221" s="1872">
        <v>39167</v>
      </c>
      <c r="R221" s="1837">
        <v>992.87</v>
      </c>
      <c r="S221" s="1873">
        <f t="shared" si="14"/>
        <v>-2.1146496815286353E-3</v>
      </c>
      <c r="T221" s="1873">
        <f t="shared" si="14"/>
        <v>3.0054984956945807E-2</v>
      </c>
    </row>
    <row r="222" spans="2:20" x14ac:dyDescent="0.3">
      <c r="B222" s="1838">
        <v>43079</v>
      </c>
      <c r="C222" s="1837">
        <v>935.16</v>
      </c>
      <c r="D222" s="1840">
        <f t="shared" si="15"/>
        <v>-5.3182437031994434E-3</v>
      </c>
      <c r="F222" s="1839">
        <v>2675.81</v>
      </c>
      <c r="G222" s="1840">
        <f t="shared" si="16"/>
        <v>9.1683952479728603E-3</v>
      </c>
      <c r="H222" s="1838">
        <v>43079</v>
      </c>
      <c r="M222" s="1844">
        <f t="shared" si="17"/>
        <v>9.1683952479728603E-3</v>
      </c>
      <c r="N222" s="1823">
        <f t="shared" si="18"/>
        <v>0</v>
      </c>
      <c r="P222" s="1838">
        <v>43240</v>
      </c>
      <c r="Q222" s="1872">
        <v>39250</v>
      </c>
      <c r="R222" s="1837">
        <v>963.9</v>
      </c>
      <c r="S222" s="1873">
        <f t="shared" si="14"/>
        <v>-6.2536395169253689E-3</v>
      </c>
      <c r="T222" s="1873">
        <f t="shared" si="14"/>
        <v>-7.3654064235877503E-2</v>
      </c>
    </row>
    <row r="223" spans="2:20" x14ac:dyDescent="0.3">
      <c r="B223" s="1838">
        <v>43072</v>
      </c>
      <c r="C223" s="1837">
        <v>940.16</v>
      </c>
      <c r="D223" s="1840">
        <f t="shared" si="15"/>
        <v>-2.1003196817760639E-2</v>
      </c>
      <c r="F223" s="1839">
        <v>2651.5</v>
      </c>
      <c r="G223" s="1840">
        <f t="shared" si="16"/>
        <v>3.512198075860562E-3</v>
      </c>
      <c r="H223" s="1838">
        <v>43072</v>
      </c>
      <c r="M223" s="1844">
        <f t="shared" si="17"/>
        <v>3.512198075860562E-3</v>
      </c>
      <c r="N223" s="1823">
        <f t="shared" si="18"/>
        <v>0</v>
      </c>
      <c r="P223" s="1838">
        <v>43233</v>
      </c>
      <c r="Q223" s="1872">
        <v>39497</v>
      </c>
      <c r="R223" s="1839">
        <v>1040.54</v>
      </c>
      <c r="S223" s="1873">
        <f t="shared" ref="S223:T286" si="19">Q223/Q224-1</f>
        <v>0</v>
      </c>
      <c r="T223" s="1873">
        <f t="shared" si="19"/>
        <v>-4.1249940182800371E-3</v>
      </c>
    </row>
    <row r="224" spans="2:20" x14ac:dyDescent="0.3">
      <c r="B224" s="1838">
        <v>43065</v>
      </c>
      <c r="C224" s="1837">
        <v>960.33</v>
      </c>
      <c r="D224" s="1840">
        <f t="shared" si="15"/>
        <v>2.6465149587951764E-2</v>
      </c>
      <c r="F224" s="1839">
        <v>2642.22</v>
      </c>
      <c r="G224" s="1840">
        <f t="shared" si="16"/>
        <v>1.529345762790002E-2</v>
      </c>
      <c r="H224" s="1838">
        <v>43065</v>
      </c>
      <c r="M224" s="1844">
        <f t="shared" si="17"/>
        <v>1.529345762790002E-2</v>
      </c>
      <c r="N224" s="1823">
        <f t="shared" si="18"/>
        <v>0</v>
      </c>
      <c r="P224" s="1838">
        <v>43226</v>
      </c>
      <c r="Q224" s="1872">
        <v>39497</v>
      </c>
      <c r="R224" s="1839">
        <v>1044.8499999999999</v>
      </c>
      <c r="S224" s="1873">
        <f t="shared" si="19"/>
        <v>1.9145916655915363E-2</v>
      </c>
      <c r="T224" s="1873">
        <f t="shared" si="19"/>
        <v>1.7578885858979376E-2</v>
      </c>
    </row>
    <row r="225" spans="2:20" x14ac:dyDescent="0.3">
      <c r="B225" s="1838">
        <v>43058</v>
      </c>
      <c r="C225" s="1837">
        <v>935.57</v>
      </c>
      <c r="D225" s="1840">
        <f t="shared" si="15"/>
        <v>5.0387901514556077E-2</v>
      </c>
      <c r="F225" s="1839">
        <v>2602.42</v>
      </c>
      <c r="G225" s="1840">
        <f t="shared" si="16"/>
        <v>9.1397328266475952E-3</v>
      </c>
      <c r="H225" s="1838">
        <v>43058</v>
      </c>
      <c r="M225" s="1844">
        <f t="shared" si="17"/>
        <v>9.1397328266475952E-3</v>
      </c>
      <c r="N225" s="1823">
        <f t="shared" si="18"/>
        <v>0</v>
      </c>
      <c r="P225" s="1838">
        <v>43219</v>
      </c>
      <c r="Q225" s="1872">
        <v>38755</v>
      </c>
      <c r="R225" s="1839">
        <v>1026.8</v>
      </c>
      <c r="S225" s="1873">
        <f t="shared" si="19"/>
        <v>0</v>
      </c>
      <c r="T225" s="1873">
        <f t="shared" si="19"/>
        <v>-2.2337325995467783E-2</v>
      </c>
    </row>
    <row r="226" spans="2:20" x14ac:dyDescent="0.3">
      <c r="B226" s="1838">
        <v>43051</v>
      </c>
      <c r="C226" s="1837">
        <v>890.69</v>
      </c>
      <c r="D226" s="1840">
        <f t="shared" si="15"/>
        <v>2.5892353232512821E-2</v>
      </c>
      <c r="F226" s="1839">
        <v>2578.85</v>
      </c>
      <c r="G226" s="1840">
        <f t="shared" si="16"/>
        <v>-1.3360182782791163E-3</v>
      </c>
      <c r="H226" s="1838">
        <v>43051</v>
      </c>
      <c r="M226" s="1844">
        <f t="shared" si="17"/>
        <v>-1.3360182782791163E-3</v>
      </c>
      <c r="N226" s="1823">
        <f t="shared" si="18"/>
        <v>0</v>
      </c>
      <c r="P226" s="1838">
        <v>43212</v>
      </c>
      <c r="Q226" s="1872">
        <v>38755</v>
      </c>
      <c r="R226" s="1839">
        <v>1050.26</v>
      </c>
      <c r="S226" s="1873">
        <f t="shared" si="19"/>
        <v>-3.2914108898537742E-2</v>
      </c>
      <c r="T226" s="1873">
        <f t="shared" si="19"/>
        <v>-6.2150625971103435E-2</v>
      </c>
    </row>
    <row r="227" spans="2:20" x14ac:dyDescent="0.3">
      <c r="B227" s="1838">
        <v>43044</v>
      </c>
      <c r="C227" s="1837">
        <v>868.21</v>
      </c>
      <c r="D227" s="1840">
        <f t="shared" si="15"/>
        <v>2.9014021073092033E-2</v>
      </c>
      <c r="F227" s="1839">
        <v>2582.3000000000002</v>
      </c>
      <c r="G227" s="1840">
        <f t="shared" si="16"/>
        <v>-2.1407815011746933E-3</v>
      </c>
      <c r="H227" s="1838">
        <v>43044</v>
      </c>
      <c r="M227" s="1844">
        <f t="shared" si="17"/>
        <v>-2.1407815011746933E-3</v>
      </c>
      <c r="N227" s="1823">
        <f t="shared" si="18"/>
        <v>0</v>
      </c>
      <c r="P227" s="1838">
        <v>43205</v>
      </c>
      <c r="Q227" s="1872">
        <v>40074</v>
      </c>
      <c r="R227" s="1839">
        <v>1119.8599999999999</v>
      </c>
      <c r="S227" s="1873">
        <f t="shared" si="19"/>
        <v>-2.0668874666932568E-3</v>
      </c>
      <c r="T227" s="1873">
        <f t="shared" si="19"/>
        <v>-3.2217363499663088E-2</v>
      </c>
    </row>
    <row r="228" spans="2:20" x14ac:dyDescent="0.3">
      <c r="B228" s="1838">
        <v>43037</v>
      </c>
      <c r="C228" s="1837">
        <v>843.73</v>
      </c>
      <c r="D228" s="1840">
        <f t="shared" si="15"/>
        <v>3.9982388709736139E-3</v>
      </c>
      <c r="F228" s="1839">
        <v>2587.84</v>
      </c>
      <c r="G228" s="1840">
        <f t="shared" si="16"/>
        <v>2.6229431979760687E-3</v>
      </c>
      <c r="H228" s="1838">
        <v>43037</v>
      </c>
      <c r="M228" s="1844">
        <f t="shared" si="17"/>
        <v>2.6229431979760687E-3</v>
      </c>
      <c r="N228" s="1823">
        <f t="shared" si="18"/>
        <v>0</v>
      </c>
      <c r="P228" s="1838">
        <v>43198</v>
      </c>
      <c r="Q228" s="1872">
        <v>40157</v>
      </c>
      <c r="R228" s="1839">
        <v>1157.1400000000001</v>
      </c>
      <c r="S228" s="1873">
        <f t="shared" si="19"/>
        <v>-4.134737043137815E-2</v>
      </c>
      <c r="T228" s="1873">
        <f t="shared" si="19"/>
        <v>-3.5684522817427178E-2</v>
      </c>
    </row>
    <row r="229" spans="2:20" x14ac:dyDescent="0.3">
      <c r="B229" s="1838">
        <v>43030</v>
      </c>
      <c r="C229" s="1837">
        <v>840.37</v>
      </c>
      <c r="D229" s="1840">
        <f t="shared" si="15"/>
        <v>1.6363504426491149E-2</v>
      </c>
      <c r="F229" s="1839">
        <v>2581.0700000000002</v>
      </c>
      <c r="G229" s="1840">
        <f t="shared" si="16"/>
        <v>2.2755425771101567E-3</v>
      </c>
      <c r="H229" s="1838">
        <v>43030</v>
      </c>
      <c r="M229" s="1844">
        <f t="shared" si="17"/>
        <v>2.2755425771101567E-3</v>
      </c>
      <c r="N229" s="1823">
        <f t="shared" si="18"/>
        <v>0</v>
      </c>
      <c r="P229" s="1838">
        <v>43191</v>
      </c>
      <c r="Q229" s="1872">
        <v>41889</v>
      </c>
      <c r="R229" s="1839">
        <v>1199.96</v>
      </c>
      <c r="S229" s="1873">
        <f t="shared" si="19"/>
        <v>4.7434486897379502E-2</v>
      </c>
      <c r="T229" s="1873">
        <f t="shared" si="19"/>
        <v>2.1712105989135422E-2</v>
      </c>
    </row>
    <row r="230" spans="2:20" x14ac:dyDescent="0.3">
      <c r="B230" s="1838">
        <v>43023</v>
      </c>
      <c r="C230" s="1837">
        <v>826.84</v>
      </c>
      <c r="D230" s="1840">
        <f t="shared" si="15"/>
        <v>7.1746147755649137E-3</v>
      </c>
      <c r="F230" s="1839">
        <v>2575.21</v>
      </c>
      <c r="G230" s="1840">
        <f t="shared" si="16"/>
        <v>8.632405989417169E-3</v>
      </c>
      <c r="H230" s="1838">
        <v>43023</v>
      </c>
      <c r="M230" s="1844">
        <f t="shared" si="17"/>
        <v>8.632405989417169E-3</v>
      </c>
      <c r="N230" s="1823">
        <f t="shared" si="18"/>
        <v>0</v>
      </c>
      <c r="P230" s="1838">
        <v>43184</v>
      </c>
      <c r="Q230" s="1872">
        <v>39992</v>
      </c>
      <c r="R230" s="1839">
        <v>1174.46</v>
      </c>
      <c r="S230" s="1873">
        <f t="shared" si="19"/>
        <v>-1.4222682343661419E-2</v>
      </c>
      <c r="T230" s="1873">
        <f t="shared" si="19"/>
        <v>1.809134961294756E-2</v>
      </c>
    </row>
    <row r="231" spans="2:20" x14ac:dyDescent="0.3">
      <c r="B231" s="1838">
        <v>43016</v>
      </c>
      <c r="C231" s="1837">
        <v>820.95</v>
      </c>
      <c r="D231" s="1840">
        <f t="shared" si="15"/>
        <v>1.6278781876702286E-2</v>
      </c>
      <c r="F231" s="1839">
        <v>2553.17</v>
      </c>
      <c r="G231" s="1840">
        <f t="shared" si="16"/>
        <v>1.5062781201335973E-3</v>
      </c>
      <c r="H231" s="1838">
        <v>43016</v>
      </c>
      <c r="M231" s="1844">
        <f t="shared" si="17"/>
        <v>1.5062781201335973E-3</v>
      </c>
      <c r="N231" s="1823">
        <f t="shared" si="18"/>
        <v>0</v>
      </c>
      <c r="P231" s="1838">
        <v>43177</v>
      </c>
      <c r="Q231" s="1872">
        <v>40569</v>
      </c>
      <c r="R231" s="1839">
        <v>1153.5899999999999</v>
      </c>
      <c r="S231" s="1873">
        <f t="shared" si="19"/>
        <v>-1.9930424699231786E-2</v>
      </c>
      <c r="T231" s="1873">
        <f t="shared" si="19"/>
        <v>2.9560333510114667E-3</v>
      </c>
    </row>
    <row r="232" spans="2:20" x14ac:dyDescent="0.3">
      <c r="B232" s="1838">
        <v>43009</v>
      </c>
      <c r="C232" s="1837">
        <v>807.8</v>
      </c>
      <c r="D232" s="1840">
        <f t="shared" si="15"/>
        <v>4.2017851371174419E-3</v>
      </c>
      <c r="F232" s="1839">
        <v>2549.33</v>
      </c>
      <c r="G232" s="1840">
        <f t="shared" si="16"/>
        <v>1.1895878318302966E-2</v>
      </c>
      <c r="H232" s="1838">
        <v>43009</v>
      </c>
      <c r="M232" s="1844">
        <f t="shared" si="17"/>
        <v>1.1895878318302966E-2</v>
      </c>
      <c r="N232" s="1823">
        <f t="shared" si="18"/>
        <v>0</v>
      </c>
      <c r="P232" s="1838">
        <v>43170</v>
      </c>
      <c r="Q232" s="1872">
        <v>41394</v>
      </c>
      <c r="R232" s="1839">
        <v>1150.19</v>
      </c>
      <c r="S232" s="1873">
        <f t="shared" si="19"/>
        <v>-1.1816944782639838E-2</v>
      </c>
      <c r="T232" s="1873">
        <f t="shared" si="19"/>
        <v>2.3838135676200078E-2</v>
      </c>
    </row>
    <row r="233" spans="2:20" x14ac:dyDescent="0.3">
      <c r="B233" s="1838">
        <v>43002</v>
      </c>
      <c r="C233" s="1837">
        <v>804.42</v>
      </c>
      <c r="D233" s="1840">
        <f t="shared" si="15"/>
        <v>-3.3575756073991325E-3</v>
      </c>
      <c r="F233" s="1839">
        <v>2519.36</v>
      </c>
      <c r="G233" s="1840">
        <f t="shared" si="16"/>
        <v>6.8499172734612923E-3</v>
      </c>
      <c r="H233" s="1838">
        <v>43002</v>
      </c>
      <c r="M233" s="1844">
        <f t="shared" si="17"/>
        <v>6.8499172734612923E-3</v>
      </c>
      <c r="N233" s="1823">
        <f t="shared" si="18"/>
        <v>0</v>
      </c>
      <c r="P233" s="1838">
        <v>43163</v>
      </c>
      <c r="Q233" s="1872">
        <v>41889</v>
      </c>
      <c r="R233" s="1839">
        <v>1123.4100000000001</v>
      </c>
      <c r="S233" s="1873">
        <f t="shared" si="19"/>
        <v>0</v>
      </c>
      <c r="T233" s="1873">
        <f t="shared" si="19"/>
        <v>1.9621658743678161E-3</v>
      </c>
    </row>
    <row r="234" spans="2:20" x14ac:dyDescent="0.3">
      <c r="B234" s="1838">
        <v>42995</v>
      </c>
      <c r="C234" s="1837">
        <v>807.13</v>
      </c>
      <c r="D234" s="1840">
        <f t="shared" si="15"/>
        <v>1.6256732272714736E-3</v>
      </c>
      <c r="F234" s="1839">
        <v>2502.2199999999998</v>
      </c>
      <c r="G234" s="1840">
        <f t="shared" si="16"/>
        <v>7.9592677473661055E-4</v>
      </c>
      <c r="H234" s="1838">
        <v>42995</v>
      </c>
      <c r="M234" s="1844">
        <f t="shared" si="17"/>
        <v>7.9592677473661055E-4</v>
      </c>
      <c r="N234" s="1823">
        <f t="shared" si="18"/>
        <v>0</v>
      </c>
      <c r="P234" s="1838">
        <v>43156</v>
      </c>
      <c r="Q234" s="1872">
        <v>41889</v>
      </c>
      <c r="R234" s="1839">
        <v>1121.21</v>
      </c>
      <c r="S234" s="1873">
        <f t="shared" si="19"/>
        <v>1.195825481953916E-2</v>
      </c>
      <c r="T234" s="1873">
        <f t="shared" si="19"/>
        <v>1.664777621616742E-2</v>
      </c>
    </row>
    <row r="235" spans="2:20" x14ac:dyDescent="0.3">
      <c r="B235" s="1838">
        <v>42988</v>
      </c>
      <c r="C235" s="1837">
        <v>805.82</v>
      </c>
      <c r="D235" s="1840">
        <f t="shared" si="15"/>
        <v>5.7663504742886396E-3</v>
      </c>
      <c r="F235" s="1839">
        <v>2500.23</v>
      </c>
      <c r="G235" s="1840">
        <f t="shared" si="16"/>
        <v>1.5763194565760585E-2</v>
      </c>
      <c r="H235" s="1838">
        <v>42988</v>
      </c>
      <c r="M235" s="1844">
        <f t="shared" si="17"/>
        <v>1.5763194565760585E-2</v>
      </c>
      <c r="N235" s="1823">
        <f t="shared" si="18"/>
        <v>0</v>
      </c>
      <c r="P235" s="1838">
        <v>43149</v>
      </c>
      <c r="Q235" s="1872">
        <v>41394</v>
      </c>
      <c r="R235" s="1839">
        <v>1102.8499999999999</v>
      </c>
      <c r="S235" s="1873">
        <f t="shared" si="19"/>
        <v>-5.9316538988016809E-3</v>
      </c>
      <c r="T235" s="1873">
        <f t="shared" si="19"/>
        <v>4.0689609617543976E-2</v>
      </c>
    </row>
    <row r="236" spans="2:20" x14ac:dyDescent="0.3">
      <c r="B236" s="1838">
        <v>42981</v>
      </c>
      <c r="C236" s="1837">
        <v>801.2</v>
      </c>
      <c r="D236" s="1840">
        <f t="shared" si="15"/>
        <v>1.5810226566759233E-2</v>
      </c>
      <c r="F236" s="1839">
        <v>2461.4299999999998</v>
      </c>
      <c r="G236" s="1840">
        <f t="shared" si="16"/>
        <v>-6.1052674082898717E-3</v>
      </c>
      <c r="H236" s="1838">
        <v>42981</v>
      </c>
      <c r="M236" s="1844">
        <f t="shared" si="17"/>
        <v>-6.1052674082898717E-3</v>
      </c>
      <c r="N236" s="1823">
        <f t="shared" si="18"/>
        <v>0</v>
      </c>
      <c r="P236" s="1838">
        <v>43142</v>
      </c>
      <c r="Q236" s="1872">
        <v>41641</v>
      </c>
      <c r="R236" s="1839">
        <v>1059.73</v>
      </c>
      <c r="S236" s="1873">
        <f t="shared" si="19"/>
        <v>1.8142252866818254E-2</v>
      </c>
      <c r="T236" s="1873">
        <f t="shared" si="19"/>
        <v>5.5571050062752647E-2</v>
      </c>
    </row>
    <row r="237" spans="2:20" x14ac:dyDescent="0.3">
      <c r="B237" s="1838">
        <v>42974</v>
      </c>
      <c r="C237" s="1837">
        <v>788.73</v>
      </c>
      <c r="D237" s="1840">
        <f t="shared" si="15"/>
        <v>2.2160880214610712E-2</v>
      </c>
      <c r="F237" s="1839">
        <v>2476.5500000000002</v>
      </c>
      <c r="G237" s="1840">
        <f t="shared" si="16"/>
        <v>1.3712367737050091E-2</v>
      </c>
      <c r="H237" s="1838">
        <v>42974</v>
      </c>
      <c r="M237" s="1844">
        <f t="shared" si="17"/>
        <v>1.3712367737050091E-2</v>
      </c>
      <c r="N237" s="1823">
        <f t="shared" si="18"/>
        <v>0</v>
      </c>
      <c r="P237" s="1838">
        <v>43135</v>
      </c>
      <c r="Q237" s="1872">
        <v>40899</v>
      </c>
      <c r="R237" s="1839">
        <v>1003.94</v>
      </c>
      <c r="S237" s="1873">
        <f t="shared" si="19"/>
        <v>-6.4160355124362134E-2</v>
      </c>
      <c r="T237" s="1873">
        <f t="shared" si="19"/>
        <v>-9.1489900818069847E-2</v>
      </c>
    </row>
    <row r="238" spans="2:20" x14ac:dyDescent="0.3">
      <c r="B238" s="1838">
        <v>42967</v>
      </c>
      <c r="C238" s="1837">
        <v>771.63</v>
      </c>
      <c r="D238" s="1840">
        <f t="shared" si="15"/>
        <v>3.4591726595314398E-3</v>
      </c>
      <c r="F238" s="1839">
        <v>2443.0500000000002</v>
      </c>
      <c r="G238" s="1840">
        <f t="shared" si="16"/>
        <v>7.2148584857043563E-3</v>
      </c>
      <c r="H238" s="1838">
        <v>42967</v>
      </c>
      <c r="M238" s="1844">
        <f t="shared" si="17"/>
        <v>7.2148584857043563E-3</v>
      </c>
      <c r="N238" s="1823">
        <f t="shared" si="18"/>
        <v>0</v>
      </c>
      <c r="P238" s="1838">
        <v>43128</v>
      </c>
      <c r="Q238" s="1872">
        <v>43703</v>
      </c>
      <c r="R238" s="1839">
        <v>1105.04</v>
      </c>
      <c r="S238" s="1873">
        <f t="shared" si="19"/>
        <v>5.7070532735012947E-3</v>
      </c>
      <c r="T238" s="1873">
        <f t="shared" si="19"/>
        <v>-9.501272812018291E-3</v>
      </c>
    </row>
    <row r="239" spans="2:20" x14ac:dyDescent="0.3">
      <c r="B239" s="1838">
        <v>42960</v>
      </c>
      <c r="C239" s="1837">
        <v>768.97</v>
      </c>
      <c r="D239" s="1840">
        <f t="shared" si="15"/>
        <v>-4.0280799917107313E-3</v>
      </c>
      <c r="F239" s="1839">
        <v>2425.5500000000002</v>
      </c>
      <c r="G239" s="1840">
        <f t="shared" si="16"/>
        <v>-6.4596202054626461E-3</v>
      </c>
      <c r="H239" s="1838">
        <v>42960</v>
      </c>
      <c r="M239" s="1844">
        <f t="shared" si="17"/>
        <v>-6.4596202054626461E-3</v>
      </c>
      <c r="N239" s="1823">
        <f t="shared" si="18"/>
        <v>0</v>
      </c>
      <c r="P239" s="1838">
        <v>43121</v>
      </c>
      <c r="Q239" s="1872">
        <v>43455</v>
      </c>
      <c r="R239" s="1839">
        <v>1115.6400000000001</v>
      </c>
      <c r="S239" s="1873">
        <f t="shared" si="19"/>
        <v>-3.7826685006877581E-3</v>
      </c>
      <c r="T239" s="1873">
        <f t="shared" si="19"/>
        <v>5.0439236585159364E-2</v>
      </c>
    </row>
    <row r="240" spans="2:20" x14ac:dyDescent="0.3">
      <c r="B240" s="1838">
        <v>42953</v>
      </c>
      <c r="C240" s="1837">
        <v>772.08</v>
      </c>
      <c r="D240" s="1840">
        <f t="shared" si="15"/>
        <v>-2.1047826748491039E-2</v>
      </c>
      <c r="F240" s="1839">
        <v>2441.3200000000002</v>
      </c>
      <c r="G240" s="1840">
        <f t="shared" si="16"/>
        <v>-1.4336874149618595E-2</v>
      </c>
      <c r="H240" s="1838">
        <v>42953</v>
      </c>
      <c r="M240" s="1844">
        <f t="shared" si="17"/>
        <v>-1.4336874149618595E-2</v>
      </c>
      <c r="N240" s="1823">
        <f t="shared" si="18"/>
        <v>0</v>
      </c>
      <c r="P240" s="1838">
        <v>43114</v>
      </c>
      <c r="Q240" s="1872">
        <v>43620</v>
      </c>
      <c r="R240" s="1839">
        <v>1062.07</v>
      </c>
      <c r="S240" s="1873">
        <f t="shared" si="19"/>
        <v>1.8834121916486701E-3</v>
      </c>
      <c r="T240" s="1873">
        <f t="shared" si="19"/>
        <v>1.1389283027492425E-2</v>
      </c>
    </row>
    <row r="241" spans="2:20" x14ac:dyDescent="0.3">
      <c r="B241" s="1838">
        <v>42946</v>
      </c>
      <c r="C241" s="1837">
        <v>788.68</v>
      </c>
      <c r="D241" s="1840">
        <f t="shared" si="15"/>
        <v>1.4914617354489179E-2</v>
      </c>
      <c r="F241" s="1839">
        <v>2476.83</v>
      </c>
      <c r="G241" s="1840">
        <f t="shared" si="16"/>
        <v>1.9133530196997484E-3</v>
      </c>
      <c r="H241" s="1838">
        <v>42946</v>
      </c>
      <c r="M241" s="1844">
        <f t="shared" si="17"/>
        <v>1.9133530196997484E-3</v>
      </c>
      <c r="N241" s="1823">
        <f t="shared" si="18"/>
        <v>0</v>
      </c>
      <c r="P241" s="1838">
        <v>43107</v>
      </c>
      <c r="Q241" s="1872">
        <v>43538</v>
      </c>
      <c r="R241" s="1839">
        <v>1050.1099999999999</v>
      </c>
      <c r="S241" s="1873">
        <f t="shared" si="19"/>
        <v>1.5392508978963493E-2</v>
      </c>
      <c r="T241" s="1873">
        <f t="shared" si="19"/>
        <v>3.6992050560410661E-2</v>
      </c>
    </row>
    <row r="242" spans="2:20" x14ac:dyDescent="0.3">
      <c r="B242" s="1838">
        <v>42939</v>
      </c>
      <c r="C242" s="1837">
        <v>777.09</v>
      </c>
      <c r="D242" s="1840">
        <f t="shared" si="15"/>
        <v>1.9990549444779848E-2</v>
      </c>
      <c r="F242" s="1839">
        <v>2472.1</v>
      </c>
      <c r="G242" s="1840">
        <f t="shared" si="16"/>
        <v>-1.7795465391867715E-4</v>
      </c>
      <c r="H242" s="1838">
        <v>42939</v>
      </c>
      <c r="M242" s="1844">
        <f t="shared" si="17"/>
        <v>-1.7795465391867715E-4</v>
      </c>
      <c r="N242" s="1823">
        <f t="shared" si="18"/>
        <v>0</v>
      </c>
      <c r="P242" s="1838">
        <v>43100</v>
      </c>
      <c r="Q242" s="1872">
        <v>42878</v>
      </c>
      <c r="R242" s="1839">
        <v>1012.65</v>
      </c>
      <c r="S242" s="1873">
        <f t="shared" si="19"/>
        <v>-4.5862168717594964E-2</v>
      </c>
      <c r="T242" s="1873">
        <f t="shared" si="19"/>
        <v>2.8864910997317805E-2</v>
      </c>
    </row>
    <row r="243" spans="2:20" x14ac:dyDescent="0.3">
      <c r="B243" s="1838">
        <v>42932</v>
      </c>
      <c r="C243" s="1837">
        <v>761.86</v>
      </c>
      <c r="D243" s="1840">
        <f t="shared" si="15"/>
        <v>-2.024176954732515E-2</v>
      </c>
      <c r="F243" s="1839">
        <v>2472.54</v>
      </c>
      <c r="G243" s="1840">
        <f t="shared" si="16"/>
        <v>5.3959101684646349E-3</v>
      </c>
      <c r="H243" s="1838">
        <v>42932</v>
      </c>
      <c r="M243" s="1844">
        <f t="shared" si="17"/>
        <v>5.3959101684646349E-3</v>
      </c>
      <c r="N243" s="1823">
        <f t="shared" si="18"/>
        <v>0</v>
      </c>
      <c r="P243" s="1838">
        <v>43093</v>
      </c>
      <c r="Q243" s="1872">
        <v>44939</v>
      </c>
      <c r="R243" s="1837">
        <v>984.24</v>
      </c>
      <c r="S243" s="1873">
        <f t="shared" si="19"/>
        <v>-2.678880803880801E-2</v>
      </c>
      <c r="T243" s="1873">
        <f t="shared" si="19"/>
        <v>3.3518145161290258E-2</v>
      </c>
    </row>
    <row r="244" spans="2:20" x14ac:dyDescent="0.3">
      <c r="B244" s="1838">
        <v>42925</v>
      </c>
      <c r="C244" s="1837">
        <v>777.6</v>
      </c>
      <c r="D244" s="1840">
        <f t="shared" si="15"/>
        <v>2.4106325654544847E-3</v>
      </c>
      <c r="F244" s="1839">
        <v>2459.27</v>
      </c>
      <c r="G244" s="1840">
        <f t="shared" si="16"/>
        <v>1.4056688575693421E-2</v>
      </c>
      <c r="H244" s="1838">
        <v>42925</v>
      </c>
      <c r="M244" s="1844">
        <f t="shared" si="17"/>
        <v>1.4056688575693421E-2</v>
      </c>
      <c r="N244" s="1823">
        <f t="shared" si="18"/>
        <v>0</v>
      </c>
      <c r="P244" s="1838">
        <v>43086</v>
      </c>
      <c r="Q244" s="1872">
        <v>46176</v>
      </c>
      <c r="R244" s="1837">
        <v>952.32</v>
      </c>
      <c r="S244" s="1873">
        <f t="shared" si="19"/>
        <v>-8.8647534825817553E-3</v>
      </c>
      <c r="T244" s="1873">
        <f t="shared" si="19"/>
        <v>1.8349801103554553E-2</v>
      </c>
    </row>
    <row r="245" spans="2:20" x14ac:dyDescent="0.3">
      <c r="B245" s="1838">
        <v>42918</v>
      </c>
      <c r="C245" s="1837">
        <v>775.73</v>
      </c>
      <c r="D245" s="1840">
        <f t="shared" si="15"/>
        <v>-9.5303102502353187E-4</v>
      </c>
      <c r="F245" s="1839">
        <v>2425.1799999999998</v>
      </c>
      <c r="G245" s="1840">
        <f t="shared" si="16"/>
        <v>7.3037579278789622E-4</v>
      </c>
      <c r="H245" s="1838">
        <v>42918</v>
      </c>
      <c r="M245" s="1844">
        <f t="shared" si="17"/>
        <v>7.3037579278789622E-4</v>
      </c>
      <c r="N245" s="1823">
        <f t="shared" si="18"/>
        <v>0</v>
      </c>
      <c r="P245" s="1838">
        <v>43079</v>
      </c>
      <c r="Q245" s="1872">
        <v>46589</v>
      </c>
      <c r="R245" s="1837">
        <v>935.16</v>
      </c>
      <c r="S245" s="1873">
        <f t="shared" si="19"/>
        <v>-5.2737210692629377E-3</v>
      </c>
      <c r="T245" s="1873">
        <f t="shared" si="19"/>
        <v>-5.3182437031994434E-3</v>
      </c>
    </row>
    <row r="246" spans="2:20" x14ac:dyDescent="0.3">
      <c r="B246" s="1838">
        <v>42911</v>
      </c>
      <c r="C246" s="1837">
        <v>776.47</v>
      </c>
      <c r="D246" s="1840">
        <f t="shared" si="15"/>
        <v>9.7007841250438265E-3</v>
      </c>
      <c r="F246" s="1839">
        <v>2423.41</v>
      </c>
      <c r="G246" s="1840">
        <f t="shared" si="16"/>
        <v>-6.1067136939672029E-3</v>
      </c>
      <c r="H246" s="1838">
        <v>42911</v>
      </c>
      <c r="M246" s="1844">
        <f t="shared" si="17"/>
        <v>-6.1067136939672029E-3</v>
      </c>
      <c r="N246" s="1823">
        <f t="shared" si="18"/>
        <v>0</v>
      </c>
      <c r="P246" s="1838">
        <v>43072</v>
      </c>
      <c r="Q246" s="1872">
        <v>46836</v>
      </c>
      <c r="R246" s="1837">
        <v>940.16</v>
      </c>
      <c r="S246" s="1873">
        <f t="shared" si="19"/>
        <v>3.5353859998714654E-3</v>
      </c>
      <c r="T246" s="1873">
        <f t="shared" si="19"/>
        <v>-2.1003196817760639E-2</v>
      </c>
    </row>
    <row r="247" spans="2:20" x14ac:dyDescent="0.3">
      <c r="B247" s="1838">
        <v>42904</v>
      </c>
      <c r="C247" s="1837">
        <v>769.01</v>
      </c>
      <c r="D247" s="1840">
        <f t="shared" si="15"/>
        <v>1.0207030634228342E-2</v>
      </c>
      <c r="F247" s="1839">
        <v>2438.3000000000002</v>
      </c>
      <c r="G247" s="1840">
        <f t="shared" si="16"/>
        <v>2.1165978258637086E-3</v>
      </c>
      <c r="H247" s="1838">
        <v>42904</v>
      </c>
      <c r="M247" s="1844">
        <f t="shared" si="17"/>
        <v>2.1165978258637086E-3</v>
      </c>
      <c r="N247" s="1823">
        <f t="shared" si="18"/>
        <v>0</v>
      </c>
      <c r="P247" s="1838">
        <v>43065</v>
      </c>
      <c r="Q247" s="1872">
        <v>46671</v>
      </c>
      <c r="R247" s="1837">
        <v>960.33</v>
      </c>
      <c r="S247" s="1873">
        <f t="shared" si="19"/>
        <v>1.9819071759461515E-2</v>
      </c>
      <c r="T247" s="1873">
        <f t="shared" si="19"/>
        <v>2.6465149587951764E-2</v>
      </c>
    </row>
    <row r="248" spans="2:20" x14ac:dyDescent="0.3">
      <c r="B248" s="1838">
        <v>42897</v>
      </c>
      <c r="C248" s="1837">
        <v>761.24</v>
      </c>
      <c r="D248" s="1840">
        <f t="shared" si="15"/>
        <v>1.5365736541642194E-2</v>
      </c>
      <c r="F248" s="1839">
        <v>2433.15</v>
      </c>
      <c r="G248" s="1840">
        <f t="shared" si="16"/>
        <v>5.6748787919924659E-4</v>
      </c>
      <c r="H248" s="1838">
        <v>42897</v>
      </c>
      <c r="M248" s="1844">
        <f t="shared" si="17"/>
        <v>5.6748787919924659E-4</v>
      </c>
      <c r="N248" s="1823">
        <f t="shared" si="18"/>
        <v>0</v>
      </c>
      <c r="P248" s="1838">
        <v>43058</v>
      </c>
      <c r="Q248" s="1872">
        <v>45764</v>
      </c>
      <c r="R248" s="1837">
        <v>935.57</v>
      </c>
      <c r="S248" s="1873">
        <f t="shared" si="19"/>
        <v>8.8245785080731443E-2</v>
      </c>
      <c r="T248" s="1873">
        <f t="shared" si="19"/>
        <v>5.0387901514556077E-2</v>
      </c>
    </row>
    <row r="249" spans="2:20" x14ac:dyDescent="0.3">
      <c r="B249" s="1838">
        <v>42890</v>
      </c>
      <c r="C249" s="1837">
        <v>749.72</v>
      </c>
      <c r="D249" s="1840">
        <f t="shared" si="15"/>
        <v>1.4766990159851723E-2</v>
      </c>
      <c r="F249" s="1839">
        <v>2431.77</v>
      </c>
      <c r="G249" s="1840">
        <f t="shared" si="16"/>
        <v>-2.9929440319467204E-3</v>
      </c>
      <c r="H249" s="1838">
        <v>42890</v>
      </c>
      <c r="M249" s="1844">
        <f t="shared" si="17"/>
        <v>-2.9929440319467204E-3</v>
      </c>
      <c r="N249" s="1823">
        <f t="shared" si="18"/>
        <v>0</v>
      </c>
      <c r="P249" s="1838">
        <v>43051</v>
      </c>
      <c r="Q249" s="1872">
        <v>42053</v>
      </c>
      <c r="R249" s="1837">
        <v>890.69</v>
      </c>
      <c r="S249" s="1873">
        <f t="shared" si="19"/>
        <v>4.7214682371691019E-2</v>
      </c>
      <c r="T249" s="1873">
        <f t="shared" si="19"/>
        <v>2.5892353232512821E-2</v>
      </c>
    </row>
    <row r="250" spans="2:20" x14ac:dyDescent="0.3">
      <c r="B250" s="1838">
        <v>42883</v>
      </c>
      <c r="C250" s="1837">
        <v>738.81</v>
      </c>
      <c r="D250" s="1840">
        <f t="shared" si="15"/>
        <v>-6.1877026136317737E-3</v>
      </c>
      <c r="F250" s="1839">
        <v>2439.0700000000002</v>
      </c>
      <c r="G250" s="1840">
        <f t="shared" si="16"/>
        <v>9.6240613953026966E-3</v>
      </c>
      <c r="H250" s="1838">
        <v>42883</v>
      </c>
      <c r="M250" s="1844">
        <f t="shared" si="17"/>
        <v>9.6240613953026966E-3</v>
      </c>
      <c r="N250" s="1823">
        <f t="shared" si="18"/>
        <v>0</v>
      </c>
      <c r="P250" s="1838">
        <v>43044</v>
      </c>
      <c r="Q250" s="1872">
        <v>40157</v>
      </c>
      <c r="R250" s="1837">
        <v>868.21</v>
      </c>
      <c r="S250" s="1873">
        <f t="shared" si="19"/>
        <v>-8.150764442907632E-3</v>
      </c>
      <c r="T250" s="1873">
        <f t="shared" si="19"/>
        <v>2.9014021073092033E-2</v>
      </c>
    </row>
    <row r="251" spans="2:20" x14ac:dyDescent="0.3">
      <c r="B251" s="1838">
        <v>42876</v>
      </c>
      <c r="C251" s="1837">
        <v>743.41</v>
      </c>
      <c r="D251" s="1840">
        <f t="shared" si="15"/>
        <v>1.3068599929137781E-2</v>
      </c>
      <c r="F251" s="1839">
        <v>2415.8200000000002</v>
      </c>
      <c r="G251" s="1840">
        <f t="shared" si="16"/>
        <v>1.431312533326623E-2</v>
      </c>
      <c r="H251" s="1838">
        <v>42876</v>
      </c>
      <c r="M251" s="1844">
        <f t="shared" si="17"/>
        <v>1.431312533326623E-2</v>
      </c>
      <c r="N251" s="1823">
        <f t="shared" si="18"/>
        <v>0</v>
      </c>
      <c r="P251" s="1838">
        <v>43037</v>
      </c>
      <c r="Q251" s="1872">
        <v>40487</v>
      </c>
      <c r="R251" s="1837">
        <v>843.73</v>
      </c>
      <c r="S251" s="1873">
        <f t="shared" si="19"/>
        <v>-1.7997040917800522E-2</v>
      </c>
      <c r="T251" s="1873">
        <f t="shared" si="19"/>
        <v>3.9982388709736139E-3</v>
      </c>
    </row>
    <row r="252" spans="2:20" x14ac:dyDescent="0.3">
      <c r="B252" s="1838">
        <v>42869</v>
      </c>
      <c r="C252" s="1837">
        <v>733.82</v>
      </c>
      <c r="D252" s="1840">
        <f t="shared" si="15"/>
        <v>1.16492272908999E-2</v>
      </c>
      <c r="F252" s="1839">
        <v>2381.73</v>
      </c>
      <c r="G252" s="1840">
        <f t="shared" si="16"/>
        <v>-3.8353757999080029E-3</v>
      </c>
      <c r="H252" s="1838">
        <v>42869</v>
      </c>
      <c r="M252" s="1844">
        <f t="shared" si="17"/>
        <v>-3.8353757999080029E-3</v>
      </c>
      <c r="N252" s="1823">
        <f t="shared" si="18"/>
        <v>0</v>
      </c>
      <c r="P252" s="1838">
        <v>43030</v>
      </c>
      <c r="Q252" s="1872">
        <v>41229</v>
      </c>
      <c r="R252" s="1837">
        <v>840.37</v>
      </c>
      <c r="S252" s="1873">
        <f t="shared" si="19"/>
        <v>3.7338029940872985E-2</v>
      </c>
      <c r="T252" s="1873">
        <f t="shared" si="19"/>
        <v>1.6363504426491149E-2</v>
      </c>
    </row>
    <row r="253" spans="2:20" x14ac:dyDescent="0.3">
      <c r="B253" s="1838">
        <v>42862</v>
      </c>
      <c r="C253" s="1837">
        <v>725.37</v>
      </c>
      <c r="D253" s="1840">
        <f t="shared" si="15"/>
        <v>7.4583333333333446E-3</v>
      </c>
      <c r="F253" s="1839">
        <v>2390.9</v>
      </c>
      <c r="G253" s="1840">
        <f t="shared" si="16"/>
        <v>-3.4968678233977535E-3</v>
      </c>
      <c r="H253" s="1838">
        <v>42862</v>
      </c>
      <c r="M253" s="1844">
        <f t="shared" si="17"/>
        <v>-3.4968678233977535E-3</v>
      </c>
      <c r="N253" s="1823">
        <f t="shared" si="18"/>
        <v>0</v>
      </c>
      <c r="P253" s="1838">
        <v>43023</v>
      </c>
      <c r="Q253" s="1872">
        <v>39745</v>
      </c>
      <c r="R253" s="1837">
        <v>826.84</v>
      </c>
      <c r="S253" s="1873">
        <f t="shared" si="19"/>
        <v>1.2611464968152797E-2</v>
      </c>
      <c r="T253" s="1873">
        <f t="shared" si="19"/>
        <v>7.1746147755649137E-3</v>
      </c>
    </row>
    <row r="254" spans="2:20" x14ac:dyDescent="0.3">
      <c r="B254" s="1838">
        <v>42855</v>
      </c>
      <c r="C254" s="1837">
        <v>720</v>
      </c>
      <c r="D254" s="1840">
        <f t="shared" si="15"/>
        <v>3.1627492232455534E-3</v>
      </c>
      <c r="F254" s="1839">
        <v>2399.29</v>
      </c>
      <c r="G254" s="1840">
        <f t="shared" si="16"/>
        <v>6.3291670161900182E-3</v>
      </c>
      <c r="H254" s="1838">
        <v>42855</v>
      </c>
      <c r="M254" s="1844">
        <f t="shared" si="17"/>
        <v>6.3291670161900182E-3</v>
      </c>
      <c r="N254" s="1823">
        <f t="shared" si="18"/>
        <v>0</v>
      </c>
      <c r="P254" s="1838">
        <v>43016</v>
      </c>
      <c r="Q254" s="1872">
        <v>39250</v>
      </c>
      <c r="R254" s="1837">
        <v>820.95</v>
      </c>
      <c r="S254" s="1873">
        <f t="shared" si="19"/>
        <v>-3.8390866550701896E-2</v>
      </c>
      <c r="T254" s="1873">
        <f t="shared" si="19"/>
        <v>1.6278781876702286E-2</v>
      </c>
    </row>
    <row r="255" spans="2:20" x14ac:dyDescent="0.3">
      <c r="B255" s="1838">
        <v>42848</v>
      </c>
      <c r="C255" s="1837">
        <v>717.73</v>
      </c>
      <c r="D255" s="1840">
        <f t="shared" si="15"/>
        <v>7.4676099437123167E-3</v>
      </c>
      <c r="F255" s="1839">
        <v>2384.1999999999998</v>
      </c>
      <c r="G255" s="1840">
        <f t="shared" si="16"/>
        <v>1.5119066373169732E-2</v>
      </c>
      <c r="H255" s="1838">
        <v>42848</v>
      </c>
      <c r="M255" s="1844">
        <f t="shared" si="17"/>
        <v>1.5119066373169732E-2</v>
      </c>
      <c r="N255" s="1823">
        <f t="shared" si="18"/>
        <v>0</v>
      </c>
      <c r="P255" s="1838">
        <v>43009</v>
      </c>
      <c r="Q255" s="1872">
        <v>40817</v>
      </c>
      <c r="R255" s="1837">
        <v>807.8</v>
      </c>
      <c r="S255" s="1873">
        <f t="shared" si="19"/>
        <v>-7.9959169785641659E-3</v>
      </c>
      <c r="T255" s="1873">
        <f t="shared" si="19"/>
        <v>4.2017851371174419E-3</v>
      </c>
    </row>
    <row r="256" spans="2:20" x14ac:dyDescent="0.3">
      <c r="B256" s="1838">
        <v>42841</v>
      </c>
      <c r="C256" s="1837">
        <v>712.41</v>
      </c>
      <c r="D256" s="1840">
        <f t="shared" si="15"/>
        <v>-8.4069872642494881E-3</v>
      </c>
      <c r="F256" s="1839">
        <v>2348.69</v>
      </c>
      <c r="G256" s="1840">
        <f t="shared" si="16"/>
        <v>8.4759226260762155E-3</v>
      </c>
      <c r="H256" s="1838">
        <v>42841</v>
      </c>
      <c r="M256" s="1844">
        <f t="shared" si="17"/>
        <v>8.4759226260762155E-3</v>
      </c>
      <c r="N256" s="1823">
        <f t="shared" si="18"/>
        <v>0</v>
      </c>
      <c r="P256" s="1838">
        <v>43002</v>
      </c>
      <c r="Q256" s="1872">
        <v>41146</v>
      </c>
      <c r="R256" s="1837">
        <v>804.42</v>
      </c>
      <c r="S256" s="1873">
        <f t="shared" si="19"/>
        <v>6.0392674637521626E-3</v>
      </c>
      <c r="T256" s="1873">
        <f t="shared" si="19"/>
        <v>-3.3575756073991325E-3</v>
      </c>
    </row>
    <row r="257" spans="2:20" x14ac:dyDescent="0.3">
      <c r="B257" s="1838">
        <v>42834</v>
      </c>
      <c r="C257" s="1837">
        <v>718.45</v>
      </c>
      <c r="D257" s="1840">
        <f t="shared" si="15"/>
        <v>-1.3050346864482476E-2</v>
      </c>
      <c r="F257" s="1839">
        <v>2328.9499999999998</v>
      </c>
      <c r="G257" s="1840">
        <f t="shared" si="16"/>
        <v>-1.1288282092428936E-2</v>
      </c>
      <c r="H257" s="1838">
        <v>42834</v>
      </c>
      <c r="M257" s="1844">
        <f t="shared" si="17"/>
        <v>-1.1288282092428936E-2</v>
      </c>
      <c r="N257" s="1823">
        <f t="shared" si="18"/>
        <v>0</v>
      </c>
      <c r="P257" s="1838">
        <v>42995</v>
      </c>
      <c r="Q257" s="1872">
        <v>40899</v>
      </c>
      <c r="R257" s="1837">
        <v>807.13</v>
      </c>
      <c r="S257" s="1873">
        <f t="shared" si="19"/>
        <v>1.4309806061207242E-2</v>
      </c>
      <c r="T257" s="1873">
        <f t="shared" si="19"/>
        <v>1.6256732272714736E-3</v>
      </c>
    </row>
    <row r="258" spans="2:20" x14ac:dyDescent="0.3">
      <c r="B258" s="1838">
        <v>42827</v>
      </c>
      <c r="C258" s="1837">
        <v>727.95</v>
      </c>
      <c r="D258" s="1840">
        <f t="shared" si="15"/>
        <v>7.8082817626781154E-3</v>
      </c>
      <c r="F258" s="1839">
        <v>2355.54</v>
      </c>
      <c r="G258" s="1840">
        <f t="shared" si="16"/>
        <v>-3.0388704543914402E-3</v>
      </c>
      <c r="H258" s="1838">
        <v>42827</v>
      </c>
      <c r="M258" s="1844">
        <f t="shared" si="17"/>
        <v>-3.0388704543914402E-3</v>
      </c>
      <c r="N258" s="1823">
        <f t="shared" si="18"/>
        <v>0</v>
      </c>
      <c r="P258" s="1838">
        <v>42988</v>
      </c>
      <c r="Q258" s="1872">
        <v>40322</v>
      </c>
      <c r="R258" s="1837">
        <v>805.82</v>
      </c>
      <c r="S258" s="1873">
        <f t="shared" si="19"/>
        <v>-4.1162342757948278E-2</v>
      </c>
      <c r="T258" s="1873">
        <f t="shared" si="19"/>
        <v>5.7663504742886396E-3</v>
      </c>
    </row>
    <row r="259" spans="2:20" x14ac:dyDescent="0.3">
      <c r="B259" s="1838">
        <v>42820</v>
      </c>
      <c r="C259" s="1837">
        <v>722.31</v>
      </c>
      <c r="D259" s="1840">
        <f t="shared" si="15"/>
        <v>2.3541141606875371E-4</v>
      </c>
      <c r="F259" s="1839">
        <v>2362.7199999999998</v>
      </c>
      <c r="G259" s="1840">
        <f t="shared" si="16"/>
        <v>7.994948762361398E-3</v>
      </c>
      <c r="H259" s="1838">
        <v>42820</v>
      </c>
      <c r="M259" s="1844">
        <f t="shared" si="17"/>
        <v>7.994948762361398E-3</v>
      </c>
      <c r="N259" s="1823">
        <f t="shared" si="18"/>
        <v>0</v>
      </c>
      <c r="P259" s="1838">
        <v>42981</v>
      </c>
      <c r="Q259" s="1872">
        <v>42053</v>
      </c>
      <c r="R259" s="1837">
        <v>801.2</v>
      </c>
      <c r="S259" s="1873">
        <f t="shared" si="19"/>
        <v>0</v>
      </c>
      <c r="T259" s="1873">
        <f t="shared" si="19"/>
        <v>1.5810226566759233E-2</v>
      </c>
    </row>
    <row r="260" spans="2:20" x14ac:dyDescent="0.3">
      <c r="B260" s="1838">
        <v>42813</v>
      </c>
      <c r="C260" s="1837">
        <v>722.14</v>
      </c>
      <c r="D260" s="1840">
        <f t="shared" si="15"/>
        <v>1.6325611506741389E-2</v>
      </c>
      <c r="F260" s="1839">
        <v>2343.98</v>
      </c>
      <c r="G260" s="1840">
        <f t="shared" si="16"/>
        <v>-1.4409755072006702E-2</v>
      </c>
      <c r="H260" s="1838">
        <v>42813</v>
      </c>
      <c r="M260" s="1844">
        <f t="shared" si="17"/>
        <v>-1.4409755072006702E-2</v>
      </c>
      <c r="N260" s="1823">
        <f t="shared" si="18"/>
        <v>0</v>
      </c>
      <c r="P260" s="1838">
        <v>42974</v>
      </c>
      <c r="Q260" s="1872">
        <v>42053</v>
      </c>
      <c r="R260" s="1837">
        <v>788.73</v>
      </c>
      <c r="S260" s="1873">
        <f t="shared" si="19"/>
        <v>1.9985932232166714E-2</v>
      </c>
      <c r="T260" s="1873">
        <f t="shared" si="19"/>
        <v>2.2160880214610712E-2</v>
      </c>
    </row>
    <row r="261" spans="2:20" x14ac:dyDescent="0.3">
      <c r="B261" s="1838">
        <v>42806</v>
      </c>
      <c r="C261" s="1837">
        <v>710.54</v>
      </c>
      <c r="D261" s="1840">
        <f t="shared" si="15"/>
        <v>-2.344814029569986E-3</v>
      </c>
      <c r="F261" s="1839">
        <v>2378.25</v>
      </c>
      <c r="G261" s="1840">
        <f t="shared" si="16"/>
        <v>2.381353789092211E-3</v>
      </c>
      <c r="H261" s="1838">
        <v>42806</v>
      </c>
      <c r="M261" s="1844">
        <f t="shared" si="17"/>
        <v>2.381353789092211E-3</v>
      </c>
      <c r="N261" s="1823">
        <f t="shared" si="18"/>
        <v>0</v>
      </c>
      <c r="P261" s="1838">
        <v>42967</v>
      </c>
      <c r="Q261" s="1872">
        <v>41229</v>
      </c>
      <c r="R261" s="1837">
        <v>771.63</v>
      </c>
      <c r="S261" s="1873">
        <f t="shared" si="19"/>
        <v>0.12108440287143796</v>
      </c>
      <c r="T261" s="1873">
        <f t="shared" si="19"/>
        <v>3.4591726595314398E-3</v>
      </c>
    </row>
    <row r="262" spans="2:20" x14ac:dyDescent="0.3">
      <c r="B262" s="1838">
        <v>42799</v>
      </c>
      <c r="C262" s="1837">
        <v>712.21</v>
      </c>
      <c r="D262" s="1840">
        <f t="shared" si="15"/>
        <v>-5.7534169683692848E-4</v>
      </c>
      <c r="F262" s="1839">
        <v>2372.6</v>
      </c>
      <c r="G262" s="1840">
        <f t="shared" si="16"/>
        <v>-4.4143811474034456E-3</v>
      </c>
      <c r="H262" s="1838">
        <v>42799</v>
      </c>
      <c r="M262" s="1844">
        <f t="shared" si="17"/>
        <v>-4.4143811474034456E-3</v>
      </c>
      <c r="N262" s="1823">
        <f t="shared" si="18"/>
        <v>0</v>
      </c>
      <c r="P262" s="1838">
        <v>42960</v>
      </c>
      <c r="Q262" s="1872">
        <v>36776</v>
      </c>
      <c r="R262" s="1837">
        <v>768.97</v>
      </c>
      <c r="S262" s="1873">
        <f t="shared" si="19"/>
        <v>-5.1064378789833609E-2</v>
      </c>
      <c r="T262" s="1873">
        <f t="shared" si="19"/>
        <v>-4.0280799917107313E-3</v>
      </c>
    </row>
    <row r="263" spans="2:20" x14ac:dyDescent="0.3">
      <c r="B263" s="1838">
        <v>42792</v>
      </c>
      <c r="C263" s="1837">
        <v>712.62</v>
      </c>
      <c r="D263" s="1840">
        <f t="shared" ref="D263:D326" si="20">C263/C264-1</f>
        <v>-2.589331952356333E-3</v>
      </c>
      <c r="F263" s="1839">
        <v>2383.12</v>
      </c>
      <c r="G263" s="1840">
        <f t="shared" ref="G263:G326" si="21">F263/F264-1</f>
        <v>6.6657091925959033E-3</v>
      </c>
      <c r="H263" s="1838">
        <v>42792</v>
      </c>
      <c r="M263" s="1844">
        <f t="shared" ref="M263:M326" si="22">F263/F264-1</f>
        <v>6.6657091925959033E-3</v>
      </c>
      <c r="N263" s="1823">
        <f t="shared" ref="N263:N326" si="23">H263-B263</f>
        <v>0</v>
      </c>
      <c r="P263" s="1838">
        <v>42953</v>
      </c>
      <c r="Q263" s="1872">
        <v>38755</v>
      </c>
      <c r="R263" s="1837">
        <v>772.08</v>
      </c>
      <c r="S263" s="1873">
        <f t="shared" si="19"/>
        <v>-1.8786236929387079E-2</v>
      </c>
      <c r="T263" s="1873">
        <f t="shared" si="19"/>
        <v>-2.1047826748491039E-2</v>
      </c>
    </row>
    <row r="264" spans="2:20" x14ac:dyDescent="0.3">
      <c r="B264" s="1838">
        <v>42785</v>
      </c>
      <c r="C264" s="1837">
        <v>714.47</v>
      </c>
      <c r="D264" s="1840">
        <f t="shared" si="20"/>
        <v>9.3807835214669844E-3</v>
      </c>
      <c r="F264" s="1839">
        <v>2367.34</v>
      </c>
      <c r="G264" s="1840">
        <f t="shared" si="21"/>
        <v>6.8817094540567503E-3</v>
      </c>
      <c r="H264" s="1838">
        <v>42785</v>
      </c>
      <c r="M264" s="1844">
        <f t="shared" si="22"/>
        <v>6.8817094540567503E-3</v>
      </c>
      <c r="N264" s="1823">
        <f t="shared" si="23"/>
        <v>0</v>
      </c>
      <c r="P264" s="1838">
        <v>42946</v>
      </c>
      <c r="Q264" s="1872">
        <v>39497</v>
      </c>
      <c r="R264" s="1837">
        <v>788.68</v>
      </c>
      <c r="S264" s="1873">
        <f t="shared" si="19"/>
        <v>1.0541128310093351E-2</v>
      </c>
      <c r="T264" s="1873">
        <f t="shared" si="19"/>
        <v>1.4914617354489179E-2</v>
      </c>
    </row>
    <row r="265" spans="2:20" x14ac:dyDescent="0.3">
      <c r="B265" s="1838">
        <v>42778</v>
      </c>
      <c r="C265" s="1837">
        <v>707.83</v>
      </c>
      <c r="D265" s="1840">
        <f t="shared" si="20"/>
        <v>5.7546392338516661E-3</v>
      </c>
      <c r="F265" s="1839">
        <v>2351.16</v>
      </c>
      <c r="G265" s="1840">
        <f t="shared" si="21"/>
        <v>1.5137515651310274E-2</v>
      </c>
      <c r="H265" s="1838">
        <v>42778</v>
      </c>
      <c r="M265" s="1844">
        <f t="shared" si="22"/>
        <v>1.5137515651310274E-2</v>
      </c>
      <c r="N265" s="1823">
        <f t="shared" si="23"/>
        <v>0</v>
      </c>
      <c r="P265" s="1838">
        <v>42939</v>
      </c>
      <c r="Q265" s="1872">
        <v>39085</v>
      </c>
      <c r="R265" s="1837">
        <v>777.09</v>
      </c>
      <c r="S265" s="1873">
        <f t="shared" si="19"/>
        <v>3.9467035451184795E-2</v>
      </c>
      <c r="T265" s="1873">
        <f t="shared" si="19"/>
        <v>1.9990549444779848E-2</v>
      </c>
    </row>
    <row r="266" spans="2:20" x14ac:dyDescent="0.3">
      <c r="B266" s="1838">
        <v>42771</v>
      </c>
      <c r="C266" s="1837">
        <v>703.78</v>
      </c>
      <c r="D266" s="1840">
        <f t="shared" si="20"/>
        <v>4.8975512243878416E-3</v>
      </c>
      <c r="F266" s="1839">
        <v>2316.1</v>
      </c>
      <c r="G266" s="1840">
        <f t="shared" si="21"/>
        <v>8.1308598340745775E-3</v>
      </c>
      <c r="H266" s="1838">
        <v>42771</v>
      </c>
      <c r="M266" s="1844">
        <f t="shared" si="22"/>
        <v>8.1308598340745775E-3</v>
      </c>
      <c r="N266" s="1823">
        <f t="shared" si="23"/>
        <v>0</v>
      </c>
      <c r="P266" s="1838">
        <v>42932</v>
      </c>
      <c r="Q266" s="1872">
        <v>37601</v>
      </c>
      <c r="R266" s="1837">
        <v>761.86</v>
      </c>
      <c r="S266" s="1873">
        <f t="shared" si="19"/>
        <v>5.3131301814922649E-2</v>
      </c>
      <c r="T266" s="1873">
        <f t="shared" si="19"/>
        <v>-2.024176954732515E-2</v>
      </c>
    </row>
    <row r="267" spans="2:20" x14ac:dyDescent="0.3">
      <c r="B267" s="1838">
        <v>42764</v>
      </c>
      <c r="C267" s="1837">
        <v>700.35</v>
      </c>
      <c r="D267" s="1840">
        <f t="shared" si="20"/>
        <v>4.402822395594308E-3</v>
      </c>
      <c r="F267" s="1839">
        <v>2297.42</v>
      </c>
      <c r="G267" s="1840">
        <f t="shared" si="21"/>
        <v>1.1897031843082218E-3</v>
      </c>
      <c r="H267" s="1838">
        <v>42764</v>
      </c>
      <c r="M267" s="1844">
        <f t="shared" si="22"/>
        <v>1.1897031843082218E-3</v>
      </c>
      <c r="N267" s="1823">
        <f t="shared" si="23"/>
        <v>0</v>
      </c>
      <c r="P267" s="1838">
        <v>42925</v>
      </c>
      <c r="Q267" s="1872">
        <v>35704</v>
      </c>
      <c r="R267" s="1837">
        <v>777.6</v>
      </c>
      <c r="S267" s="1873">
        <f t="shared" si="19"/>
        <v>1.8804394350121267E-2</v>
      </c>
      <c r="T267" s="1873">
        <f t="shared" si="19"/>
        <v>2.4106325654544847E-3</v>
      </c>
    </row>
    <row r="268" spans="2:20" x14ac:dyDescent="0.3">
      <c r="B268" s="1838">
        <v>42757</v>
      </c>
      <c r="C268" s="1837">
        <v>697.28</v>
      </c>
      <c r="D268" s="1840">
        <f t="shared" si="20"/>
        <v>1.6058053798851724E-2</v>
      </c>
      <c r="F268" s="1839">
        <v>2294.69</v>
      </c>
      <c r="G268" s="1840">
        <f t="shared" si="21"/>
        <v>1.0293619100871343E-2</v>
      </c>
      <c r="H268" s="1838">
        <v>42757</v>
      </c>
      <c r="M268" s="1844">
        <f t="shared" si="22"/>
        <v>1.0293619100871343E-2</v>
      </c>
      <c r="N268" s="1823">
        <f t="shared" si="23"/>
        <v>0</v>
      </c>
      <c r="P268" s="1838">
        <v>42918</v>
      </c>
      <c r="Q268" s="1872">
        <v>35045</v>
      </c>
      <c r="R268" s="1837">
        <v>775.73</v>
      </c>
      <c r="S268" s="1873">
        <f t="shared" si="19"/>
        <v>7.1270511825731742E-3</v>
      </c>
      <c r="T268" s="1873">
        <f t="shared" si="19"/>
        <v>-9.5303102502353187E-4</v>
      </c>
    </row>
    <row r="269" spans="2:20" x14ac:dyDescent="0.3">
      <c r="B269" s="1838">
        <v>42750</v>
      </c>
      <c r="C269" s="1837">
        <v>686.26</v>
      </c>
      <c r="D269" s="1840">
        <f t="shared" si="20"/>
        <v>1.7516713864480504E-3</v>
      </c>
      <c r="F269" s="1839">
        <v>2271.31</v>
      </c>
      <c r="G269" s="1840">
        <f t="shared" si="21"/>
        <v>-1.463967924594578E-3</v>
      </c>
      <c r="H269" s="1838">
        <v>42750</v>
      </c>
      <c r="M269" s="1844">
        <f t="shared" si="22"/>
        <v>-1.463967924594578E-3</v>
      </c>
      <c r="N269" s="1823">
        <f t="shared" si="23"/>
        <v>0</v>
      </c>
      <c r="P269" s="1838">
        <v>42911</v>
      </c>
      <c r="Q269" s="1872">
        <v>34797</v>
      </c>
      <c r="R269" s="1837">
        <v>776.47</v>
      </c>
      <c r="S269" s="1873">
        <f t="shared" si="19"/>
        <v>0.10470173656306558</v>
      </c>
      <c r="T269" s="1873">
        <f t="shared" si="19"/>
        <v>9.7007841250438265E-3</v>
      </c>
    </row>
    <row r="270" spans="2:20" x14ac:dyDescent="0.3">
      <c r="B270" s="1838">
        <v>42743</v>
      </c>
      <c r="C270" s="1837">
        <v>685.06</v>
      </c>
      <c r="D270" s="1840">
        <f t="shared" si="20"/>
        <v>7.7375698734922782E-3</v>
      </c>
      <c r="F270" s="1839">
        <v>2274.64</v>
      </c>
      <c r="G270" s="1840">
        <f t="shared" si="21"/>
        <v>-1.0276770107775501E-3</v>
      </c>
      <c r="H270" s="1838">
        <v>42743</v>
      </c>
      <c r="M270" s="1844">
        <f t="shared" si="22"/>
        <v>-1.0276770107775501E-3</v>
      </c>
      <c r="N270" s="1823">
        <f t="shared" si="23"/>
        <v>0</v>
      </c>
      <c r="P270" s="1838">
        <v>42904</v>
      </c>
      <c r="Q270" s="1872">
        <v>31499</v>
      </c>
      <c r="R270" s="1837">
        <v>769.01</v>
      </c>
      <c r="S270" s="1873">
        <f t="shared" si="19"/>
        <v>2.6419658772600663E-3</v>
      </c>
      <c r="T270" s="1873">
        <f t="shared" si="19"/>
        <v>1.0207030634228342E-2</v>
      </c>
    </row>
    <row r="271" spans="2:20" x14ac:dyDescent="0.3">
      <c r="B271" s="1838">
        <v>42736</v>
      </c>
      <c r="C271" s="1837">
        <v>679.8</v>
      </c>
      <c r="D271" s="1840">
        <f t="shared" si="20"/>
        <v>2.2455517619985876E-2</v>
      </c>
      <c r="F271" s="1839">
        <v>2276.98</v>
      </c>
      <c r="G271" s="1840">
        <f t="shared" si="21"/>
        <v>1.7040150435718715E-2</v>
      </c>
      <c r="H271" s="1838">
        <v>42736</v>
      </c>
      <c r="M271" s="1844">
        <f t="shared" si="22"/>
        <v>1.7040150435718715E-2</v>
      </c>
      <c r="N271" s="1823">
        <f t="shared" si="23"/>
        <v>0</v>
      </c>
      <c r="P271" s="1838">
        <v>42897</v>
      </c>
      <c r="Q271" s="1872">
        <v>31416</v>
      </c>
      <c r="R271" s="1837">
        <v>761.24</v>
      </c>
      <c r="S271" s="1873">
        <f t="shared" si="19"/>
        <v>2.616965596476728E-3</v>
      </c>
      <c r="T271" s="1873">
        <f t="shared" si="19"/>
        <v>1.5365736541642194E-2</v>
      </c>
    </row>
    <row r="272" spans="2:20" x14ac:dyDescent="0.3">
      <c r="B272" s="1838">
        <v>42729</v>
      </c>
      <c r="C272" s="1837">
        <v>664.87</v>
      </c>
      <c r="D272" s="1840">
        <f t="shared" si="20"/>
        <v>7.5259268178884398E-4</v>
      </c>
      <c r="F272" s="1839">
        <v>2238.83</v>
      </c>
      <c r="G272" s="1840">
        <f t="shared" si="21"/>
        <v>-1.1025757689538396E-2</v>
      </c>
      <c r="H272" s="1838">
        <v>42729</v>
      </c>
      <c r="M272" s="1844">
        <f t="shared" si="22"/>
        <v>-1.1025757689538396E-2</v>
      </c>
      <c r="N272" s="1823">
        <f t="shared" si="23"/>
        <v>0</v>
      </c>
      <c r="P272" s="1838">
        <v>42890</v>
      </c>
      <c r="Q272" s="1872">
        <v>31334</v>
      </c>
      <c r="R272" s="1837">
        <v>749.72</v>
      </c>
      <c r="S272" s="1873">
        <f t="shared" si="19"/>
        <v>-1.2978012978012932E-2</v>
      </c>
      <c r="T272" s="1873">
        <f t="shared" si="19"/>
        <v>1.4766990159851723E-2</v>
      </c>
    </row>
    <row r="273" spans="2:20" x14ac:dyDescent="0.3">
      <c r="B273" s="1838">
        <v>42722</v>
      </c>
      <c r="C273" s="1837">
        <v>664.37</v>
      </c>
      <c r="D273" s="1840">
        <f t="shared" si="20"/>
        <v>-1.5981397002192033E-2</v>
      </c>
      <c r="F273" s="1839">
        <v>2263.79</v>
      </c>
      <c r="G273" s="1840">
        <f t="shared" si="21"/>
        <v>2.5331367052392473E-3</v>
      </c>
      <c r="H273" s="1838">
        <v>42722</v>
      </c>
      <c r="M273" s="1844">
        <f t="shared" si="22"/>
        <v>2.5331367052392473E-3</v>
      </c>
      <c r="N273" s="1823">
        <f t="shared" si="23"/>
        <v>0</v>
      </c>
      <c r="P273" s="1838">
        <v>42883</v>
      </c>
      <c r="Q273" s="1872">
        <v>31746</v>
      </c>
      <c r="R273" s="1837">
        <v>738.81</v>
      </c>
      <c r="S273" s="1873">
        <f t="shared" si="19"/>
        <v>0</v>
      </c>
      <c r="T273" s="1873">
        <f t="shared" si="19"/>
        <v>-6.1877026136317737E-3</v>
      </c>
    </row>
    <row r="274" spans="2:20" x14ac:dyDescent="0.3">
      <c r="B274" s="1838">
        <v>42715</v>
      </c>
      <c r="C274" s="1837">
        <v>675.16</v>
      </c>
      <c r="D274" s="1840">
        <f t="shared" si="20"/>
        <v>1.8233369025894675E-2</v>
      </c>
      <c r="F274" s="1839">
        <v>2258.0700000000002</v>
      </c>
      <c r="G274" s="1840">
        <f t="shared" si="21"/>
        <v>-6.4615207587415124E-4</v>
      </c>
      <c r="H274" s="1838">
        <v>42715</v>
      </c>
      <c r="M274" s="1844">
        <f t="shared" si="22"/>
        <v>-6.4615207587415124E-4</v>
      </c>
      <c r="N274" s="1823">
        <f t="shared" si="23"/>
        <v>0</v>
      </c>
      <c r="P274" s="1838">
        <v>42876</v>
      </c>
      <c r="Q274" s="1872">
        <v>31746</v>
      </c>
      <c r="R274" s="1837">
        <v>743.41</v>
      </c>
      <c r="S274" s="1873">
        <f t="shared" si="19"/>
        <v>4.0545412829001259E-2</v>
      </c>
      <c r="T274" s="1873">
        <f t="shared" si="19"/>
        <v>1.3068599929137781E-2</v>
      </c>
    </row>
    <row r="275" spans="2:20" x14ac:dyDescent="0.3">
      <c r="B275" s="1838">
        <v>42708</v>
      </c>
      <c r="C275" s="1837">
        <v>663.07</v>
      </c>
      <c r="D275" s="1840">
        <f t="shared" si="20"/>
        <v>-3.1121267703039246E-3</v>
      </c>
      <c r="F275" s="1839">
        <v>2259.5300000000002</v>
      </c>
      <c r="G275" s="1840">
        <f t="shared" si="21"/>
        <v>3.0830995232555614E-2</v>
      </c>
      <c r="H275" s="1838">
        <v>42708</v>
      </c>
      <c r="M275" s="1844">
        <f t="shared" si="22"/>
        <v>3.0830995232555614E-2</v>
      </c>
      <c r="N275" s="1823">
        <f t="shared" si="23"/>
        <v>0</v>
      </c>
      <c r="P275" s="1838">
        <v>42869</v>
      </c>
      <c r="Q275" s="1872">
        <v>30509</v>
      </c>
      <c r="R275" s="1837">
        <v>733.82</v>
      </c>
      <c r="S275" s="1873">
        <f t="shared" si="19"/>
        <v>-8.0632051240367986E-3</v>
      </c>
      <c r="T275" s="1873">
        <f t="shared" si="19"/>
        <v>1.16492272908999E-2</v>
      </c>
    </row>
    <row r="276" spans="2:20" x14ac:dyDescent="0.3">
      <c r="B276" s="1838">
        <v>42701</v>
      </c>
      <c r="C276" s="1837">
        <v>665.14</v>
      </c>
      <c r="D276" s="1840">
        <f t="shared" si="20"/>
        <v>-1.5875834110109954E-2</v>
      </c>
      <c r="F276" s="1839">
        <v>2191.9499999999998</v>
      </c>
      <c r="G276" s="1840">
        <f t="shared" si="21"/>
        <v>-9.6686018930580708E-3</v>
      </c>
      <c r="H276" s="1838">
        <v>42701</v>
      </c>
      <c r="M276" s="1844">
        <f t="shared" si="22"/>
        <v>-9.6686018930580708E-3</v>
      </c>
      <c r="N276" s="1823">
        <f t="shared" si="23"/>
        <v>0</v>
      </c>
      <c r="P276" s="1838">
        <v>42862</v>
      </c>
      <c r="Q276" s="1872">
        <v>30757</v>
      </c>
      <c r="R276" s="1837">
        <v>725.37</v>
      </c>
      <c r="S276" s="1873">
        <f t="shared" si="19"/>
        <v>-2.6589707837478826E-3</v>
      </c>
      <c r="T276" s="1873">
        <f t="shared" si="19"/>
        <v>7.4583333333333446E-3</v>
      </c>
    </row>
    <row r="277" spans="2:20" x14ac:dyDescent="0.3">
      <c r="B277" s="1838">
        <v>42694</v>
      </c>
      <c r="C277" s="1837">
        <v>675.87</v>
      </c>
      <c r="D277" s="1840">
        <f t="shared" si="20"/>
        <v>3.8915707389528542E-3</v>
      </c>
      <c r="F277" s="1839">
        <v>2213.35</v>
      </c>
      <c r="G277" s="1840">
        <f t="shared" si="21"/>
        <v>1.4414042806728089E-2</v>
      </c>
      <c r="H277" s="1838">
        <v>42694</v>
      </c>
      <c r="M277" s="1844">
        <f t="shared" si="22"/>
        <v>1.4414042806728089E-2</v>
      </c>
      <c r="N277" s="1823">
        <f t="shared" si="23"/>
        <v>0</v>
      </c>
      <c r="P277" s="1838">
        <v>42855</v>
      </c>
      <c r="Q277" s="1872">
        <v>30839</v>
      </c>
      <c r="R277" s="1837">
        <v>720</v>
      </c>
      <c r="S277" s="1873">
        <f t="shared" si="19"/>
        <v>-2.684173080654495E-3</v>
      </c>
      <c r="T277" s="1873">
        <f t="shared" si="19"/>
        <v>3.1627492232455534E-3</v>
      </c>
    </row>
    <row r="278" spans="2:20" x14ac:dyDescent="0.3">
      <c r="B278" s="1838">
        <v>42687</v>
      </c>
      <c r="C278" s="1837">
        <v>673.25</v>
      </c>
      <c r="D278" s="1840">
        <f t="shared" si="20"/>
        <v>-8.7603062426384604E-3</v>
      </c>
      <c r="F278" s="1839">
        <v>2181.9</v>
      </c>
      <c r="G278" s="1840">
        <f t="shared" si="21"/>
        <v>8.0620942964726439E-3</v>
      </c>
      <c r="H278" s="1838">
        <v>42687</v>
      </c>
      <c r="M278" s="1844">
        <f t="shared" si="22"/>
        <v>8.0620942964726439E-3</v>
      </c>
      <c r="N278" s="1823">
        <f t="shared" si="23"/>
        <v>0</v>
      </c>
      <c r="P278" s="1838">
        <v>42848</v>
      </c>
      <c r="Q278" s="1872">
        <v>30922</v>
      </c>
      <c r="R278" s="1837">
        <v>717.73</v>
      </c>
      <c r="S278" s="1873">
        <f t="shared" si="19"/>
        <v>0</v>
      </c>
      <c r="T278" s="1873">
        <f t="shared" si="19"/>
        <v>7.4676099437123167E-3</v>
      </c>
    </row>
    <row r="279" spans="2:20" x14ac:dyDescent="0.3">
      <c r="B279" s="1838">
        <v>42680</v>
      </c>
      <c r="C279" s="1837">
        <v>679.2</v>
      </c>
      <c r="D279" s="1840">
        <f t="shared" si="20"/>
        <v>1.8703223193796692E-2</v>
      </c>
      <c r="F279" s="1839">
        <v>2164.4499999999998</v>
      </c>
      <c r="G279" s="1840">
        <f t="shared" si="21"/>
        <v>3.8015902703843363E-2</v>
      </c>
      <c r="H279" s="1838">
        <v>42680</v>
      </c>
      <c r="M279" s="1844">
        <f t="shared" si="22"/>
        <v>3.8015902703843363E-2</v>
      </c>
      <c r="N279" s="1823">
        <f t="shared" si="23"/>
        <v>0</v>
      </c>
      <c r="P279" s="1838">
        <v>42841</v>
      </c>
      <c r="Q279" s="1872">
        <v>30922</v>
      </c>
      <c r="R279" s="1837">
        <v>712.41</v>
      </c>
      <c r="S279" s="1873">
        <f t="shared" si="19"/>
        <v>-2.6448200232228603E-3</v>
      </c>
      <c r="T279" s="1873">
        <f t="shared" si="19"/>
        <v>-8.4069872642494881E-3</v>
      </c>
    </row>
    <row r="280" spans="2:20" x14ac:dyDescent="0.3">
      <c r="B280" s="1838">
        <v>42673</v>
      </c>
      <c r="C280" s="1837">
        <v>666.73</v>
      </c>
      <c r="D280" s="1840">
        <f t="shared" si="20"/>
        <v>-2.2748259435690699E-2</v>
      </c>
      <c r="F280" s="1839">
        <v>2085.1799999999998</v>
      </c>
      <c r="G280" s="1840">
        <f t="shared" si="21"/>
        <v>-1.9389487445977016E-2</v>
      </c>
      <c r="H280" s="1838">
        <v>42673</v>
      </c>
      <c r="M280" s="1844">
        <f t="shared" si="22"/>
        <v>-1.9389487445977016E-2</v>
      </c>
      <c r="N280" s="1823">
        <f t="shared" si="23"/>
        <v>0</v>
      </c>
      <c r="P280" s="1838">
        <v>42834</v>
      </c>
      <c r="Q280" s="1872">
        <v>31004</v>
      </c>
      <c r="R280" s="1837">
        <v>718.45</v>
      </c>
      <c r="S280" s="1873">
        <f t="shared" si="19"/>
        <v>2.6518336459477876E-3</v>
      </c>
      <c r="T280" s="1873">
        <f t="shared" si="19"/>
        <v>-1.3050346864482476E-2</v>
      </c>
    </row>
    <row r="281" spans="2:20" x14ac:dyDescent="0.3">
      <c r="B281" s="1838">
        <v>42666</v>
      </c>
      <c r="C281" s="1837">
        <v>682.25</v>
      </c>
      <c r="D281" s="1840">
        <f t="shared" si="20"/>
        <v>-3.7673583225034113E-3</v>
      </c>
      <c r="F281" s="1839">
        <v>2126.41</v>
      </c>
      <c r="G281" s="1840">
        <f t="shared" si="21"/>
        <v>-6.8887892544228224E-3</v>
      </c>
      <c r="H281" s="1838">
        <v>42666</v>
      </c>
      <c r="M281" s="1844">
        <f t="shared" si="22"/>
        <v>-6.8887892544228224E-3</v>
      </c>
      <c r="N281" s="1823">
        <f t="shared" si="23"/>
        <v>0</v>
      </c>
      <c r="P281" s="1838">
        <v>42827</v>
      </c>
      <c r="Q281" s="1872">
        <v>30922</v>
      </c>
      <c r="R281" s="1837">
        <v>727.95</v>
      </c>
      <c r="S281" s="1873">
        <f t="shared" si="19"/>
        <v>1.3536989085187967E-2</v>
      </c>
      <c r="T281" s="1873">
        <f t="shared" si="19"/>
        <v>7.8082817626781154E-3</v>
      </c>
    </row>
    <row r="282" spans="2:20" x14ac:dyDescent="0.3">
      <c r="B282" s="1838">
        <v>42659</v>
      </c>
      <c r="C282" s="1837">
        <v>684.83</v>
      </c>
      <c r="D282" s="1840">
        <f t="shared" si="20"/>
        <v>-3.1586608442503161E-3</v>
      </c>
      <c r="F282" s="1839">
        <v>2141.16</v>
      </c>
      <c r="G282" s="1840">
        <f t="shared" si="21"/>
        <v>3.8350101735600273E-3</v>
      </c>
      <c r="H282" s="1838">
        <v>42659</v>
      </c>
      <c r="M282" s="1844">
        <f t="shared" si="22"/>
        <v>3.8350101735600273E-3</v>
      </c>
      <c r="N282" s="1823">
        <f t="shared" si="23"/>
        <v>0</v>
      </c>
      <c r="P282" s="1838">
        <v>42820</v>
      </c>
      <c r="Q282" s="1872">
        <v>30509</v>
      </c>
      <c r="R282" s="1837">
        <v>722.31</v>
      </c>
      <c r="S282" s="1873">
        <f t="shared" si="19"/>
        <v>4.8131097979936754E-2</v>
      </c>
      <c r="T282" s="1873">
        <f t="shared" si="19"/>
        <v>2.3541141606875371E-4</v>
      </c>
    </row>
    <row r="283" spans="2:20" x14ac:dyDescent="0.3">
      <c r="B283" s="1838">
        <v>42652</v>
      </c>
      <c r="C283" s="1837">
        <v>687</v>
      </c>
      <c r="D283" s="1840">
        <f t="shared" si="20"/>
        <v>4.4593903063088192E-3</v>
      </c>
      <c r="F283" s="1839">
        <v>2132.98</v>
      </c>
      <c r="G283" s="1840">
        <f t="shared" si="21"/>
        <v>-9.6390464958628908E-3</v>
      </c>
      <c r="H283" s="1838">
        <v>42652</v>
      </c>
      <c r="M283" s="1844">
        <f t="shared" si="22"/>
        <v>-9.6390464958628908E-3</v>
      </c>
      <c r="N283" s="1823">
        <f t="shared" si="23"/>
        <v>0</v>
      </c>
      <c r="P283" s="1838">
        <v>42813</v>
      </c>
      <c r="Q283" s="1872">
        <v>29108</v>
      </c>
      <c r="R283" s="1837">
        <v>722.14</v>
      </c>
      <c r="S283" s="1873">
        <f t="shared" si="19"/>
        <v>-5.6130224715457699E-2</v>
      </c>
      <c r="T283" s="1873">
        <f t="shared" si="19"/>
        <v>1.6325611506741389E-2</v>
      </c>
    </row>
    <row r="284" spans="2:20" x14ac:dyDescent="0.3">
      <c r="B284" s="1838">
        <v>42645</v>
      </c>
      <c r="C284" s="1837">
        <v>683.95</v>
      </c>
      <c r="D284" s="1840">
        <f t="shared" si="20"/>
        <v>-2.5957738468492808E-3</v>
      </c>
      <c r="F284" s="1839">
        <v>2153.7399999999998</v>
      </c>
      <c r="G284" s="1840">
        <f t="shared" si="21"/>
        <v>-6.7011949618821509E-3</v>
      </c>
      <c r="H284" s="1838">
        <v>42645</v>
      </c>
      <c r="M284" s="1844">
        <f t="shared" si="22"/>
        <v>-6.7011949618821509E-3</v>
      </c>
      <c r="N284" s="1823">
        <f t="shared" si="23"/>
        <v>0</v>
      </c>
      <c r="P284" s="1838">
        <v>42806</v>
      </c>
      <c r="Q284" s="1872">
        <v>30839</v>
      </c>
      <c r="R284" s="1837">
        <v>710.54</v>
      </c>
      <c r="S284" s="1873">
        <f t="shared" si="19"/>
        <v>2.1835652750165746E-2</v>
      </c>
      <c r="T284" s="1873">
        <f t="shared" si="19"/>
        <v>-2.344814029569986E-3</v>
      </c>
    </row>
    <row r="285" spans="2:20" x14ac:dyDescent="0.3">
      <c r="B285" s="1838">
        <v>42638</v>
      </c>
      <c r="C285" s="1837">
        <v>685.73</v>
      </c>
      <c r="D285" s="1840">
        <f t="shared" si="20"/>
        <v>1.7267723894435427E-2</v>
      </c>
      <c r="F285" s="1839">
        <v>2168.27</v>
      </c>
      <c r="G285" s="1840">
        <f t="shared" si="21"/>
        <v>1.6538164818056256E-3</v>
      </c>
      <c r="H285" s="1838">
        <v>42638</v>
      </c>
      <c r="M285" s="1844">
        <f t="shared" si="22"/>
        <v>1.6538164818056256E-3</v>
      </c>
      <c r="N285" s="1823">
        <f t="shared" si="23"/>
        <v>0</v>
      </c>
      <c r="P285" s="1838">
        <v>42799</v>
      </c>
      <c r="Q285" s="1872">
        <v>30180</v>
      </c>
      <c r="R285" s="1837">
        <v>712.21</v>
      </c>
      <c r="S285" s="1873">
        <f t="shared" si="19"/>
        <v>-3.4270903331093394E-2</v>
      </c>
      <c r="T285" s="1873">
        <f t="shared" si="19"/>
        <v>-5.7534169683692848E-4</v>
      </c>
    </row>
    <row r="286" spans="2:20" x14ac:dyDescent="0.3">
      <c r="B286" s="1838">
        <v>42631</v>
      </c>
      <c r="C286" s="1837">
        <v>674.09</v>
      </c>
      <c r="D286" s="1840">
        <f t="shared" si="20"/>
        <v>3.4975664430148656E-2</v>
      </c>
      <c r="F286" s="1839">
        <v>2164.69</v>
      </c>
      <c r="G286" s="1840">
        <f t="shared" si="21"/>
        <v>1.1934591147927387E-2</v>
      </c>
      <c r="H286" s="1838">
        <v>42631</v>
      </c>
      <c r="M286" s="1844">
        <f t="shared" si="22"/>
        <v>1.1934591147927387E-2</v>
      </c>
      <c r="N286" s="1823">
        <f t="shared" si="23"/>
        <v>0</v>
      </c>
      <c r="P286" s="1838">
        <v>42792</v>
      </c>
      <c r="Q286" s="1872">
        <v>31251</v>
      </c>
      <c r="R286" s="1837">
        <v>712.62</v>
      </c>
      <c r="S286" s="1873">
        <f t="shared" si="19"/>
        <v>1.0639674018498191E-2</v>
      </c>
      <c r="T286" s="1873">
        <f t="shared" si="19"/>
        <v>-2.589331952356333E-3</v>
      </c>
    </row>
    <row r="287" spans="2:20" x14ac:dyDescent="0.3">
      <c r="B287" s="1838">
        <v>42624</v>
      </c>
      <c r="C287" s="1837">
        <v>651.30999999999995</v>
      </c>
      <c r="D287" s="1840">
        <f t="shared" si="20"/>
        <v>-2.3347528790787053E-2</v>
      </c>
      <c r="F287" s="1839">
        <v>2139.16</v>
      </c>
      <c r="G287" s="1840">
        <f t="shared" si="21"/>
        <v>5.3341228775125593E-3</v>
      </c>
      <c r="H287" s="1838">
        <v>42624</v>
      </c>
      <c r="M287" s="1844">
        <f t="shared" si="22"/>
        <v>5.3341228775125593E-3</v>
      </c>
      <c r="N287" s="1823">
        <f t="shared" si="23"/>
        <v>0</v>
      </c>
      <c r="P287" s="1838">
        <v>42785</v>
      </c>
      <c r="Q287" s="1872">
        <v>30922</v>
      </c>
      <c r="R287" s="1837">
        <v>714.47</v>
      </c>
      <c r="S287" s="1873">
        <f t="shared" ref="S287:T290" si="24">Q287/Q288-1</f>
        <v>-1.7631921720621446E-2</v>
      </c>
      <c r="T287" s="1873">
        <f t="shared" si="24"/>
        <v>9.3807835214669844E-3</v>
      </c>
    </row>
    <row r="288" spans="2:20" x14ac:dyDescent="0.3">
      <c r="B288" s="1838">
        <v>42617</v>
      </c>
      <c r="C288" s="1837">
        <v>666.88</v>
      </c>
      <c r="D288" s="1840">
        <f t="shared" si="20"/>
        <v>-3.4519344281893627E-3</v>
      </c>
      <c r="F288" s="1839">
        <v>2127.81</v>
      </c>
      <c r="G288" s="1840">
        <f t="shared" si="21"/>
        <v>-2.3931412214791004E-2</v>
      </c>
      <c r="H288" s="1838">
        <v>42617</v>
      </c>
      <c r="M288" s="1844">
        <f t="shared" si="22"/>
        <v>-2.3931412214791004E-2</v>
      </c>
      <c r="N288" s="1823">
        <f t="shared" si="23"/>
        <v>0</v>
      </c>
      <c r="P288" s="1838">
        <v>42778</v>
      </c>
      <c r="Q288" s="1872">
        <v>31477</v>
      </c>
      <c r="R288" s="1837">
        <v>707.83</v>
      </c>
      <c r="S288" s="1873">
        <f t="shared" si="24"/>
        <v>1.5354343408277238E-2</v>
      </c>
      <c r="T288" s="1873">
        <f t="shared" si="24"/>
        <v>5.7546392338516661E-3</v>
      </c>
    </row>
    <row r="289" spans="2:20" x14ac:dyDescent="0.3">
      <c r="B289" s="1838">
        <v>42610</v>
      </c>
      <c r="C289" s="1837">
        <v>669.19</v>
      </c>
      <c r="D289" s="1840">
        <f t="shared" si="20"/>
        <v>2.1564956944966074E-3</v>
      </c>
      <c r="F289" s="1839">
        <v>2179.98</v>
      </c>
      <c r="G289" s="1840">
        <f t="shared" si="21"/>
        <v>5.0437059713053234E-3</v>
      </c>
      <c r="H289" s="1838">
        <v>42610</v>
      </c>
      <c r="M289" s="1844">
        <f t="shared" si="22"/>
        <v>5.0437059713053234E-3</v>
      </c>
      <c r="N289" s="1823">
        <f t="shared" si="23"/>
        <v>0</v>
      </c>
      <c r="P289" s="1838">
        <v>42771</v>
      </c>
      <c r="Q289" s="1872">
        <v>31001</v>
      </c>
      <c r="R289" s="1837">
        <v>703.78</v>
      </c>
      <c r="S289" s="1873">
        <f t="shared" si="24"/>
        <v>-6.9039039039039074E-2</v>
      </c>
      <c r="T289" s="1873">
        <f t="shared" si="24"/>
        <v>4.8975512243878416E-3</v>
      </c>
    </row>
    <row r="290" spans="2:20" x14ac:dyDescent="0.3">
      <c r="B290" s="1838">
        <v>42603</v>
      </c>
      <c r="C290" s="1837">
        <v>667.75</v>
      </c>
      <c r="D290" s="1840">
        <f t="shared" si="20"/>
        <v>8.259346499969844E-3</v>
      </c>
      <c r="F290" s="1839">
        <v>2169.04</v>
      </c>
      <c r="G290" s="1840">
        <f t="shared" si="21"/>
        <v>-6.790697248462596E-3</v>
      </c>
      <c r="H290" s="1838">
        <v>42603</v>
      </c>
      <c r="M290" s="1844">
        <f t="shared" si="22"/>
        <v>-6.790697248462596E-3</v>
      </c>
      <c r="N290" s="1823">
        <f t="shared" si="23"/>
        <v>0</v>
      </c>
      <c r="P290" s="1838">
        <v>42764</v>
      </c>
      <c r="Q290" s="1872">
        <v>33300</v>
      </c>
      <c r="R290" s="1837">
        <v>700.35</v>
      </c>
      <c r="S290" s="1873" t="e">
        <f t="shared" si="24"/>
        <v>#DIV/0!</v>
      </c>
      <c r="T290" s="1873" t="e">
        <f t="shared" si="24"/>
        <v>#DIV/0!</v>
      </c>
    </row>
    <row r="291" spans="2:20" x14ac:dyDescent="0.3">
      <c r="B291" s="1838">
        <v>42596</v>
      </c>
      <c r="C291" s="1837">
        <v>662.28</v>
      </c>
      <c r="D291" s="1840">
        <f t="shared" si="20"/>
        <v>1.0019673331198131E-2</v>
      </c>
      <c r="F291" s="1839">
        <v>2183.87</v>
      </c>
      <c r="G291" s="1840">
        <f t="shared" si="21"/>
        <v>-8.2415695611515183E-5</v>
      </c>
      <c r="H291" s="1838">
        <v>42596</v>
      </c>
      <c r="M291" s="1844">
        <f t="shared" si="22"/>
        <v>-8.2415695611515183E-5</v>
      </c>
      <c r="N291" s="1823">
        <f t="shared" si="23"/>
        <v>0</v>
      </c>
      <c r="P291" s="1874"/>
      <c r="Q291" s="1875"/>
      <c r="R291" s="1876"/>
      <c r="S291" s="1873"/>
      <c r="T291" s="1877"/>
    </row>
    <row r="292" spans="2:20" x14ac:dyDescent="0.3">
      <c r="B292" s="1838">
        <v>42589</v>
      </c>
      <c r="C292" s="1837">
        <v>655.71</v>
      </c>
      <c r="D292" s="1840">
        <f t="shared" si="20"/>
        <v>4.5139386984172525E-2</v>
      </c>
      <c r="F292" s="1839">
        <v>2184.0500000000002</v>
      </c>
      <c r="G292" s="1840">
        <f t="shared" si="21"/>
        <v>5.4057273222873903E-4</v>
      </c>
      <c r="H292" s="1838">
        <v>42589</v>
      </c>
      <c r="M292" s="1844">
        <f t="shared" si="22"/>
        <v>5.4057273222873903E-4</v>
      </c>
      <c r="N292" s="1823">
        <f t="shared" si="23"/>
        <v>0</v>
      </c>
      <c r="P292" s="1874"/>
      <c r="Q292" s="1875"/>
      <c r="R292" s="1876"/>
      <c r="S292" s="1873"/>
      <c r="T292" s="1877"/>
    </row>
    <row r="293" spans="2:20" x14ac:dyDescent="0.3">
      <c r="B293" s="1838">
        <v>42582</v>
      </c>
      <c r="C293" s="1837">
        <v>627.39</v>
      </c>
      <c r="D293" s="1840">
        <f t="shared" si="20"/>
        <v>-3.8084724713674634E-2</v>
      </c>
      <c r="F293" s="1839">
        <v>2182.87</v>
      </c>
      <c r="G293" s="1840">
        <f t="shared" si="21"/>
        <v>4.2648141332350953E-3</v>
      </c>
      <c r="H293" s="1838">
        <v>42582</v>
      </c>
      <c r="M293" s="1844">
        <f t="shared" si="22"/>
        <v>4.2648141332350953E-3</v>
      </c>
      <c r="N293" s="1823">
        <f t="shared" si="23"/>
        <v>0</v>
      </c>
      <c r="P293" s="1874"/>
      <c r="Q293" s="1875"/>
      <c r="R293" s="1876"/>
      <c r="S293" s="1873"/>
      <c r="T293" s="1877"/>
    </row>
    <row r="294" spans="2:20" x14ac:dyDescent="0.3">
      <c r="B294" s="1838">
        <v>42575</v>
      </c>
      <c r="C294" s="1837">
        <v>652.23</v>
      </c>
      <c r="D294" s="1840">
        <f t="shared" si="20"/>
        <v>3.6314955298752949E-3</v>
      </c>
      <c r="F294" s="1839">
        <v>2173.6</v>
      </c>
      <c r="G294" s="1840">
        <f t="shared" si="21"/>
        <v>-6.5746219592388577E-4</v>
      </c>
      <c r="H294" s="1838">
        <v>42575</v>
      </c>
      <c r="M294" s="1844">
        <f t="shared" si="22"/>
        <v>-6.5746219592388577E-4</v>
      </c>
      <c r="N294" s="1823">
        <f t="shared" si="23"/>
        <v>0</v>
      </c>
      <c r="P294" s="1874"/>
      <c r="Q294" s="1875"/>
      <c r="R294" s="1876"/>
      <c r="S294" s="1873"/>
      <c r="T294" s="1877"/>
    </row>
    <row r="295" spans="2:20" x14ac:dyDescent="0.3">
      <c r="B295" s="1838">
        <v>42568</v>
      </c>
      <c r="C295" s="1837">
        <v>649.87</v>
      </c>
      <c r="D295" s="1840">
        <f t="shared" si="20"/>
        <v>-2.2104851330203346E-2</v>
      </c>
      <c r="F295" s="1839">
        <v>2175.0300000000002</v>
      </c>
      <c r="G295" s="1840">
        <f t="shared" si="21"/>
        <v>6.1478253629023705E-3</v>
      </c>
      <c r="H295" s="1838">
        <v>42568</v>
      </c>
      <c r="M295" s="1844">
        <f t="shared" si="22"/>
        <v>6.1478253629023705E-3</v>
      </c>
      <c r="N295" s="1823">
        <f t="shared" si="23"/>
        <v>0</v>
      </c>
      <c r="P295" s="1874"/>
      <c r="Q295" s="1875"/>
      <c r="R295" s="1876"/>
      <c r="S295" s="1873"/>
      <c r="T295" s="1877"/>
    </row>
    <row r="296" spans="2:20" x14ac:dyDescent="0.3">
      <c r="B296" s="1838">
        <v>42561</v>
      </c>
      <c r="C296" s="1837">
        <v>664.56</v>
      </c>
      <c r="D296" s="1840">
        <f t="shared" si="20"/>
        <v>8.9269447986883854E-3</v>
      </c>
      <c r="F296" s="1839">
        <v>2161.7399999999998</v>
      </c>
      <c r="G296" s="1840">
        <f t="shared" si="21"/>
        <v>1.4949058641250623E-2</v>
      </c>
      <c r="H296" s="1838">
        <v>42561</v>
      </c>
      <c r="M296" s="1844">
        <f t="shared" si="22"/>
        <v>1.4949058641250623E-2</v>
      </c>
      <c r="N296" s="1823">
        <f t="shared" si="23"/>
        <v>0</v>
      </c>
      <c r="P296" s="1874"/>
      <c r="Q296" s="1875"/>
      <c r="R296" s="1876"/>
      <c r="S296" s="1873"/>
      <c r="T296" s="1877"/>
    </row>
    <row r="297" spans="2:20" x14ac:dyDescent="0.3">
      <c r="B297" s="1838">
        <v>42554</v>
      </c>
      <c r="C297" s="1837">
        <v>658.68</v>
      </c>
      <c r="D297" s="1840">
        <f t="shared" si="20"/>
        <v>2.8705294393253089E-2</v>
      </c>
      <c r="F297" s="1839">
        <v>2129.9</v>
      </c>
      <c r="G297" s="1840">
        <f t="shared" si="21"/>
        <v>1.2815330844765827E-2</v>
      </c>
      <c r="H297" s="1838">
        <v>42554</v>
      </c>
      <c r="M297" s="1844">
        <f t="shared" si="22"/>
        <v>1.2815330844765827E-2</v>
      </c>
      <c r="N297" s="1823">
        <f t="shared" si="23"/>
        <v>0</v>
      </c>
      <c r="P297" s="1874"/>
      <c r="Q297" s="1875"/>
      <c r="R297" s="1876"/>
      <c r="S297" s="1873"/>
      <c r="T297" s="1877"/>
    </row>
    <row r="298" spans="2:20" x14ac:dyDescent="0.3">
      <c r="B298" s="1838">
        <v>42547</v>
      </c>
      <c r="C298" s="1837">
        <v>640.29999999999995</v>
      </c>
      <c r="D298" s="1840">
        <f t="shared" si="20"/>
        <v>3.1460927557710461E-2</v>
      </c>
      <c r="F298" s="1839">
        <v>2102.9499999999998</v>
      </c>
      <c r="G298" s="1840">
        <f t="shared" si="21"/>
        <v>3.2168292096337758E-2</v>
      </c>
      <c r="H298" s="1838">
        <v>42547</v>
      </c>
      <c r="M298" s="1844">
        <f t="shared" si="22"/>
        <v>3.2168292096337758E-2</v>
      </c>
      <c r="N298" s="1823">
        <f t="shared" si="23"/>
        <v>0</v>
      </c>
      <c r="P298" s="1874"/>
      <c r="Q298" s="1875"/>
      <c r="R298" s="1876"/>
      <c r="S298" s="1873"/>
      <c r="T298" s="1877"/>
    </row>
    <row r="299" spans="2:20" x14ac:dyDescent="0.3">
      <c r="B299" s="1838">
        <v>42540</v>
      </c>
      <c r="C299" s="1837">
        <v>620.77</v>
      </c>
      <c r="D299" s="1840">
        <f t="shared" si="20"/>
        <v>2.4545821558337177E-3</v>
      </c>
      <c r="F299" s="1839">
        <v>2037.41</v>
      </c>
      <c r="G299" s="1840">
        <f t="shared" si="21"/>
        <v>-1.6323712594509376E-2</v>
      </c>
      <c r="H299" s="1838">
        <v>42540</v>
      </c>
      <c r="M299" s="1844">
        <f t="shared" si="22"/>
        <v>-1.6323712594509376E-2</v>
      </c>
      <c r="N299" s="1823">
        <f t="shared" si="23"/>
        <v>0</v>
      </c>
      <c r="P299" s="1874"/>
      <c r="Q299" s="1875"/>
      <c r="R299" s="1876"/>
      <c r="S299" s="1873"/>
      <c r="T299" s="1877"/>
    </row>
    <row r="300" spans="2:20" x14ac:dyDescent="0.3">
      <c r="B300" s="1838">
        <v>42533</v>
      </c>
      <c r="C300" s="1837">
        <v>619.25</v>
      </c>
      <c r="D300" s="1840">
        <f t="shared" si="20"/>
        <v>-1.6813793979423397E-2</v>
      </c>
      <c r="F300" s="1839">
        <v>2071.2199999999998</v>
      </c>
      <c r="G300" s="1840">
        <f t="shared" si="21"/>
        <v>-1.1855520092363458E-2</v>
      </c>
      <c r="H300" s="1838">
        <v>42533</v>
      </c>
      <c r="M300" s="1844">
        <f t="shared" si="22"/>
        <v>-1.1855520092363458E-2</v>
      </c>
      <c r="N300" s="1823">
        <f t="shared" si="23"/>
        <v>0</v>
      </c>
      <c r="P300" s="1874"/>
      <c r="Q300" s="1875"/>
      <c r="R300" s="1876"/>
      <c r="S300" s="1873"/>
      <c r="T300" s="1877"/>
    </row>
    <row r="301" spans="2:20" x14ac:dyDescent="0.3">
      <c r="B301" s="1838">
        <v>42526</v>
      </c>
      <c r="C301" s="1837">
        <v>629.84</v>
      </c>
      <c r="D301" s="1840">
        <f t="shared" si="20"/>
        <v>1.2799897086254619E-2</v>
      </c>
      <c r="F301" s="1839">
        <v>2096.0700000000002</v>
      </c>
      <c r="G301" s="1840">
        <f t="shared" si="21"/>
        <v>-1.4577467808091216E-3</v>
      </c>
      <c r="H301" s="1838">
        <v>42526</v>
      </c>
      <c r="M301" s="1844">
        <f t="shared" si="22"/>
        <v>-1.4577467808091216E-3</v>
      </c>
      <c r="N301" s="1823">
        <f t="shared" si="23"/>
        <v>0</v>
      </c>
      <c r="P301" s="1874"/>
      <c r="Q301" s="1875"/>
      <c r="R301" s="1876"/>
      <c r="S301" s="1873"/>
      <c r="T301" s="1877"/>
    </row>
    <row r="302" spans="2:20" x14ac:dyDescent="0.3">
      <c r="B302" s="1838">
        <v>42519</v>
      </c>
      <c r="C302" s="1837">
        <v>621.88</v>
      </c>
      <c r="D302" s="1840">
        <f t="shared" si="20"/>
        <v>2.2643929552219166E-2</v>
      </c>
      <c r="F302" s="1839">
        <v>2099.13</v>
      </c>
      <c r="G302" s="1840">
        <f t="shared" si="21"/>
        <v>3.3348260650045702E-5</v>
      </c>
      <c r="H302" s="1838">
        <v>42519</v>
      </c>
      <c r="M302" s="1844">
        <f t="shared" si="22"/>
        <v>3.3348260650045702E-5</v>
      </c>
      <c r="N302" s="1823">
        <f t="shared" si="23"/>
        <v>0</v>
      </c>
      <c r="P302" s="1874"/>
      <c r="Q302" s="1875"/>
      <c r="R302" s="1876"/>
      <c r="S302" s="1873"/>
      <c r="T302" s="1877"/>
    </row>
    <row r="303" spans="2:20" x14ac:dyDescent="0.3">
      <c r="B303" s="1838">
        <v>42512</v>
      </c>
      <c r="C303" s="1837">
        <v>608.11</v>
      </c>
      <c r="D303" s="1840">
        <f t="shared" si="20"/>
        <v>-1.0897675704689136E-2</v>
      </c>
      <c r="F303" s="1839">
        <v>2099.06</v>
      </c>
      <c r="G303" s="1840">
        <f t="shared" si="21"/>
        <v>2.2774226241521589E-2</v>
      </c>
      <c r="H303" s="1838">
        <v>42512</v>
      </c>
      <c r="M303" s="1844">
        <f t="shared" si="22"/>
        <v>2.2774226241521589E-2</v>
      </c>
      <c r="N303" s="1823">
        <f t="shared" si="23"/>
        <v>0</v>
      </c>
      <c r="P303" s="1874"/>
      <c r="Q303" s="1875"/>
      <c r="R303" s="1876"/>
      <c r="S303" s="1873"/>
      <c r="T303" s="1877"/>
    </row>
    <row r="304" spans="2:20" x14ac:dyDescent="0.3">
      <c r="B304" s="1838">
        <v>42505</v>
      </c>
      <c r="C304" s="1837">
        <v>614.80999999999995</v>
      </c>
      <c r="D304" s="1840">
        <f t="shared" si="20"/>
        <v>6.5322026128808997E-3</v>
      </c>
      <c r="F304" s="1839">
        <v>2052.3200000000002</v>
      </c>
      <c r="G304" s="1840">
        <f t="shared" si="21"/>
        <v>2.7899795271206784E-3</v>
      </c>
      <c r="H304" s="1838">
        <v>42505</v>
      </c>
      <c r="M304" s="1844">
        <f t="shared" si="22"/>
        <v>2.7899795271206784E-3</v>
      </c>
      <c r="N304" s="1823">
        <f t="shared" si="23"/>
        <v>0</v>
      </c>
      <c r="P304" s="1874"/>
      <c r="Q304" s="1875"/>
      <c r="R304" s="1876"/>
      <c r="S304" s="1873"/>
      <c r="T304" s="1877"/>
    </row>
    <row r="305" spans="2:20" x14ac:dyDescent="0.3">
      <c r="B305" s="1838">
        <v>42498</v>
      </c>
      <c r="C305" s="1837">
        <v>610.82000000000005</v>
      </c>
      <c r="D305" s="1840">
        <f t="shared" si="20"/>
        <v>7.0896260634440988E-3</v>
      </c>
      <c r="F305" s="1839">
        <v>2046.61</v>
      </c>
      <c r="G305" s="1840">
        <f t="shared" si="21"/>
        <v>-5.1187571093848083E-3</v>
      </c>
      <c r="H305" s="1838">
        <v>42498</v>
      </c>
      <c r="M305" s="1844">
        <f t="shared" si="22"/>
        <v>-5.1187571093848083E-3</v>
      </c>
      <c r="N305" s="1823">
        <f t="shared" si="23"/>
        <v>0</v>
      </c>
      <c r="P305" s="1874"/>
      <c r="Q305" s="1875"/>
      <c r="R305" s="1876"/>
      <c r="S305" s="1873"/>
      <c r="T305" s="1877"/>
    </row>
    <row r="306" spans="2:20" x14ac:dyDescent="0.3">
      <c r="B306" s="1838">
        <v>42491</v>
      </c>
      <c r="C306" s="1837">
        <v>606.52</v>
      </c>
      <c r="D306" s="1840">
        <f t="shared" si="20"/>
        <v>1.3620335244079795E-2</v>
      </c>
      <c r="F306" s="1839">
        <v>2057.14</v>
      </c>
      <c r="G306" s="1840">
        <f t="shared" si="21"/>
        <v>-3.9509998547427871E-3</v>
      </c>
      <c r="H306" s="1838">
        <v>42491</v>
      </c>
      <c r="M306" s="1844">
        <f t="shared" si="22"/>
        <v>-3.9509998547427871E-3</v>
      </c>
      <c r="N306" s="1823">
        <f t="shared" si="23"/>
        <v>0</v>
      </c>
      <c r="P306" s="1874"/>
      <c r="Q306" s="1875"/>
      <c r="R306" s="1876"/>
      <c r="S306" s="1873"/>
      <c r="T306" s="1877"/>
    </row>
    <row r="307" spans="2:20" x14ac:dyDescent="0.3">
      <c r="B307" s="1838">
        <v>42484</v>
      </c>
      <c r="C307" s="1837">
        <v>598.37</v>
      </c>
      <c r="D307" s="1840">
        <f t="shared" si="20"/>
        <v>9.9412638401294995E-3</v>
      </c>
      <c r="F307" s="1839">
        <v>2065.3000000000002</v>
      </c>
      <c r="G307" s="1840">
        <f t="shared" si="21"/>
        <v>-1.2564664033888118E-2</v>
      </c>
      <c r="H307" s="1838">
        <v>42484</v>
      </c>
      <c r="M307" s="1844">
        <f t="shared" si="22"/>
        <v>-1.2564664033888118E-2</v>
      </c>
      <c r="N307" s="1823">
        <f t="shared" si="23"/>
        <v>0</v>
      </c>
      <c r="P307" s="1874"/>
      <c r="Q307" s="1875"/>
      <c r="R307" s="1876"/>
      <c r="S307" s="1873"/>
      <c r="T307" s="1877"/>
    </row>
    <row r="308" spans="2:20" x14ac:dyDescent="0.3">
      <c r="B308" s="1838">
        <v>42477</v>
      </c>
      <c r="C308" s="1837">
        <v>592.48</v>
      </c>
      <c r="D308" s="1840">
        <f t="shared" si="20"/>
        <v>2.176387403856106E-2</v>
      </c>
      <c r="F308" s="1839">
        <v>2091.58</v>
      </c>
      <c r="G308" s="1840">
        <f t="shared" si="21"/>
        <v>5.2145160592675932E-3</v>
      </c>
      <c r="H308" s="1838">
        <v>42477</v>
      </c>
      <c r="M308" s="1844">
        <f t="shared" si="22"/>
        <v>5.2145160592675932E-3</v>
      </c>
      <c r="N308" s="1823">
        <f t="shared" si="23"/>
        <v>0</v>
      </c>
      <c r="P308" s="1874"/>
      <c r="Q308" s="1875"/>
      <c r="R308" s="1876"/>
      <c r="S308" s="1873"/>
      <c r="T308" s="1877"/>
    </row>
    <row r="309" spans="2:20" x14ac:dyDescent="0.3">
      <c r="B309" s="1838">
        <v>42470</v>
      </c>
      <c r="C309" s="1837">
        <v>579.86</v>
      </c>
      <c r="D309" s="1840">
        <f t="shared" si="20"/>
        <v>1.3139043226054303E-2</v>
      </c>
      <c r="F309" s="1839">
        <v>2080.73</v>
      </c>
      <c r="G309" s="1840">
        <f t="shared" si="21"/>
        <v>1.6179917952725109E-2</v>
      </c>
      <c r="H309" s="1838">
        <v>42470</v>
      </c>
      <c r="M309" s="1844">
        <f t="shared" si="22"/>
        <v>1.6179917952725109E-2</v>
      </c>
      <c r="N309" s="1823">
        <f t="shared" si="23"/>
        <v>0</v>
      </c>
      <c r="P309" s="1874"/>
      <c r="Q309" s="1875"/>
      <c r="R309" s="1876"/>
      <c r="S309" s="1873"/>
      <c r="T309" s="1877"/>
    </row>
    <row r="310" spans="2:20" x14ac:dyDescent="0.3">
      <c r="B310" s="1838">
        <v>42463</v>
      </c>
      <c r="C310" s="1837">
        <v>572.34</v>
      </c>
      <c r="D310" s="1840">
        <f t="shared" si="20"/>
        <v>2.4909120212023073E-2</v>
      </c>
      <c r="F310" s="1839">
        <v>2047.6</v>
      </c>
      <c r="G310" s="1840">
        <f t="shared" si="21"/>
        <v>-1.2147936587578179E-2</v>
      </c>
      <c r="H310" s="1838">
        <v>42463</v>
      </c>
      <c r="M310" s="1844">
        <f t="shared" si="22"/>
        <v>-1.2147936587578179E-2</v>
      </c>
      <c r="N310" s="1823">
        <f t="shared" si="23"/>
        <v>0</v>
      </c>
      <c r="P310" s="1874"/>
      <c r="Q310" s="1875"/>
      <c r="R310" s="1876"/>
      <c r="S310" s="1873"/>
      <c r="T310" s="1877"/>
    </row>
    <row r="311" spans="2:20" x14ac:dyDescent="0.3">
      <c r="B311" s="1838">
        <v>42456</v>
      </c>
      <c r="C311" s="1837">
        <v>558.42999999999995</v>
      </c>
      <c r="D311" s="1840">
        <f t="shared" si="20"/>
        <v>-2.386029925884503E-2</v>
      </c>
      <c r="F311" s="1839">
        <v>2072.7800000000002</v>
      </c>
      <c r="G311" s="1840">
        <f t="shared" si="21"/>
        <v>1.8094835800662068E-2</v>
      </c>
      <c r="H311" s="1838">
        <v>42456</v>
      </c>
      <c r="M311" s="1844">
        <f t="shared" si="22"/>
        <v>1.8094835800662068E-2</v>
      </c>
      <c r="N311" s="1823">
        <f t="shared" si="23"/>
        <v>0</v>
      </c>
      <c r="P311" s="1874"/>
      <c r="Q311" s="1875"/>
      <c r="R311" s="1876"/>
      <c r="S311" s="1873"/>
      <c r="T311" s="1877"/>
    </row>
    <row r="312" spans="2:20" x14ac:dyDescent="0.3">
      <c r="B312" s="1838">
        <v>42449</v>
      </c>
      <c r="C312" s="1837">
        <v>572.08000000000004</v>
      </c>
      <c r="D312" s="1840">
        <f t="shared" si="20"/>
        <v>-6.4950852697023276E-3</v>
      </c>
      <c r="F312" s="1839">
        <v>2035.94</v>
      </c>
      <c r="G312" s="1840">
        <f t="shared" si="21"/>
        <v>-6.655022004508182E-3</v>
      </c>
      <c r="H312" s="1838">
        <v>42449</v>
      </c>
      <c r="M312" s="1844">
        <f t="shared" si="22"/>
        <v>-6.655022004508182E-3</v>
      </c>
      <c r="N312" s="1823">
        <f t="shared" si="23"/>
        <v>0</v>
      </c>
      <c r="P312" s="1874"/>
      <c r="Q312" s="1875"/>
      <c r="R312" s="1876"/>
      <c r="S312" s="1873"/>
      <c r="T312" s="1877"/>
    </row>
    <row r="313" spans="2:20" x14ac:dyDescent="0.3">
      <c r="B313" s="1838">
        <v>42442</v>
      </c>
      <c r="C313" s="1837">
        <v>575.82000000000005</v>
      </c>
      <c r="D313" s="1840">
        <f t="shared" si="20"/>
        <v>-2.4945431867787748E-3</v>
      </c>
      <c r="F313" s="1839">
        <v>2049.58</v>
      </c>
      <c r="G313" s="1840">
        <f t="shared" si="21"/>
        <v>1.3544721316987918E-2</v>
      </c>
      <c r="H313" s="1838">
        <v>42442</v>
      </c>
      <c r="M313" s="1844">
        <f t="shared" si="22"/>
        <v>1.3544721316987918E-2</v>
      </c>
      <c r="N313" s="1823">
        <f t="shared" si="23"/>
        <v>0</v>
      </c>
      <c r="P313" s="1874"/>
      <c r="Q313" s="1875"/>
      <c r="R313" s="1876"/>
      <c r="S313" s="1873"/>
      <c r="T313" s="1877"/>
    </row>
    <row r="314" spans="2:20" x14ac:dyDescent="0.3">
      <c r="B314" s="1838">
        <v>42435</v>
      </c>
      <c r="C314" s="1837">
        <v>577.26</v>
      </c>
      <c r="D314" s="1840">
        <f t="shared" si="20"/>
        <v>6.2930358232371475E-3</v>
      </c>
      <c r="F314" s="1839">
        <v>2022.19</v>
      </c>
      <c r="G314" s="1840">
        <f t="shared" si="21"/>
        <v>1.1100055500277595E-2</v>
      </c>
      <c r="H314" s="1838">
        <v>42435</v>
      </c>
      <c r="M314" s="1844">
        <f t="shared" si="22"/>
        <v>1.1100055500277595E-2</v>
      </c>
      <c r="N314" s="1823">
        <f t="shared" si="23"/>
        <v>0</v>
      </c>
      <c r="P314" s="1874"/>
      <c r="Q314" s="1875"/>
      <c r="R314" s="1876"/>
      <c r="S314" s="1873"/>
      <c r="T314" s="1877"/>
    </row>
    <row r="315" spans="2:20" x14ac:dyDescent="0.3">
      <c r="B315" s="1838">
        <v>42428</v>
      </c>
      <c r="C315" s="1837">
        <v>573.65</v>
      </c>
      <c r="D315" s="1840">
        <f t="shared" si="20"/>
        <v>1.3318966278638378E-2</v>
      </c>
      <c r="F315" s="1839">
        <v>1999.99</v>
      </c>
      <c r="G315" s="1840">
        <f t="shared" si="21"/>
        <v>2.6662559995893398E-2</v>
      </c>
      <c r="H315" s="1838">
        <v>42428</v>
      </c>
      <c r="M315" s="1844">
        <f t="shared" si="22"/>
        <v>2.6662559995893398E-2</v>
      </c>
      <c r="N315" s="1823">
        <f t="shared" si="23"/>
        <v>0</v>
      </c>
      <c r="P315" s="1874"/>
      <c r="Q315" s="1875"/>
      <c r="R315" s="1876"/>
      <c r="S315" s="1873"/>
      <c r="T315" s="1877"/>
    </row>
    <row r="316" spans="2:20" x14ac:dyDescent="0.3">
      <c r="B316" s="1838">
        <v>42421</v>
      </c>
      <c r="C316" s="1837">
        <v>566.11</v>
      </c>
      <c r="D316" s="1840">
        <f t="shared" si="20"/>
        <v>2.1803873436456511E-2</v>
      </c>
      <c r="F316" s="1839">
        <v>1948.05</v>
      </c>
      <c r="G316" s="1840">
        <f t="shared" si="21"/>
        <v>1.5783875105590761E-2</v>
      </c>
      <c r="H316" s="1838">
        <v>42421</v>
      </c>
      <c r="M316" s="1844">
        <f t="shared" si="22"/>
        <v>1.5783875105590761E-2</v>
      </c>
      <c r="N316" s="1823">
        <f t="shared" si="23"/>
        <v>0</v>
      </c>
      <c r="P316" s="1874"/>
      <c r="Q316" s="1875"/>
      <c r="R316" s="1876"/>
      <c r="S316" s="1873"/>
      <c r="T316" s="1877"/>
    </row>
    <row r="317" spans="2:20" x14ac:dyDescent="0.3">
      <c r="B317" s="1838">
        <v>42414</v>
      </c>
      <c r="C317" s="1837">
        <v>554.03</v>
      </c>
      <c r="D317" s="1840">
        <f t="shared" si="20"/>
        <v>1.7035337310692844E-2</v>
      </c>
      <c r="F317" s="1839">
        <v>1917.78</v>
      </c>
      <c r="G317" s="1840">
        <f t="shared" si="21"/>
        <v>2.006861519640446E-2</v>
      </c>
      <c r="H317" s="1838">
        <v>42414</v>
      </c>
      <c r="M317" s="1844">
        <f t="shared" si="22"/>
        <v>2.006861519640446E-2</v>
      </c>
      <c r="N317" s="1823">
        <f t="shared" si="23"/>
        <v>0</v>
      </c>
      <c r="P317" s="1874"/>
      <c r="Q317" s="1875"/>
      <c r="R317" s="1876"/>
      <c r="S317" s="1873"/>
      <c r="T317" s="1877"/>
    </row>
    <row r="318" spans="2:20" x14ac:dyDescent="0.3">
      <c r="B318" s="1838">
        <v>42400</v>
      </c>
      <c r="C318" s="1837">
        <v>544.75</v>
      </c>
      <c r="D318" s="1840">
        <f t="shared" si="20"/>
        <v>-9.1701054562132178E-4</v>
      </c>
      <c r="F318" s="1839">
        <v>1880.05</v>
      </c>
      <c r="G318" s="1840">
        <f t="shared" si="21"/>
        <v>-3.1021935430668446E-2</v>
      </c>
      <c r="H318" s="1838">
        <v>42400</v>
      </c>
      <c r="M318" s="1844">
        <f t="shared" si="22"/>
        <v>-3.1021935430668446E-2</v>
      </c>
      <c r="N318" s="1823">
        <f t="shared" si="23"/>
        <v>0</v>
      </c>
      <c r="P318" s="1874"/>
      <c r="Q318" s="1875"/>
      <c r="R318" s="1876"/>
      <c r="S318" s="1873"/>
      <c r="T318" s="1877"/>
    </row>
    <row r="319" spans="2:20" x14ac:dyDescent="0.3">
      <c r="B319" s="1838">
        <v>42393</v>
      </c>
      <c r="C319" s="1837">
        <v>545.25</v>
      </c>
      <c r="D319" s="1840">
        <f t="shared" si="20"/>
        <v>4.4060202205882248E-2</v>
      </c>
      <c r="F319" s="1839">
        <v>1940.24</v>
      </c>
      <c r="G319" s="1840">
        <f t="shared" si="21"/>
        <v>1.7483874351040818E-2</v>
      </c>
      <c r="H319" s="1838">
        <v>42393</v>
      </c>
      <c r="M319" s="1844">
        <f t="shared" si="22"/>
        <v>1.7483874351040818E-2</v>
      </c>
      <c r="N319" s="1823">
        <f t="shared" si="23"/>
        <v>0</v>
      </c>
      <c r="P319" s="1874"/>
      <c r="Q319" s="1875"/>
      <c r="R319" s="1876"/>
      <c r="S319" s="1873"/>
      <c r="T319" s="1877"/>
    </row>
    <row r="320" spans="2:20" x14ac:dyDescent="0.3">
      <c r="B320" s="1838">
        <v>42386</v>
      </c>
      <c r="C320" s="1837">
        <v>522.24</v>
      </c>
      <c r="D320" s="1840">
        <f t="shared" si="20"/>
        <v>-3.830288744843835E-2</v>
      </c>
      <c r="F320" s="1839">
        <v>1906.9</v>
      </c>
      <c r="G320" s="1840">
        <f t="shared" si="21"/>
        <v>1.4130498369967048E-2</v>
      </c>
      <c r="H320" s="1838">
        <v>42386</v>
      </c>
      <c r="M320" s="1844">
        <f t="shared" si="22"/>
        <v>1.4130498369967048E-2</v>
      </c>
      <c r="N320" s="1823">
        <f t="shared" si="23"/>
        <v>0</v>
      </c>
      <c r="P320" s="1874"/>
      <c r="Q320" s="1875"/>
      <c r="R320" s="1876"/>
      <c r="S320" s="1873"/>
      <c r="T320" s="1877"/>
    </row>
    <row r="321" spans="2:20" x14ac:dyDescent="0.3">
      <c r="B321" s="1838">
        <v>42379</v>
      </c>
      <c r="C321" s="1837">
        <v>543.04</v>
      </c>
      <c r="D321" s="1840">
        <f t="shared" si="20"/>
        <v>-3.037228818855453E-2</v>
      </c>
      <c r="F321" s="1839">
        <v>1880.33</v>
      </c>
      <c r="G321" s="1840">
        <f t="shared" si="21"/>
        <v>-2.1695811199617054E-2</v>
      </c>
      <c r="H321" s="1838">
        <v>42379</v>
      </c>
      <c r="M321" s="1844">
        <f t="shared" si="22"/>
        <v>-2.1695811199617054E-2</v>
      </c>
      <c r="N321" s="1823">
        <f t="shared" si="23"/>
        <v>0</v>
      </c>
      <c r="P321" s="1874"/>
      <c r="Q321" s="1875"/>
      <c r="R321" s="1876"/>
      <c r="S321" s="1873"/>
      <c r="T321" s="1877"/>
    </row>
    <row r="322" spans="2:20" x14ac:dyDescent="0.3">
      <c r="B322" s="1838">
        <v>42372</v>
      </c>
      <c r="C322" s="1837">
        <v>560.04999999999995</v>
      </c>
      <c r="D322" s="1840">
        <f t="shared" si="20"/>
        <v>-3.2778957912370732E-2</v>
      </c>
      <c r="F322" s="1839">
        <v>1922.03</v>
      </c>
      <c r="G322" s="1840">
        <f t="shared" si="21"/>
        <v>-5.9644607963051821E-2</v>
      </c>
      <c r="H322" s="1838">
        <v>42372</v>
      </c>
      <c r="M322" s="1844">
        <f t="shared" si="22"/>
        <v>-5.9644607963051821E-2</v>
      </c>
      <c r="N322" s="1823">
        <f t="shared" si="23"/>
        <v>0</v>
      </c>
      <c r="P322" s="1874"/>
      <c r="Q322" s="1875"/>
      <c r="R322" s="1876"/>
      <c r="S322" s="1873"/>
      <c r="T322" s="1877"/>
    </row>
    <row r="323" spans="2:20" x14ac:dyDescent="0.3">
      <c r="B323" s="1838">
        <v>42365</v>
      </c>
      <c r="C323" s="1837">
        <v>579.03</v>
      </c>
      <c r="D323" s="1840">
        <f t="shared" si="20"/>
        <v>2.0011626473126931E-2</v>
      </c>
      <c r="F323" s="1839">
        <v>2043.94</v>
      </c>
      <c r="G323" s="1840">
        <f t="shared" si="21"/>
        <v>-8.2727233028785374E-3</v>
      </c>
      <c r="H323" s="1838">
        <v>42365</v>
      </c>
      <c r="M323" s="1844">
        <f t="shared" si="22"/>
        <v>-8.2727233028785374E-3</v>
      </c>
      <c r="N323" s="1823">
        <f t="shared" si="23"/>
        <v>0</v>
      </c>
      <c r="P323" s="1874"/>
      <c r="Q323" s="1875"/>
      <c r="R323" s="1876"/>
      <c r="S323" s="1873"/>
      <c r="T323" s="1877"/>
    </row>
    <row r="324" spans="2:20" x14ac:dyDescent="0.3">
      <c r="B324" s="1838">
        <v>42358</v>
      </c>
      <c r="C324" s="1837">
        <v>567.66999999999996</v>
      </c>
      <c r="D324" s="1840">
        <f t="shared" si="20"/>
        <v>-8.9760287232920621E-4</v>
      </c>
      <c r="F324" s="1839">
        <v>2060.9899999999998</v>
      </c>
      <c r="G324" s="1840">
        <f t="shared" si="21"/>
        <v>2.7643289870608934E-2</v>
      </c>
      <c r="H324" s="1838">
        <v>42358</v>
      </c>
      <c r="M324" s="1844">
        <f t="shared" si="22"/>
        <v>2.7643289870608934E-2</v>
      </c>
      <c r="N324" s="1823">
        <f t="shared" si="23"/>
        <v>0</v>
      </c>
      <c r="P324" s="1874"/>
      <c r="Q324" s="1875"/>
      <c r="R324" s="1876"/>
      <c r="S324" s="1873"/>
      <c r="T324" s="1877"/>
    </row>
    <row r="325" spans="2:20" x14ac:dyDescent="0.3">
      <c r="B325" s="1838">
        <v>42351</v>
      </c>
      <c r="C325" s="1837">
        <v>568.17999999999995</v>
      </c>
      <c r="D325" s="1840">
        <f t="shared" si="20"/>
        <v>8.4305060078448957E-3</v>
      </c>
      <c r="F325" s="1839">
        <v>2005.55</v>
      </c>
      <c r="G325" s="1840">
        <f t="shared" si="21"/>
        <v>-3.3890387950525902E-3</v>
      </c>
      <c r="H325" s="1838">
        <v>42351</v>
      </c>
      <c r="M325" s="1844">
        <f t="shared" si="22"/>
        <v>-3.3890387950525902E-3</v>
      </c>
      <c r="N325" s="1823">
        <f t="shared" si="23"/>
        <v>0</v>
      </c>
      <c r="P325" s="1874"/>
      <c r="Q325" s="1875"/>
      <c r="R325" s="1876"/>
      <c r="S325" s="1873"/>
      <c r="T325" s="1877"/>
    </row>
    <row r="326" spans="2:20" x14ac:dyDescent="0.3">
      <c r="B326" s="1838">
        <v>42344</v>
      </c>
      <c r="C326" s="1837">
        <v>563.42999999999995</v>
      </c>
      <c r="D326" s="1840">
        <f t="shared" si="20"/>
        <v>-1.4327700220426287E-2</v>
      </c>
      <c r="F326" s="1839">
        <v>2012.37</v>
      </c>
      <c r="G326" s="1840">
        <f t="shared" si="21"/>
        <v>-3.7921489322031543E-2</v>
      </c>
      <c r="H326" s="1838">
        <v>42344</v>
      </c>
      <c r="M326" s="1844">
        <f t="shared" si="22"/>
        <v>-3.7921489322031543E-2</v>
      </c>
      <c r="N326" s="1823">
        <f t="shared" si="23"/>
        <v>0</v>
      </c>
      <c r="P326" s="1874"/>
      <c r="Q326" s="1875"/>
      <c r="R326" s="1876"/>
      <c r="S326" s="1873"/>
      <c r="T326" s="1877"/>
    </row>
    <row r="327" spans="2:20" x14ac:dyDescent="0.3">
      <c r="B327" s="1838">
        <v>42337</v>
      </c>
      <c r="C327" s="1837">
        <v>571.62</v>
      </c>
      <c r="D327" s="1840">
        <f t="shared" ref="D327:D390" si="25">C327/C328-1</f>
        <v>-1.9284219195004004E-2</v>
      </c>
      <c r="F327" s="1839">
        <v>2091.69</v>
      </c>
      <c r="G327" s="1840">
        <f t="shared" ref="G327:G390" si="26">F327/F328-1</f>
        <v>7.5594107487164663E-4</v>
      </c>
      <c r="H327" s="1838">
        <v>42337</v>
      </c>
      <c r="M327" s="1844">
        <f t="shared" ref="M327:M390" si="27">F327/F328-1</f>
        <v>7.5594107487164663E-4</v>
      </c>
      <c r="N327" s="1823">
        <f t="shared" ref="N327:N390" si="28">H327-B327</f>
        <v>0</v>
      </c>
      <c r="P327" s="1874"/>
      <c r="Q327" s="1875"/>
      <c r="R327" s="1876"/>
      <c r="S327" s="1873"/>
      <c r="T327" s="1877"/>
    </row>
    <row r="328" spans="2:20" x14ac:dyDescent="0.3">
      <c r="B328" s="1838">
        <v>42330</v>
      </c>
      <c r="C328" s="1837">
        <v>582.86</v>
      </c>
      <c r="D328" s="1840">
        <f t="shared" si="25"/>
        <v>-3.5734374483009645E-2</v>
      </c>
      <c r="F328" s="1839">
        <v>2090.11</v>
      </c>
      <c r="G328" s="1840">
        <f t="shared" si="26"/>
        <v>4.4993944963800381E-4</v>
      </c>
      <c r="H328" s="1838">
        <v>42330</v>
      </c>
      <c r="M328" s="1844">
        <f t="shared" si="27"/>
        <v>4.4993944963800381E-4</v>
      </c>
      <c r="N328" s="1823">
        <f t="shared" si="28"/>
        <v>0</v>
      </c>
      <c r="P328" s="1874"/>
      <c r="Q328" s="1875"/>
      <c r="R328" s="1876"/>
      <c r="S328" s="1873"/>
      <c r="T328" s="1877"/>
    </row>
    <row r="329" spans="2:20" x14ac:dyDescent="0.3">
      <c r="B329" s="1838">
        <v>42323</v>
      </c>
      <c r="C329" s="1837">
        <v>604.46</v>
      </c>
      <c r="D329" s="1840">
        <f t="shared" si="25"/>
        <v>-1.1140739771295705E-2</v>
      </c>
      <c r="F329" s="1839">
        <v>2089.17</v>
      </c>
      <c r="G329" s="1840">
        <f t="shared" si="26"/>
        <v>3.2688429294527088E-2</v>
      </c>
      <c r="H329" s="1838">
        <v>42323</v>
      </c>
      <c r="M329" s="1844">
        <f t="shared" si="27"/>
        <v>3.2688429294527088E-2</v>
      </c>
      <c r="N329" s="1823">
        <f t="shared" si="28"/>
        <v>0</v>
      </c>
      <c r="P329" s="1874"/>
      <c r="Q329" s="1875"/>
      <c r="R329" s="1876"/>
      <c r="S329" s="1873"/>
      <c r="T329" s="1877"/>
    </row>
    <row r="330" spans="2:20" x14ac:dyDescent="0.3">
      <c r="B330" s="1838">
        <v>42316</v>
      </c>
      <c r="C330" s="1837">
        <v>611.27</v>
      </c>
      <c r="D330" s="1840">
        <f t="shared" si="25"/>
        <v>-1.7799986935790324E-3</v>
      </c>
      <c r="F330" s="1839">
        <v>2023.04</v>
      </c>
      <c r="G330" s="1840">
        <f t="shared" si="26"/>
        <v>-3.6280487804878025E-2</v>
      </c>
      <c r="H330" s="1838">
        <v>42316</v>
      </c>
      <c r="M330" s="1844">
        <f t="shared" si="27"/>
        <v>-3.6280487804878025E-2</v>
      </c>
      <c r="N330" s="1823">
        <f t="shared" si="28"/>
        <v>0</v>
      </c>
      <c r="P330" s="1874"/>
      <c r="Q330" s="1875"/>
      <c r="R330" s="1876"/>
      <c r="S330" s="1873"/>
      <c r="T330" s="1877"/>
    </row>
    <row r="331" spans="2:20" x14ac:dyDescent="0.3">
      <c r="B331" s="1838">
        <v>42309</v>
      </c>
      <c r="C331" s="1837">
        <v>612.36</v>
      </c>
      <c r="D331" s="1840">
        <f t="shared" si="25"/>
        <v>8.2157498724007016E-3</v>
      </c>
      <c r="F331" s="1839">
        <v>2099.1999999999998</v>
      </c>
      <c r="G331" s="1840">
        <f t="shared" si="26"/>
        <v>9.541397353031611E-3</v>
      </c>
      <c r="H331" s="1838">
        <v>42309</v>
      </c>
      <c r="M331" s="1844">
        <f t="shared" si="27"/>
        <v>9.541397353031611E-3</v>
      </c>
      <c r="N331" s="1823">
        <f t="shared" si="28"/>
        <v>0</v>
      </c>
      <c r="P331" s="1874"/>
      <c r="Q331" s="1875"/>
      <c r="R331" s="1876"/>
      <c r="S331" s="1873"/>
      <c r="T331" s="1877"/>
    </row>
    <row r="332" spans="2:20" x14ac:dyDescent="0.3">
      <c r="B332" s="1838">
        <v>42302</v>
      </c>
      <c r="C332" s="1837">
        <v>607.37</v>
      </c>
      <c r="D332" s="1840">
        <f t="shared" si="25"/>
        <v>9.35620035231155E-3</v>
      </c>
      <c r="F332" s="1839">
        <v>2079.36</v>
      </c>
      <c r="G332" s="1840">
        <f t="shared" si="26"/>
        <v>2.0287690046503215E-3</v>
      </c>
      <c r="H332" s="1838">
        <v>42302</v>
      </c>
      <c r="M332" s="1844">
        <f t="shared" si="27"/>
        <v>2.0287690046503215E-3</v>
      </c>
      <c r="N332" s="1823">
        <f t="shared" si="28"/>
        <v>0</v>
      </c>
      <c r="P332" s="1874"/>
      <c r="Q332" s="1875"/>
      <c r="R332" s="1876"/>
      <c r="S332" s="1877"/>
      <c r="T332" s="1877"/>
    </row>
    <row r="333" spans="2:20" x14ac:dyDescent="0.3">
      <c r="B333" s="1838">
        <v>42295</v>
      </c>
      <c r="C333" s="1837">
        <v>601.74</v>
      </c>
      <c r="D333" s="1840">
        <f t="shared" si="25"/>
        <v>1.4704394455498981E-2</v>
      </c>
      <c r="F333" s="1839">
        <v>2075.15</v>
      </c>
      <c r="G333" s="1840">
        <f t="shared" si="26"/>
        <v>2.0677680991190828E-2</v>
      </c>
      <c r="H333" s="1838">
        <v>42295</v>
      </c>
      <c r="M333" s="1844">
        <f t="shared" si="27"/>
        <v>2.0677680991190828E-2</v>
      </c>
      <c r="N333" s="1823">
        <f t="shared" si="28"/>
        <v>0</v>
      </c>
      <c r="P333" s="1874"/>
      <c r="Q333" s="1875"/>
      <c r="R333" s="1876"/>
      <c r="S333" s="1877"/>
      <c r="T333" s="1877"/>
    </row>
    <row r="334" spans="2:20" x14ac:dyDescent="0.3">
      <c r="B334" s="1838">
        <v>42288</v>
      </c>
      <c r="C334" s="1837">
        <v>593.02</v>
      </c>
      <c r="D334" s="1840">
        <f t="shared" si="25"/>
        <v>8.5031121390428677E-3</v>
      </c>
      <c r="F334" s="1839">
        <v>2033.11</v>
      </c>
      <c r="G334" s="1840">
        <f t="shared" si="26"/>
        <v>9.0426772677416611E-3</v>
      </c>
      <c r="H334" s="1838">
        <v>42288</v>
      </c>
      <c r="M334" s="1844">
        <f t="shared" si="27"/>
        <v>9.0426772677416611E-3</v>
      </c>
      <c r="N334" s="1823">
        <f t="shared" si="28"/>
        <v>0</v>
      </c>
      <c r="P334" s="1874"/>
      <c r="Q334" s="1875"/>
      <c r="R334" s="1876"/>
      <c r="S334" s="1877"/>
      <c r="T334" s="1877"/>
    </row>
    <row r="335" spans="2:20" x14ac:dyDescent="0.3">
      <c r="B335" s="1838">
        <v>42281</v>
      </c>
      <c r="C335" s="1837">
        <v>588.02</v>
      </c>
      <c r="D335" s="1840">
        <f t="shared" si="25"/>
        <v>4.5722110579573538E-2</v>
      </c>
      <c r="F335" s="1839">
        <v>2014.89</v>
      </c>
      <c r="G335" s="1840">
        <f t="shared" si="26"/>
        <v>3.2556780911774386E-2</v>
      </c>
      <c r="H335" s="1838">
        <v>42281</v>
      </c>
      <c r="M335" s="1844">
        <f t="shared" si="27"/>
        <v>3.2556780911774386E-2</v>
      </c>
      <c r="N335" s="1823">
        <f t="shared" si="28"/>
        <v>0</v>
      </c>
      <c r="P335" s="1874"/>
      <c r="Q335" s="1875"/>
      <c r="R335" s="1876"/>
      <c r="S335" s="1877"/>
      <c r="T335" s="1877"/>
    </row>
    <row r="336" spans="2:20" x14ac:dyDescent="0.3">
      <c r="B336" s="1838">
        <v>42274</v>
      </c>
      <c r="C336" s="1837">
        <v>562.30999999999995</v>
      </c>
      <c r="D336" s="1840">
        <f t="shared" si="25"/>
        <v>-1.4148462428556496E-2</v>
      </c>
      <c r="F336" s="1839">
        <v>1951.36</v>
      </c>
      <c r="G336" s="1840">
        <f t="shared" si="26"/>
        <v>1.0365859972868652E-2</v>
      </c>
      <c r="H336" s="1838">
        <v>42274</v>
      </c>
      <c r="M336" s="1844">
        <f t="shared" si="27"/>
        <v>1.0365859972868652E-2</v>
      </c>
      <c r="N336" s="1823">
        <f t="shared" si="28"/>
        <v>0</v>
      </c>
      <c r="P336" s="1874"/>
      <c r="Q336" s="1875"/>
      <c r="R336" s="1876"/>
      <c r="S336" s="1877"/>
      <c r="T336" s="1877"/>
    </row>
    <row r="337" spans="2:20" x14ac:dyDescent="0.3">
      <c r="B337" s="1838">
        <v>42267</v>
      </c>
      <c r="C337" s="1837">
        <v>570.38</v>
      </c>
      <c r="D337" s="1840">
        <f t="shared" si="25"/>
        <v>7.2935982339956684E-3</v>
      </c>
      <c r="F337" s="1839">
        <v>1931.34</v>
      </c>
      <c r="G337" s="1840">
        <f t="shared" si="26"/>
        <v>-1.363104753246891E-2</v>
      </c>
      <c r="H337" s="1838">
        <v>42267</v>
      </c>
      <c r="M337" s="1844">
        <f t="shared" si="27"/>
        <v>-1.363104753246891E-2</v>
      </c>
      <c r="N337" s="1823">
        <f t="shared" si="28"/>
        <v>0</v>
      </c>
      <c r="P337" s="1874"/>
      <c r="Q337" s="1875"/>
      <c r="R337" s="1876"/>
      <c r="S337" s="1877"/>
      <c r="T337" s="1877"/>
    </row>
    <row r="338" spans="2:20" x14ac:dyDescent="0.3">
      <c r="B338" s="1838">
        <v>42260</v>
      </c>
      <c r="C338" s="1837">
        <v>566.25</v>
      </c>
      <c r="D338" s="1840">
        <f t="shared" si="25"/>
        <v>-8.6459399371852097E-4</v>
      </c>
      <c r="F338" s="1839">
        <v>1958.03</v>
      </c>
      <c r="G338" s="1840">
        <f t="shared" si="26"/>
        <v>-1.5399913311746616E-3</v>
      </c>
      <c r="H338" s="1838">
        <v>42260</v>
      </c>
      <c r="M338" s="1844">
        <f t="shared" si="27"/>
        <v>-1.5399913311746616E-3</v>
      </c>
      <c r="N338" s="1823">
        <f t="shared" si="28"/>
        <v>0</v>
      </c>
      <c r="P338" s="1874"/>
      <c r="Q338" s="1875"/>
      <c r="R338" s="1876"/>
      <c r="S338" s="1877"/>
      <c r="T338" s="1877"/>
    </row>
    <row r="339" spans="2:20" x14ac:dyDescent="0.3">
      <c r="B339" s="1838">
        <v>42253</v>
      </c>
      <c r="C339" s="1837">
        <v>566.74</v>
      </c>
      <c r="D339" s="1840">
        <f t="shared" si="25"/>
        <v>1.7833731434421241E-2</v>
      </c>
      <c r="F339" s="1839">
        <v>1961.05</v>
      </c>
      <c r="G339" s="1840">
        <f t="shared" si="26"/>
        <v>2.0731618450775979E-2</v>
      </c>
      <c r="H339" s="1838">
        <v>42253</v>
      </c>
      <c r="M339" s="1844">
        <f t="shared" si="27"/>
        <v>2.0731618450775979E-2</v>
      </c>
      <c r="N339" s="1823">
        <f t="shared" si="28"/>
        <v>0</v>
      </c>
      <c r="P339" s="1874"/>
      <c r="Q339" s="1875"/>
      <c r="R339" s="1876"/>
      <c r="S339" s="1877"/>
      <c r="T339" s="1877"/>
    </row>
    <row r="340" spans="2:20" x14ac:dyDescent="0.3">
      <c r="B340" s="1838">
        <v>42246</v>
      </c>
      <c r="C340" s="1837">
        <v>556.80999999999995</v>
      </c>
      <c r="D340" s="1840">
        <f t="shared" si="25"/>
        <v>-2.4629074920735072E-2</v>
      </c>
      <c r="F340" s="1839">
        <v>1921.22</v>
      </c>
      <c r="G340" s="1840">
        <f t="shared" si="26"/>
        <v>-3.4014289521185348E-2</v>
      </c>
      <c r="H340" s="1838">
        <v>42246</v>
      </c>
      <c r="M340" s="1844">
        <f t="shared" si="27"/>
        <v>-3.4014289521185348E-2</v>
      </c>
      <c r="N340" s="1823">
        <f t="shared" si="28"/>
        <v>0</v>
      </c>
      <c r="P340" s="1874"/>
      <c r="Q340" s="1875"/>
      <c r="R340" s="1876"/>
      <c r="S340" s="1877"/>
      <c r="T340" s="1877"/>
    </row>
    <row r="341" spans="2:20" x14ac:dyDescent="0.3">
      <c r="B341" s="1838">
        <v>42239</v>
      </c>
      <c r="C341" s="1837">
        <v>570.87</v>
      </c>
      <c r="D341" s="1840">
        <f t="shared" si="25"/>
        <v>2.6190904188387654E-2</v>
      </c>
      <c r="F341" s="1839">
        <v>1988.87</v>
      </c>
      <c r="G341" s="1840">
        <f t="shared" si="26"/>
        <v>9.1227820933688086E-3</v>
      </c>
      <c r="H341" s="1838">
        <v>42239</v>
      </c>
      <c r="M341" s="1844">
        <f t="shared" si="27"/>
        <v>9.1227820933688086E-3</v>
      </c>
      <c r="N341" s="1823">
        <f t="shared" si="28"/>
        <v>0</v>
      </c>
      <c r="P341" s="1874"/>
      <c r="Q341" s="1875"/>
      <c r="R341" s="1876"/>
      <c r="S341" s="1877"/>
      <c r="T341" s="1877"/>
    </row>
    <row r="342" spans="2:20" x14ac:dyDescent="0.3">
      <c r="B342" s="1838">
        <v>42232</v>
      </c>
      <c r="C342" s="1837">
        <v>556.29999999999995</v>
      </c>
      <c r="D342" s="1840">
        <f t="shared" si="25"/>
        <v>-5.556593042799185E-2</v>
      </c>
      <c r="F342" s="1839">
        <v>1970.89</v>
      </c>
      <c r="G342" s="1840">
        <f t="shared" si="26"/>
        <v>-5.7684768161259115E-2</v>
      </c>
      <c r="H342" s="1838">
        <v>42232</v>
      </c>
      <c r="M342" s="1844">
        <f t="shared" si="27"/>
        <v>-5.7684768161259115E-2</v>
      </c>
      <c r="N342" s="1823">
        <f t="shared" si="28"/>
        <v>0</v>
      </c>
      <c r="P342" s="1874"/>
      <c r="Q342" s="1875"/>
      <c r="R342" s="1876"/>
      <c r="S342" s="1877"/>
      <c r="T342" s="1877"/>
    </row>
    <row r="343" spans="2:20" x14ac:dyDescent="0.3">
      <c r="B343" s="1838">
        <v>42225</v>
      </c>
      <c r="C343" s="1837">
        <v>589.03</v>
      </c>
      <c r="D343" s="1840">
        <f t="shared" si="25"/>
        <v>-2.4397111435007335E-2</v>
      </c>
      <c r="F343" s="1839">
        <v>2091.54</v>
      </c>
      <c r="G343" s="1840">
        <f t="shared" si="26"/>
        <v>6.7242018319477737E-3</v>
      </c>
      <c r="H343" s="1838">
        <v>42225</v>
      </c>
      <c r="M343" s="1844">
        <f t="shared" si="27"/>
        <v>6.7242018319477737E-3</v>
      </c>
      <c r="N343" s="1823">
        <f t="shared" si="28"/>
        <v>0</v>
      </c>
      <c r="P343" s="1874"/>
      <c r="Q343" s="1875"/>
      <c r="R343" s="1876"/>
      <c r="S343" s="1877"/>
      <c r="T343" s="1877"/>
    </row>
    <row r="344" spans="2:20" x14ac:dyDescent="0.3">
      <c r="B344" s="1838">
        <v>42218</v>
      </c>
      <c r="C344" s="1837">
        <v>603.76</v>
      </c>
      <c r="D344" s="1840">
        <f t="shared" si="25"/>
        <v>-2.7855601713199896E-2</v>
      </c>
      <c r="F344" s="1839">
        <v>2077.5700000000002</v>
      </c>
      <c r="G344" s="1840">
        <f t="shared" si="26"/>
        <v>-1.2486691003118056E-2</v>
      </c>
      <c r="H344" s="1838">
        <v>42218</v>
      </c>
      <c r="M344" s="1844">
        <f t="shared" si="27"/>
        <v>-1.2486691003118056E-2</v>
      </c>
      <c r="N344" s="1823">
        <f t="shared" si="28"/>
        <v>0</v>
      </c>
      <c r="P344" s="1874"/>
      <c r="Q344" s="1875"/>
      <c r="R344" s="1876"/>
      <c r="S344" s="1877"/>
      <c r="T344" s="1877"/>
    </row>
    <row r="345" spans="2:20" x14ac:dyDescent="0.3">
      <c r="B345" s="1838">
        <v>42211</v>
      </c>
      <c r="C345" s="1837">
        <v>621.05999999999995</v>
      </c>
      <c r="D345" s="1840">
        <f t="shared" si="25"/>
        <v>-1.6158159870734767E-2</v>
      </c>
      <c r="F345" s="1839">
        <v>2103.84</v>
      </c>
      <c r="G345" s="1840">
        <f t="shared" si="26"/>
        <v>1.1631764960450042E-2</v>
      </c>
      <c r="H345" s="1838">
        <v>42211</v>
      </c>
      <c r="M345" s="1844">
        <f t="shared" si="27"/>
        <v>1.1631764960450042E-2</v>
      </c>
      <c r="N345" s="1823">
        <f t="shared" si="28"/>
        <v>0</v>
      </c>
      <c r="P345" s="1874"/>
      <c r="Q345" s="1875"/>
      <c r="R345" s="1876"/>
      <c r="S345" s="1877"/>
      <c r="T345" s="1877"/>
    </row>
    <row r="346" spans="2:20" x14ac:dyDescent="0.3">
      <c r="B346" s="1838">
        <v>42204</v>
      </c>
      <c r="C346" s="1837">
        <v>631.26</v>
      </c>
      <c r="D346" s="1840">
        <f t="shared" si="25"/>
        <v>4.1837010642189476E-3</v>
      </c>
      <c r="F346" s="1839">
        <v>2079.65</v>
      </c>
      <c r="G346" s="1840">
        <f t="shared" si="26"/>
        <v>-2.2095888349697113E-2</v>
      </c>
      <c r="H346" s="1838">
        <v>42204</v>
      </c>
      <c r="M346" s="1844">
        <f t="shared" si="27"/>
        <v>-2.2095888349697113E-2</v>
      </c>
      <c r="N346" s="1823">
        <f t="shared" si="28"/>
        <v>0</v>
      </c>
      <c r="P346" s="1874"/>
      <c r="Q346" s="1875"/>
      <c r="R346" s="1876"/>
      <c r="S346" s="1877"/>
      <c r="T346" s="1877"/>
    </row>
    <row r="347" spans="2:20" x14ac:dyDescent="0.3">
      <c r="B347" s="1838">
        <v>42197</v>
      </c>
      <c r="C347" s="1837">
        <v>628.63</v>
      </c>
      <c r="D347" s="1840">
        <f t="shared" si="25"/>
        <v>2.1521489605917932E-3</v>
      </c>
      <c r="F347" s="1839">
        <v>2126.64</v>
      </c>
      <c r="G347" s="1840">
        <f t="shared" si="26"/>
        <v>2.4087218653388698E-2</v>
      </c>
      <c r="H347" s="1838">
        <v>42197</v>
      </c>
      <c r="M347" s="1844">
        <f t="shared" si="27"/>
        <v>2.4087218653388698E-2</v>
      </c>
      <c r="N347" s="1823">
        <f t="shared" si="28"/>
        <v>0</v>
      </c>
      <c r="P347" s="1874"/>
      <c r="Q347" s="1875"/>
      <c r="R347" s="1876"/>
      <c r="S347" s="1877"/>
      <c r="T347" s="1877"/>
    </row>
    <row r="348" spans="2:20" x14ac:dyDescent="0.3">
      <c r="B348" s="1838">
        <v>42190</v>
      </c>
      <c r="C348" s="1837">
        <v>627.28</v>
      </c>
      <c r="D348" s="1840">
        <f t="shared" si="25"/>
        <v>1.7601349707184966E-2</v>
      </c>
      <c r="F348" s="1839">
        <v>2076.62</v>
      </c>
      <c r="G348" s="1840">
        <f t="shared" si="26"/>
        <v>-7.7042344398647877E-5</v>
      </c>
      <c r="H348" s="1838">
        <v>42190</v>
      </c>
      <c r="M348" s="1844">
        <f t="shared" si="27"/>
        <v>-7.7042344398647877E-5</v>
      </c>
      <c r="N348" s="1823">
        <f t="shared" si="28"/>
        <v>0</v>
      </c>
      <c r="P348" s="1874"/>
      <c r="Q348" s="1875"/>
      <c r="R348" s="1876"/>
      <c r="S348" s="1877"/>
      <c r="T348" s="1877"/>
    </row>
    <row r="349" spans="2:20" x14ac:dyDescent="0.3">
      <c r="B349" s="1838">
        <v>42183</v>
      </c>
      <c r="C349" s="1837">
        <v>616.42999999999995</v>
      </c>
      <c r="D349" s="1840">
        <f t="shared" si="25"/>
        <v>5.9613235926085029E-2</v>
      </c>
      <c r="F349" s="1839">
        <v>2076.7800000000002</v>
      </c>
      <c r="G349" s="1840">
        <f t="shared" si="26"/>
        <v>-1.1758323855930564E-2</v>
      </c>
      <c r="H349" s="1838">
        <v>42183</v>
      </c>
      <c r="M349" s="1844">
        <f t="shared" si="27"/>
        <v>-1.1758323855930564E-2</v>
      </c>
      <c r="N349" s="1823">
        <f t="shared" si="28"/>
        <v>0</v>
      </c>
      <c r="P349" s="1874"/>
      <c r="Q349" s="1875"/>
      <c r="R349" s="1876"/>
      <c r="S349" s="1877"/>
      <c r="T349" s="1877"/>
    </row>
    <row r="350" spans="2:20" x14ac:dyDescent="0.3">
      <c r="B350" s="1838">
        <v>42176</v>
      </c>
      <c r="C350" s="1837">
        <v>581.75</v>
      </c>
      <c r="D350" s="1840">
        <f t="shared" si="25"/>
        <v>-5.0453223875492892E-3</v>
      </c>
      <c r="F350" s="1839">
        <v>2101.4899999999998</v>
      </c>
      <c r="G350" s="1840">
        <f t="shared" si="26"/>
        <v>-4.0284551111616773E-3</v>
      </c>
      <c r="H350" s="1838">
        <v>42176</v>
      </c>
      <c r="M350" s="1844">
        <f t="shared" si="27"/>
        <v>-4.0284551111616773E-3</v>
      </c>
      <c r="N350" s="1823">
        <f t="shared" si="28"/>
        <v>0</v>
      </c>
      <c r="P350" s="1874"/>
      <c r="Q350" s="1875"/>
      <c r="R350" s="1876"/>
      <c r="S350" s="1877"/>
      <c r="T350" s="1877"/>
    </row>
    <row r="351" spans="2:20" x14ac:dyDescent="0.3">
      <c r="B351" s="1838">
        <v>42169</v>
      </c>
      <c r="C351" s="1837">
        <v>584.70000000000005</v>
      </c>
      <c r="D351" s="1840">
        <f t="shared" si="25"/>
        <v>3.3806394041837606E-3</v>
      </c>
      <c r="F351" s="1839">
        <v>2109.9899999999998</v>
      </c>
      <c r="G351" s="1840">
        <f t="shared" si="26"/>
        <v>7.5831737587803705E-3</v>
      </c>
      <c r="H351" s="1838">
        <v>42169</v>
      </c>
      <c r="M351" s="1844">
        <f t="shared" si="27"/>
        <v>7.5831737587803705E-3</v>
      </c>
      <c r="N351" s="1823">
        <f t="shared" si="28"/>
        <v>0</v>
      </c>
      <c r="P351" s="1874"/>
      <c r="Q351" s="1875"/>
      <c r="R351" s="1876"/>
      <c r="S351" s="1877"/>
      <c r="T351" s="1877"/>
    </row>
    <row r="352" spans="2:20" x14ac:dyDescent="0.3">
      <c r="B352" s="1838">
        <v>42162</v>
      </c>
      <c r="C352" s="1837">
        <v>582.73</v>
      </c>
      <c r="D352" s="1840">
        <f t="shared" si="25"/>
        <v>8.0613074541144858E-3</v>
      </c>
      <c r="F352" s="1839">
        <v>2094.11</v>
      </c>
      <c r="G352" s="1840">
        <f t="shared" si="26"/>
        <v>6.1161202773285517E-4</v>
      </c>
      <c r="H352" s="1838">
        <v>42162</v>
      </c>
      <c r="M352" s="1844">
        <f t="shared" si="27"/>
        <v>6.1161202773285517E-4</v>
      </c>
      <c r="N352" s="1823">
        <f t="shared" si="28"/>
        <v>0</v>
      </c>
      <c r="P352" s="1874"/>
      <c r="Q352" s="1875"/>
      <c r="R352" s="1876"/>
      <c r="S352" s="1877"/>
      <c r="T352" s="1877"/>
    </row>
    <row r="353" spans="2:20" x14ac:dyDescent="0.3">
      <c r="B353" s="1838">
        <v>42155</v>
      </c>
      <c r="C353" s="1837">
        <v>578.07000000000005</v>
      </c>
      <c r="D353" s="1840">
        <f t="shared" si="25"/>
        <v>1.4941358241449709E-2</v>
      </c>
      <c r="F353" s="1839">
        <v>2092.83</v>
      </c>
      <c r="G353" s="1840">
        <f t="shared" si="26"/>
        <v>-6.90902016238093E-3</v>
      </c>
      <c r="H353" s="1838">
        <v>42155</v>
      </c>
      <c r="M353" s="1844">
        <f t="shared" si="27"/>
        <v>-6.90902016238093E-3</v>
      </c>
      <c r="N353" s="1823">
        <f t="shared" si="28"/>
        <v>0</v>
      </c>
      <c r="P353" s="1874"/>
      <c r="Q353" s="1875"/>
      <c r="R353" s="1876"/>
      <c r="S353" s="1877"/>
      <c r="T353" s="1877"/>
    </row>
    <row r="354" spans="2:20" x14ac:dyDescent="0.3">
      <c r="B354" s="1838">
        <v>42148</v>
      </c>
      <c r="C354" s="1837">
        <v>569.55999999999995</v>
      </c>
      <c r="D354" s="1840">
        <f t="shared" si="25"/>
        <v>1.3776654444483727E-2</v>
      </c>
      <c r="F354" s="1839">
        <v>2107.39</v>
      </c>
      <c r="G354" s="1840">
        <f t="shared" si="26"/>
        <v>-8.7815019331534128E-3</v>
      </c>
      <c r="H354" s="1838">
        <v>42148</v>
      </c>
      <c r="M354" s="1844">
        <f t="shared" si="27"/>
        <v>-8.7815019331534128E-3</v>
      </c>
      <c r="N354" s="1823">
        <f t="shared" si="28"/>
        <v>0</v>
      </c>
      <c r="P354" s="1874"/>
      <c r="Q354" s="1875"/>
      <c r="R354" s="1876"/>
      <c r="S354" s="1877"/>
      <c r="T354" s="1877"/>
    </row>
    <row r="355" spans="2:20" x14ac:dyDescent="0.3">
      <c r="B355" s="1838">
        <v>42141</v>
      </c>
      <c r="C355" s="1837">
        <v>561.82000000000005</v>
      </c>
      <c r="D355" s="1840">
        <f t="shared" si="25"/>
        <v>4.5363203334325641E-2</v>
      </c>
      <c r="F355" s="1839">
        <v>2126.06</v>
      </c>
      <c r="G355" s="1840">
        <f t="shared" si="26"/>
        <v>1.5687346011974412E-3</v>
      </c>
      <c r="H355" s="1838">
        <v>42141</v>
      </c>
      <c r="M355" s="1844">
        <f t="shared" si="27"/>
        <v>1.5687346011974412E-3</v>
      </c>
      <c r="N355" s="1823">
        <f t="shared" si="28"/>
        <v>0</v>
      </c>
      <c r="P355" s="1874"/>
      <c r="Q355" s="1875"/>
      <c r="R355" s="1876"/>
      <c r="S355" s="1877"/>
      <c r="T355" s="1877"/>
    </row>
    <row r="356" spans="2:20" x14ac:dyDescent="0.3">
      <c r="B356" s="1838">
        <v>42134</v>
      </c>
      <c r="C356" s="1837">
        <v>537.44000000000005</v>
      </c>
      <c r="D356" s="1840">
        <f t="shared" si="25"/>
        <v>-3.0783935366359372E-2</v>
      </c>
      <c r="F356" s="1839">
        <v>2122.73</v>
      </c>
      <c r="G356" s="1840">
        <f t="shared" si="26"/>
        <v>3.1331222532016145E-3</v>
      </c>
      <c r="H356" s="1838">
        <v>42134</v>
      </c>
      <c r="M356" s="1844">
        <f t="shared" si="27"/>
        <v>3.1331222532016145E-3</v>
      </c>
      <c r="N356" s="1823">
        <f t="shared" si="28"/>
        <v>0</v>
      </c>
      <c r="P356" s="1874"/>
      <c r="Q356" s="1875"/>
      <c r="R356" s="1876"/>
      <c r="S356" s="1877"/>
      <c r="T356" s="1877"/>
    </row>
    <row r="357" spans="2:20" x14ac:dyDescent="0.3">
      <c r="B357" s="1838">
        <v>42127</v>
      </c>
      <c r="C357" s="1837">
        <v>554.51</v>
      </c>
      <c r="D357" s="1840">
        <f t="shared" si="25"/>
        <v>-1.4029160739687074E-2</v>
      </c>
      <c r="F357" s="1839">
        <v>2116.1</v>
      </c>
      <c r="G357" s="1840">
        <f t="shared" si="26"/>
        <v>3.7044239644450361E-3</v>
      </c>
      <c r="H357" s="1838">
        <v>42127</v>
      </c>
      <c r="M357" s="1844">
        <f t="shared" si="27"/>
        <v>3.7044239644450361E-3</v>
      </c>
      <c r="N357" s="1823">
        <f t="shared" si="28"/>
        <v>0</v>
      </c>
      <c r="P357" s="1874"/>
      <c r="Q357" s="1875"/>
      <c r="R357" s="1876"/>
      <c r="S357" s="1877"/>
      <c r="T357" s="1877"/>
    </row>
    <row r="358" spans="2:20" x14ac:dyDescent="0.3">
      <c r="B358" s="1838">
        <v>42120</v>
      </c>
      <c r="C358" s="1837">
        <v>562.4</v>
      </c>
      <c r="D358" s="1840">
        <f t="shared" si="25"/>
        <v>-5.9564840836382471E-3</v>
      </c>
      <c r="F358" s="1839">
        <v>2108.29</v>
      </c>
      <c r="G358" s="1840">
        <f t="shared" si="26"/>
        <v>-4.4387988799116096E-3</v>
      </c>
      <c r="H358" s="1838">
        <v>42120</v>
      </c>
      <c r="M358" s="1844">
        <f t="shared" si="27"/>
        <v>-4.4387988799116096E-3</v>
      </c>
      <c r="N358" s="1823">
        <f t="shared" si="28"/>
        <v>0</v>
      </c>
      <c r="P358" s="1874"/>
      <c r="Q358" s="1875"/>
      <c r="R358" s="1876"/>
      <c r="S358" s="1877"/>
      <c r="T358" s="1877"/>
    </row>
    <row r="359" spans="2:20" x14ac:dyDescent="0.3">
      <c r="B359" s="1838">
        <v>42113</v>
      </c>
      <c r="C359" s="1837">
        <v>565.77</v>
      </c>
      <c r="D359" s="1840">
        <f t="shared" si="25"/>
        <v>-4.4869087837838828E-3</v>
      </c>
      <c r="F359" s="1839">
        <v>2117.69</v>
      </c>
      <c r="G359" s="1840">
        <f t="shared" si="26"/>
        <v>1.7542932374902787E-2</v>
      </c>
      <c r="H359" s="1838">
        <v>42113</v>
      </c>
      <c r="M359" s="1844">
        <f t="shared" si="27"/>
        <v>1.7542932374902787E-2</v>
      </c>
      <c r="N359" s="1823">
        <f t="shared" si="28"/>
        <v>0</v>
      </c>
      <c r="P359" s="1874"/>
      <c r="Q359" s="1875"/>
      <c r="R359" s="1876"/>
      <c r="S359" s="1877"/>
      <c r="T359" s="1877"/>
    </row>
    <row r="360" spans="2:20" x14ac:dyDescent="0.3">
      <c r="B360" s="1838">
        <v>42106</v>
      </c>
      <c r="C360" s="1837">
        <v>568.32000000000005</v>
      </c>
      <c r="D360" s="1840">
        <f t="shared" si="25"/>
        <v>2.5792827103225502E-2</v>
      </c>
      <c r="F360" s="1839">
        <v>2081.1799999999998</v>
      </c>
      <c r="G360" s="1840">
        <f t="shared" si="26"/>
        <v>-9.9331132317822535E-3</v>
      </c>
      <c r="H360" s="1838">
        <v>42106</v>
      </c>
      <c r="M360" s="1844">
        <f t="shared" si="27"/>
        <v>-9.9331132317822535E-3</v>
      </c>
      <c r="N360" s="1823">
        <f t="shared" si="28"/>
        <v>0</v>
      </c>
      <c r="P360" s="1874"/>
      <c r="Q360" s="1875"/>
      <c r="R360" s="1876"/>
      <c r="S360" s="1877"/>
      <c r="T360" s="1877"/>
    </row>
    <row r="361" spans="2:20" x14ac:dyDescent="0.3">
      <c r="B361" s="1838">
        <v>42099</v>
      </c>
      <c r="C361" s="1837">
        <v>554.03</v>
      </c>
      <c r="D361" s="1840">
        <f t="shared" si="25"/>
        <v>1.1280459979921442E-2</v>
      </c>
      <c r="F361" s="1839">
        <v>2102.06</v>
      </c>
      <c r="G361" s="1840">
        <f t="shared" si="26"/>
        <v>1.6981460695901118E-2</v>
      </c>
      <c r="H361" s="1838">
        <v>42099</v>
      </c>
      <c r="M361" s="1844">
        <f t="shared" si="27"/>
        <v>1.6981460695901118E-2</v>
      </c>
      <c r="N361" s="1823">
        <f t="shared" si="28"/>
        <v>0</v>
      </c>
      <c r="P361" s="1874"/>
      <c r="Q361" s="1875"/>
      <c r="R361" s="1876"/>
      <c r="S361" s="1877"/>
      <c r="T361" s="1877"/>
    </row>
    <row r="362" spans="2:20" x14ac:dyDescent="0.3">
      <c r="B362" s="1838">
        <v>42092</v>
      </c>
      <c r="C362" s="1837">
        <v>547.85</v>
      </c>
      <c r="D362" s="1840">
        <f t="shared" si="25"/>
        <v>-6.4741938993869708E-3</v>
      </c>
      <c r="F362" s="1839">
        <v>2066.96</v>
      </c>
      <c r="G362" s="1840">
        <f t="shared" si="26"/>
        <v>2.882068102201929E-3</v>
      </c>
      <c r="H362" s="1838">
        <v>42092</v>
      </c>
      <c r="M362" s="1844">
        <f t="shared" si="27"/>
        <v>2.882068102201929E-3</v>
      </c>
      <c r="N362" s="1823">
        <f t="shared" si="28"/>
        <v>0</v>
      </c>
      <c r="P362" s="1874"/>
      <c r="Q362" s="1875"/>
      <c r="R362" s="1876"/>
      <c r="S362" s="1877"/>
      <c r="T362" s="1877"/>
    </row>
    <row r="363" spans="2:20" x14ac:dyDescent="0.3">
      <c r="B363" s="1838">
        <v>42085</v>
      </c>
      <c r="C363" s="1837">
        <v>551.41999999999996</v>
      </c>
      <c r="D363" s="1840">
        <f t="shared" si="25"/>
        <v>-4.1741971361045627E-2</v>
      </c>
      <c r="F363" s="1839">
        <v>2061.02</v>
      </c>
      <c r="G363" s="1840">
        <f t="shared" si="26"/>
        <v>-2.2332906408614406E-2</v>
      </c>
      <c r="H363" s="1838">
        <v>42085</v>
      </c>
      <c r="M363" s="1844">
        <f t="shared" si="27"/>
        <v>-2.2332906408614406E-2</v>
      </c>
      <c r="N363" s="1823">
        <f t="shared" si="28"/>
        <v>0</v>
      </c>
      <c r="P363" s="1874"/>
      <c r="Q363" s="1875"/>
      <c r="R363" s="1876"/>
      <c r="S363" s="1877"/>
      <c r="T363" s="1877"/>
    </row>
    <row r="364" spans="2:20" x14ac:dyDescent="0.3">
      <c r="B364" s="1838">
        <v>42078</v>
      </c>
      <c r="C364" s="1837">
        <v>575.44000000000005</v>
      </c>
      <c r="D364" s="1840">
        <f t="shared" si="25"/>
        <v>-1.8188022521753888E-2</v>
      </c>
      <c r="F364" s="1839">
        <v>2108.1</v>
      </c>
      <c r="G364" s="1840">
        <f t="shared" si="26"/>
        <v>2.6638745495276117E-2</v>
      </c>
      <c r="H364" s="1838">
        <v>42078</v>
      </c>
      <c r="M364" s="1844">
        <f t="shared" si="27"/>
        <v>2.6638745495276117E-2</v>
      </c>
      <c r="N364" s="1823">
        <f t="shared" si="28"/>
        <v>0</v>
      </c>
      <c r="P364" s="1874"/>
      <c r="Q364" s="1875"/>
      <c r="R364" s="1876"/>
      <c r="S364" s="1877"/>
      <c r="T364" s="1877"/>
    </row>
    <row r="365" spans="2:20" x14ac:dyDescent="0.3">
      <c r="B365" s="1838">
        <v>42071</v>
      </c>
      <c r="C365" s="1837">
        <v>586.1</v>
      </c>
      <c r="D365" s="1840">
        <f t="shared" si="25"/>
        <v>-1.3249827432361916E-2</v>
      </c>
      <c r="F365" s="1839">
        <v>2053.4</v>
      </c>
      <c r="G365" s="1840">
        <f t="shared" si="26"/>
        <v>-8.6227706806485394E-3</v>
      </c>
      <c r="H365" s="1838">
        <v>42071</v>
      </c>
      <c r="M365" s="1844">
        <f t="shared" si="27"/>
        <v>-8.6227706806485394E-3</v>
      </c>
      <c r="N365" s="1823">
        <f t="shared" si="28"/>
        <v>0</v>
      </c>
      <c r="P365" s="1874"/>
      <c r="Q365" s="1875"/>
      <c r="R365" s="1876"/>
      <c r="S365" s="1877"/>
      <c r="T365" s="1877"/>
    </row>
    <row r="366" spans="2:20" x14ac:dyDescent="0.3">
      <c r="B366" s="1838">
        <v>42064</v>
      </c>
      <c r="C366" s="1837">
        <v>593.97</v>
      </c>
      <c r="D366" s="1840">
        <f t="shared" si="25"/>
        <v>2.3625900737465066E-3</v>
      </c>
      <c r="F366" s="1839">
        <v>2071.2600000000002</v>
      </c>
      <c r="G366" s="1840">
        <f t="shared" si="26"/>
        <v>-1.5794725588025527E-2</v>
      </c>
      <c r="H366" s="1838">
        <v>42064</v>
      </c>
      <c r="M366" s="1844">
        <f t="shared" si="27"/>
        <v>-1.5794725588025527E-2</v>
      </c>
      <c r="N366" s="1823">
        <f t="shared" si="28"/>
        <v>0</v>
      </c>
      <c r="P366" s="1874"/>
      <c r="Q366" s="1875"/>
      <c r="R366" s="1876"/>
      <c r="S366" s="1877"/>
      <c r="T366" s="1877"/>
    </row>
    <row r="367" spans="2:20" x14ac:dyDescent="0.3">
      <c r="B367" s="1838">
        <v>42057</v>
      </c>
      <c r="C367" s="1837">
        <v>592.57000000000005</v>
      </c>
      <c r="D367" s="1840">
        <f t="shared" si="25"/>
        <v>9.076357196376339E-3</v>
      </c>
      <c r="F367" s="1839">
        <v>2104.5</v>
      </c>
      <c r="G367" s="1840">
        <f t="shared" si="26"/>
        <v>-2.7484243946359621E-3</v>
      </c>
      <c r="H367" s="1838">
        <v>42057</v>
      </c>
      <c r="M367" s="1844">
        <f t="shared" si="27"/>
        <v>-2.7484243946359621E-3</v>
      </c>
      <c r="N367" s="1823">
        <f t="shared" si="28"/>
        <v>0</v>
      </c>
      <c r="P367" s="1874"/>
      <c r="Q367" s="1875"/>
      <c r="R367" s="1876"/>
      <c r="S367" s="1877"/>
      <c r="T367" s="1877"/>
    </row>
    <row r="368" spans="2:20" x14ac:dyDescent="0.3">
      <c r="B368" s="1838">
        <v>42050</v>
      </c>
      <c r="C368" s="1837">
        <v>587.24</v>
      </c>
      <c r="D368" s="1840">
        <f t="shared" si="25"/>
        <v>0</v>
      </c>
      <c r="F368" s="1839">
        <v>2110.3000000000002</v>
      </c>
      <c r="G368" s="1840">
        <f t="shared" si="26"/>
        <v>6.3471928812250944E-3</v>
      </c>
      <c r="H368" s="1838">
        <v>42050</v>
      </c>
      <c r="M368" s="1844">
        <f t="shared" si="27"/>
        <v>6.3471928812250944E-3</v>
      </c>
      <c r="N368" s="1823">
        <f t="shared" si="28"/>
        <v>0</v>
      </c>
      <c r="P368" s="1874"/>
      <c r="Q368" s="1875"/>
      <c r="R368" s="1876"/>
      <c r="S368" s="1877"/>
      <c r="T368" s="1877"/>
    </row>
    <row r="369" spans="2:20" x14ac:dyDescent="0.3">
      <c r="B369" s="1838">
        <v>42043</v>
      </c>
      <c r="C369" s="1837">
        <v>587.24</v>
      </c>
      <c r="D369" s="1840">
        <f t="shared" si="25"/>
        <v>2.2834549666451931E-2</v>
      </c>
      <c r="F369" s="1839">
        <v>2096.9899999999998</v>
      </c>
      <c r="G369" s="1840">
        <f t="shared" si="26"/>
        <v>2.0199759665672667E-2</v>
      </c>
      <c r="H369" s="1838">
        <v>42043</v>
      </c>
      <c r="M369" s="1844">
        <f t="shared" si="27"/>
        <v>2.0199759665672667E-2</v>
      </c>
      <c r="N369" s="1823">
        <f t="shared" si="28"/>
        <v>0</v>
      </c>
      <c r="P369" s="1874"/>
      <c r="Q369" s="1875"/>
      <c r="R369" s="1876"/>
      <c r="S369" s="1877"/>
      <c r="T369" s="1877"/>
    </row>
    <row r="370" spans="2:20" x14ac:dyDescent="0.3">
      <c r="B370" s="1838">
        <v>42036</v>
      </c>
      <c r="C370" s="1837">
        <v>574.13</v>
      </c>
      <c r="D370" s="1840">
        <f t="shared" si="25"/>
        <v>-3.3676462929853601E-3</v>
      </c>
      <c r="F370" s="1839">
        <v>2055.4699999999998</v>
      </c>
      <c r="G370" s="1840">
        <f t="shared" si="26"/>
        <v>3.0315941433290305E-2</v>
      </c>
      <c r="H370" s="1838">
        <v>42036</v>
      </c>
      <c r="M370" s="1844">
        <f t="shared" si="27"/>
        <v>3.0315941433290305E-2</v>
      </c>
      <c r="N370" s="1823">
        <f t="shared" si="28"/>
        <v>0</v>
      </c>
      <c r="P370" s="1874"/>
      <c r="Q370" s="1875"/>
      <c r="R370" s="1876"/>
      <c r="S370" s="1877"/>
      <c r="T370" s="1877"/>
    </row>
    <row r="371" spans="2:20" x14ac:dyDescent="0.3">
      <c r="B371" s="1838">
        <v>42029</v>
      </c>
      <c r="C371" s="1837">
        <v>576.07000000000005</v>
      </c>
      <c r="D371" s="1840">
        <f t="shared" si="25"/>
        <v>-1.0834850097874105E-2</v>
      </c>
      <c r="F371" s="1839">
        <v>1994.99</v>
      </c>
      <c r="G371" s="1840">
        <f t="shared" si="26"/>
        <v>-2.7697361366981532E-2</v>
      </c>
      <c r="H371" s="1838">
        <v>42029</v>
      </c>
      <c r="M371" s="1844">
        <f t="shared" si="27"/>
        <v>-2.7697361366981532E-2</v>
      </c>
      <c r="N371" s="1823">
        <f t="shared" si="28"/>
        <v>0</v>
      </c>
      <c r="P371" s="1874"/>
      <c r="Q371" s="1875"/>
      <c r="R371" s="1876"/>
      <c r="S371" s="1877"/>
      <c r="T371" s="1877"/>
    </row>
    <row r="372" spans="2:20" x14ac:dyDescent="0.3">
      <c r="B372" s="1838">
        <v>42022</v>
      </c>
      <c r="C372" s="1837">
        <v>582.38</v>
      </c>
      <c r="D372" s="1840">
        <f t="shared" si="25"/>
        <v>1.3169569074998888E-2</v>
      </c>
      <c r="F372" s="1839">
        <v>2051.8200000000002</v>
      </c>
      <c r="G372" s="1840">
        <f t="shared" si="26"/>
        <v>1.6044210713967333E-2</v>
      </c>
      <c r="H372" s="1838">
        <v>42022</v>
      </c>
      <c r="M372" s="1844">
        <f t="shared" si="27"/>
        <v>1.6044210713967333E-2</v>
      </c>
      <c r="N372" s="1823">
        <f t="shared" si="28"/>
        <v>0</v>
      </c>
      <c r="P372" s="1874"/>
      <c r="Q372" s="1875"/>
      <c r="R372" s="1876"/>
      <c r="S372" s="1877"/>
      <c r="T372" s="1877"/>
    </row>
    <row r="373" spans="2:20" x14ac:dyDescent="0.3">
      <c r="B373" s="1838">
        <v>42015</v>
      </c>
      <c r="C373" s="1837">
        <v>574.80999999999995</v>
      </c>
      <c r="D373" s="1840">
        <f t="shared" si="25"/>
        <v>8.9165043090586593E-3</v>
      </c>
      <c r="F373" s="1839">
        <v>2019.42</v>
      </c>
      <c r="G373" s="1840">
        <f t="shared" si="26"/>
        <v>-1.2416801561025204E-2</v>
      </c>
      <c r="H373" s="1838">
        <v>42015</v>
      </c>
      <c r="M373" s="1844">
        <f t="shared" si="27"/>
        <v>-1.2416801561025204E-2</v>
      </c>
      <c r="N373" s="1823">
        <f t="shared" si="28"/>
        <v>0</v>
      </c>
      <c r="P373" s="1874"/>
      <c r="Q373" s="1875"/>
      <c r="R373" s="1876"/>
      <c r="S373" s="1877"/>
      <c r="T373" s="1877"/>
    </row>
    <row r="374" spans="2:20" x14ac:dyDescent="0.3">
      <c r="B374" s="1838">
        <v>42008</v>
      </c>
      <c r="C374" s="1837">
        <v>569.73</v>
      </c>
      <c r="D374" s="1840">
        <f t="shared" si="25"/>
        <v>4.4169125597932624E-2</v>
      </c>
      <c r="F374" s="1839">
        <v>2044.81</v>
      </c>
      <c r="G374" s="1840">
        <f t="shared" si="26"/>
        <v>-6.5056845787581086E-3</v>
      </c>
      <c r="H374" s="1838">
        <v>42008</v>
      </c>
      <c r="M374" s="1844">
        <f t="shared" si="27"/>
        <v>-6.5056845787581086E-3</v>
      </c>
      <c r="N374" s="1823">
        <f t="shared" si="28"/>
        <v>0</v>
      </c>
      <c r="P374" s="1874"/>
      <c r="Q374" s="1875"/>
      <c r="R374" s="1876"/>
      <c r="S374" s="1877"/>
      <c r="T374" s="1877"/>
    </row>
    <row r="375" spans="2:20" x14ac:dyDescent="0.3">
      <c r="B375" s="1838">
        <v>42001</v>
      </c>
      <c r="C375" s="1837">
        <v>545.63</v>
      </c>
      <c r="D375" s="1840">
        <f t="shared" si="25"/>
        <v>2.2985919718019332E-2</v>
      </c>
      <c r="F375" s="1839">
        <v>2058.1999999999998</v>
      </c>
      <c r="G375" s="1840">
        <f t="shared" si="26"/>
        <v>-1.4635407440742765E-2</v>
      </c>
      <c r="H375" s="1838">
        <v>42001</v>
      </c>
      <c r="M375" s="1844">
        <f t="shared" si="27"/>
        <v>-1.4635407440742765E-2</v>
      </c>
      <c r="N375" s="1823">
        <f t="shared" si="28"/>
        <v>0</v>
      </c>
      <c r="P375" s="1874"/>
      <c r="Q375" s="1875"/>
      <c r="R375" s="1876"/>
      <c r="S375" s="1877"/>
      <c r="T375" s="1877"/>
    </row>
    <row r="376" spans="2:20" x14ac:dyDescent="0.3">
      <c r="B376" s="1838">
        <v>41994</v>
      </c>
      <c r="C376" s="1837">
        <v>533.37</v>
      </c>
      <c r="D376" s="1840">
        <f t="shared" si="25"/>
        <v>1.9652449865223964E-2</v>
      </c>
      <c r="F376" s="1839">
        <v>2088.77</v>
      </c>
      <c r="G376" s="1840">
        <f t="shared" si="26"/>
        <v>8.7508753290028718E-3</v>
      </c>
      <c r="H376" s="1838">
        <v>41994</v>
      </c>
      <c r="M376" s="1844">
        <f t="shared" si="27"/>
        <v>8.7508753290028718E-3</v>
      </c>
      <c r="N376" s="1823">
        <f t="shared" si="28"/>
        <v>0</v>
      </c>
      <c r="P376" s="1874"/>
      <c r="Q376" s="1875"/>
      <c r="R376" s="1876"/>
      <c r="S376" s="1877"/>
      <c r="T376" s="1877"/>
    </row>
    <row r="377" spans="2:20" x14ac:dyDescent="0.3">
      <c r="B377" s="1838">
        <v>41987</v>
      </c>
      <c r="C377" s="1837">
        <v>523.09</v>
      </c>
      <c r="D377" s="1840">
        <f t="shared" si="25"/>
        <v>-5.5674904771360834E-2</v>
      </c>
      <c r="F377" s="1839">
        <v>2070.65</v>
      </c>
      <c r="G377" s="1840">
        <f t="shared" si="26"/>
        <v>3.4120249908856204E-2</v>
      </c>
      <c r="H377" s="1838">
        <v>41987</v>
      </c>
      <c r="M377" s="1844">
        <f t="shared" si="27"/>
        <v>3.4120249908856204E-2</v>
      </c>
      <c r="N377" s="1823">
        <f t="shared" si="28"/>
        <v>0</v>
      </c>
      <c r="P377" s="1874"/>
      <c r="Q377" s="1875"/>
      <c r="R377" s="1876"/>
      <c r="S377" s="1877"/>
      <c r="T377" s="1877"/>
    </row>
    <row r="378" spans="2:20" x14ac:dyDescent="0.3">
      <c r="B378" s="1838">
        <v>41980</v>
      </c>
      <c r="C378" s="1837">
        <v>553.92999999999995</v>
      </c>
      <c r="D378" s="1840">
        <f t="shared" si="25"/>
        <v>-4.2902066486972257E-2</v>
      </c>
      <c r="F378" s="1839">
        <v>2002.33</v>
      </c>
      <c r="G378" s="1840">
        <f t="shared" si="26"/>
        <v>-3.5193724492500134E-2</v>
      </c>
      <c r="H378" s="1838">
        <v>41980</v>
      </c>
      <c r="M378" s="1844">
        <f t="shared" si="27"/>
        <v>-3.5193724492500134E-2</v>
      </c>
      <c r="N378" s="1823">
        <f t="shared" si="28"/>
        <v>0</v>
      </c>
      <c r="P378" s="1874"/>
      <c r="Q378" s="1875"/>
      <c r="R378" s="1876"/>
      <c r="S378" s="1877"/>
      <c r="T378" s="1877"/>
    </row>
    <row r="379" spans="2:20" x14ac:dyDescent="0.3">
      <c r="B379" s="1838">
        <v>41973</v>
      </c>
      <c r="C379" s="1837">
        <v>578.76</v>
      </c>
      <c r="D379" s="1840">
        <f t="shared" si="25"/>
        <v>2.1497405485544796E-2</v>
      </c>
      <c r="F379" s="1839">
        <v>2075.37</v>
      </c>
      <c r="G379" s="1840">
        <f t="shared" si="26"/>
        <v>3.7773994466907546E-3</v>
      </c>
      <c r="H379" s="1838">
        <v>41973</v>
      </c>
      <c r="M379" s="1844">
        <f t="shared" si="27"/>
        <v>3.7773994466907546E-3</v>
      </c>
      <c r="N379" s="1823">
        <f t="shared" si="28"/>
        <v>0</v>
      </c>
      <c r="P379" s="1874"/>
      <c r="Q379" s="1875"/>
      <c r="R379" s="1876"/>
      <c r="S379" s="1877"/>
      <c r="T379" s="1877"/>
    </row>
    <row r="380" spans="2:20" x14ac:dyDescent="0.3">
      <c r="B380" s="1838">
        <v>41966</v>
      </c>
      <c r="C380" s="1837">
        <v>566.58000000000004</v>
      </c>
      <c r="D380" s="1840">
        <f t="shared" si="25"/>
        <v>-3.647773072802396E-2</v>
      </c>
      <c r="F380" s="1839">
        <v>2067.56</v>
      </c>
      <c r="G380" s="1840">
        <f t="shared" si="26"/>
        <v>1.9675308941118352E-3</v>
      </c>
      <c r="H380" s="1838">
        <v>41966</v>
      </c>
      <c r="M380" s="1844">
        <f t="shared" si="27"/>
        <v>1.9675308941118352E-3</v>
      </c>
      <c r="N380" s="1823">
        <f t="shared" si="28"/>
        <v>0</v>
      </c>
      <c r="P380" s="1874"/>
      <c r="Q380" s="1875"/>
      <c r="R380" s="1876"/>
      <c r="S380" s="1877"/>
      <c r="T380" s="1877"/>
    </row>
    <row r="381" spans="2:20" x14ac:dyDescent="0.3">
      <c r="B381" s="1838">
        <v>41959</v>
      </c>
      <c r="C381" s="1837">
        <v>588.03</v>
      </c>
      <c r="D381" s="1840">
        <f t="shared" si="25"/>
        <v>-2.0537677393563936E-2</v>
      </c>
      <c r="F381" s="1839">
        <v>2063.5</v>
      </c>
      <c r="G381" s="1840">
        <f t="shared" si="26"/>
        <v>1.1608867449088622E-2</v>
      </c>
      <c r="H381" s="1838">
        <v>41959</v>
      </c>
      <c r="M381" s="1844">
        <f t="shared" si="27"/>
        <v>1.1608867449088622E-2</v>
      </c>
      <c r="N381" s="1823">
        <f t="shared" si="28"/>
        <v>0</v>
      </c>
      <c r="P381" s="1874"/>
      <c r="Q381" s="1875"/>
      <c r="R381" s="1876"/>
      <c r="S381" s="1877"/>
      <c r="T381" s="1877"/>
    </row>
    <row r="382" spans="2:20" x14ac:dyDescent="0.3">
      <c r="B382" s="1838">
        <v>41952</v>
      </c>
      <c r="C382" s="1837">
        <v>600.36</v>
      </c>
      <c r="D382" s="1840">
        <f t="shared" si="25"/>
        <v>-3.700692012811424E-3</v>
      </c>
      <c r="F382" s="1839">
        <v>2039.82</v>
      </c>
      <c r="G382" s="1840">
        <f t="shared" si="26"/>
        <v>3.8879483444229646E-3</v>
      </c>
      <c r="H382" s="1838">
        <v>41952</v>
      </c>
      <c r="M382" s="1844">
        <f t="shared" si="27"/>
        <v>3.8879483444229646E-3</v>
      </c>
      <c r="N382" s="1823">
        <f t="shared" si="28"/>
        <v>0</v>
      </c>
      <c r="P382" s="1874"/>
      <c r="Q382" s="1875"/>
      <c r="R382" s="1876"/>
      <c r="S382" s="1877"/>
      <c r="T382" s="1877"/>
    </row>
    <row r="383" spans="2:20" x14ac:dyDescent="0.3">
      <c r="B383" s="1838">
        <v>41945</v>
      </c>
      <c r="C383" s="1837">
        <v>602.59</v>
      </c>
      <c r="D383" s="1840">
        <f t="shared" si="25"/>
        <v>2.9125890420078626E-3</v>
      </c>
      <c r="F383" s="1839">
        <v>2031.92</v>
      </c>
      <c r="G383" s="1840">
        <f t="shared" si="26"/>
        <v>6.8729714328188418E-3</v>
      </c>
      <c r="H383" s="1838">
        <v>41945</v>
      </c>
      <c r="M383" s="1844">
        <f t="shared" si="27"/>
        <v>6.8729714328188418E-3</v>
      </c>
      <c r="N383" s="1823">
        <f t="shared" si="28"/>
        <v>0</v>
      </c>
      <c r="P383" s="1874"/>
      <c r="Q383" s="1875"/>
      <c r="R383" s="1876"/>
      <c r="S383" s="1877"/>
      <c r="T383" s="1877"/>
    </row>
    <row r="384" spans="2:20" x14ac:dyDescent="0.3">
      <c r="B384" s="1838">
        <v>41938</v>
      </c>
      <c r="C384" s="1837">
        <v>600.84</v>
      </c>
      <c r="D384" s="1840">
        <f t="shared" si="25"/>
        <v>1.5773190647664581E-2</v>
      </c>
      <c r="F384" s="1839">
        <v>2018.05</v>
      </c>
      <c r="G384" s="1840">
        <f t="shared" si="26"/>
        <v>2.7217013305642856E-2</v>
      </c>
      <c r="H384" s="1838">
        <v>41938</v>
      </c>
      <c r="M384" s="1844">
        <f t="shared" si="27"/>
        <v>2.7217013305642856E-2</v>
      </c>
      <c r="N384" s="1823">
        <f t="shared" si="28"/>
        <v>0</v>
      </c>
      <c r="P384" s="1874"/>
      <c r="Q384" s="1875"/>
      <c r="R384" s="1876"/>
      <c r="S384" s="1877"/>
      <c r="T384" s="1877"/>
    </row>
    <row r="385" spans="2:20" x14ac:dyDescent="0.3">
      <c r="B385" s="1838">
        <v>41931</v>
      </c>
      <c r="C385" s="1837">
        <v>591.51</v>
      </c>
      <c r="D385" s="1840">
        <f t="shared" si="25"/>
        <v>1.0644477856752266E-2</v>
      </c>
      <c r="F385" s="1839">
        <v>1964.58</v>
      </c>
      <c r="G385" s="1840">
        <f t="shared" si="26"/>
        <v>4.1245309419321918E-2</v>
      </c>
      <c r="H385" s="1838">
        <v>41931</v>
      </c>
      <c r="M385" s="1844">
        <f t="shared" si="27"/>
        <v>4.1245309419321918E-2</v>
      </c>
      <c r="N385" s="1823">
        <f t="shared" si="28"/>
        <v>0</v>
      </c>
      <c r="P385" s="1874"/>
      <c r="Q385" s="1875"/>
      <c r="R385" s="1876"/>
      <c r="S385" s="1877"/>
      <c r="T385" s="1877"/>
    </row>
    <row r="386" spans="2:20" x14ac:dyDescent="0.3">
      <c r="B386" s="1838">
        <v>41924</v>
      </c>
      <c r="C386" s="1837">
        <v>585.28</v>
      </c>
      <c r="D386" s="1840">
        <f t="shared" si="25"/>
        <v>-5.2515702907466211E-2</v>
      </c>
      <c r="F386" s="1839">
        <v>1886.76</v>
      </c>
      <c r="G386" s="1840">
        <f t="shared" si="26"/>
        <v>-1.0161951178566109E-2</v>
      </c>
      <c r="H386" s="1838">
        <v>41924</v>
      </c>
      <c r="M386" s="1844">
        <f t="shared" si="27"/>
        <v>-1.0161951178566109E-2</v>
      </c>
      <c r="N386" s="1823">
        <f t="shared" si="28"/>
        <v>0</v>
      </c>
      <c r="P386" s="1874"/>
      <c r="Q386" s="1875"/>
      <c r="R386" s="1876"/>
      <c r="S386" s="1877"/>
      <c r="T386" s="1877"/>
    </row>
    <row r="387" spans="2:20" x14ac:dyDescent="0.3">
      <c r="B387" s="1838">
        <v>41917</v>
      </c>
      <c r="C387" s="1837">
        <v>617.72</v>
      </c>
      <c r="D387" s="1840">
        <f t="shared" si="25"/>
        <v>1.0089117815387239E-2</v>
      </c>
      <c r="F387" s="1839">
        <v>1906.13</v>
      </c>
      <c r="G387" s="1840">
        <f t="shared" si="26"/>
        <v>-3.1388790080796758E-2</v>
      </c>
      <c r="H387" s="1838">
        <v>41917</v>
      </c>
      <c r="M387" s="1844">
        <f t="shared" si="27"/>
        <v>-3.1388790080796758E-2</v>
      </c>
      <c r="N387" s="1823">
        <f t="shared" si="28"/>
        <v>0</v>
      </c>
      <c r="P387" s="1874"/>
      <c r="Q387" s="1875"/>
      <c r="R387" s="1876"/>
      <c r="S387" s="1877"/>
      <c r="T387" s="1877"/>
    </row>
    <row r="388" spans="2:20" x14ac:dyDescent="0.3">
      <c r="B388" s="1838">
        <v>41910</v>
      </c>
      <c r="C388" s="1837">
        <v>611.54999999999995</v>
      </c>
      <c r="D388" s="1840">
        <f t="shared" si="25"/>
        <v>1.0859863135971315E-2</v>
      </c>
      <c r="F388" s="1839">
        <v>1967.9</v>
      </c>
      <c r="G388" s="1840">
        <f t="shared" si="26"/>
        <v>-7.539652520362039E-3</v>
      </c>
      <c r="H388" s="1838">
        <v>41910</v>
      </c>
      <c r="M388" s="1844">
        <f t="shared" si="27"/>
        <v>-7.539652520362039E-3</v>
      </c>
      <c r="N388" s="1823">
        <f t="shared" si="28"/>
        <v>0</v>
      </c>
      <c r="P388" s="1874"/>
      <c r="Q388" s="1875"/>
      <c r="R388" s="1876"/>
      <c r="S388" s="1877"/>
      <c r="T388" s="1877"/>
    </row>
    <row r="389" spans="2:20" x14ac:dyDescent="0.3">
      <c r="B389" s="1838">
        <v>41903</v>
      </c>
      <c r="C389" s="1837">
        <v>604.98</v>
      </c>
      <c r="D389" s="1840">
        <f t="shared" si="25"/>
        <v>-1.3549870371276196E-2</v>
      </c>
      <c r="F389" s="1839">
        <v>1982.85</v>
      </c>
      <c r="G389" s="1840">
        <f t="shared" si="26"/>
        <v>-1.3703740549144583E-2</v>
      </c>
      <c r="H389" s="1838">
        <v>41903</v>
      </c>
      <c r="M389" s="1844">
        <f t="shared" si="27"/>
        <v>-1.3703740549144583E-2</v>
      </c>
      <c r="N389" s="1823">
        <f t="shared" si="28"/>
        <v>0</v>
      </c>
      <c r="P389" s="1874"/>
      <c r="Q389" s="1875"/>
      <c r="R389" s="1876"/>
      <c r="S389" s="1877"/>
      <c r="T389" s="1877"/>
    </row>
    <row r="390" spans="2:20" x14ac:dyDescent="0.3">
      <c r="B390" s="1838">
        <v>41896</v>
      </c>
      <c r="C390" s="1837">
        <v>613.29</v>
      </c>
      <c r="D390" s="1840">
        <f t="shared" si="25"/>
        <v>-3.0371541501976296E-2</v>
      </c>
      <c r="F390" s="1839">
        <v>2010.4</v>
      </c>
      <c r="G390" s="1840">
        <f t="shared" si="26"/>
        <v>1.252052338406684E-2</v>
      </c>
      <c r="H390" s="1838">
        <v>41896</v>
      </c>
      <c r="M390" s="1844">
        <f t="shared" si="27"/>
        <v>1.252052338406684E-2</v>
      </c>
      <c r="N390" s="1823">
        <f t="shared" si="28"/>
        <v>0</v>
      </c>
      <c r="P390" s="1874"/>
      <c r="Q390" s="1875"/>
      <c r="R390" s="1876"/>
      <c r="S390" s="1877"/>
      <c r="T390" s="1877"/>
    </row>
    <row r="391" spans="2:20" x14ac:dyDescent="0.3">
      <c r="B391" s="1838">
        <v>41889</v>
      </c>
      <c r="C391" s="1837">
        <v>632.5</v>
      </c>
      <c r="D391" s="1840">
        <f t="shared" ref="D391:D454" si="29">C391/C392-1</f>
        <v>-9.6296876223282979E-3</v>
      </c>
      <c r="F391" s="1839">
        <v>1985.54</v>
      </c>
      <c r="G391" s="1840">
        <f t="shared" ref="G391:G454" si="30">F391/F392-1</f>
        <v>-1.1042431426849575E-2</v>
      </c>
      <c r="H391" s="1838">
        <v>41889</v>
      </c>
      <c r="M391" s="1844">
        <f t="shared" ref="M391:M454" si="31">F391/F392-1</f>
        <v>-1.1042431426849575E-2</v>
      </c>
      <c r="N391" s="1823">
        <f t="shared" ref="N391:N454" si="32">H391-B391</f>
        <v>0</v>
      </c>
      <c r="P391" s="1874"/>
      <c r="Q391" s="1875"/>
      <c r="R391" s="1876"/>
      <c r="S391" s="1877"/>
      <c r="T391" s="1877"/>
    </row>
    <row r="392" spans="2:20" x14ac:dyDescent="0.3">
      <c r="B392" s="1838">
        <v>41882</v>
      </c>
      <c r="C392" s="1837">
        <v>638.65</v>
      </c>
      <c r="D392" s="1840">
        <f t="shared" si="29"/>
        <v>3.1414434932852675E-3</v>
      </c>
      <c r="F392" s="1839">
        <v>2007.71</v>
      </c>
      <c r="G392" s="1840">
        <f t="shared" si="30"/>
        <v>2.1663497007542443E-3</v>
      </c>
      <c r="H392" s="1838">
        <v>41882</v>
      </c>
      <c r="M392" s="1844">
        <f t="shared" si="31"/>
        <v>2.1663497007542443E-3</v>
      </c>
      <c r="N392" s="1823">
        <f t="shared" si="32"/>
        <v>0</v>
      </c>
      <c r="P392" s="1874"/>
      <c r="Q392" s="1875"/>
      <c r="R392" s="1876"/>
      <c r="S392" s="1877"/>
      <c r="T392" s="1877"/>
    </row>
    <row r="393" spans="2:20" x14ac:dyDescent="0.3">
      <c r="B393" s="1838">
        <v>41875</v>
      </c>
      <c r="C393" s="1837">
        <v>636.65</v>
      </c>
      <c r="D393" s="1840">
        <f t="shared" si="29"/>
        <v>2.6623020608249837E-2</v>
      </c>
      <c r="F393" s="1839">
        <v>2003.37</v>
      </c>
      <c r="G393" s="1840">
        <f t="shared" si="30"/>
        <v>7.5286662643330171E-3</v>
      </c>
      <c r="H393" s="1838">
        <v>41875</v>
      </c>
      <c r="M393" s="1844">
        <f t="shared" si="31"/>
        <v>7.5286662643330171E-3</v>
      </c>
      <c r="N393" s="1823">
        <f t="shared" si="32"/>
        <v>0</v>
      </c>
      <c r="P393" s="1874"/>
      <c r="Q393" s="1875"/>
      <c r="R393" s="1876"/>
      <c r="S393" s="1877"/>
      <c r="T393" s="1877"/>
    </row>
    <row r="394" spans="2:20" x14ac:dyDescent="0.3">
      <c r="B394" s="1838">
        <v>41868</v>
      </c>
      <c r="C394" s="1837">
        <v>620.14</v>
      </c>
      <c r="D394" s="1840">
        <f t="shared" si="29"/>
        <v>2.6314047398384721E-2</v>
      </c>
      <c r="F394" s="1839">
        <v>1988.4</v>
      </c>
      <c r="G394" s="1840">
        <f t="shared" si="30"/>
        <v>1.7053185068488963E-2</v>
      </c>
      <c r="H394" s="1838">
        <v>41868</v>
      </c>
      <c r="M394" s="1844">
        <f t="shared" si="31"/>
        <v>1.7053185068488963E-2</v>
      </c>
      <c r="N394" s="1823">
        <f t="shared" si="32"/>
        <v>0</v>
      </c>
      <c r="P394" s="1874"/>
      <c r="Q394" s="1875"/>
      <c r="R394" s="1876"/>
      <c r="S394" s="1877"/>
      <c r="T394" s="1877"/>
    </row>
    <row r="395" spans="2:20" x14ac:dyDescent="0.3">
      <c r="B395" s="1838">
        <v>41861</v>
      </c>
      <c r="C395" s="1837">
        <v>604.24</v>
      </c>
      <c r="D395" s="1840">
        <f t="shared" si="29"/>
        <v>-1.9655451497282428E-3</v>
      </c>
      <c r="F395" s="1839">
        <v>1955.06</v>
      </c>
      <c r="G395" s="1840">
        <f t="shared" si="30"/>
        <v>1.2150611672249401E-2</v>
      </c>
      <c r="H395" s="1838">
        <v>41861</v>
      </c>
      <c r="M395" s="1844">
        <f t="shared" si="31"/>
        <v>1.2150611672249401E-2</v>
      </c>
      <c r="N395" s="1823">
        <f t="shared" si="32"/>
        <v>0</v>
      </c>
      <c r="P395" s="1874"/>
      <c r="Q395" s="1875"/>
      <c r="R395" s="1876"/>
      <c r="S395" s="1877"/>
      <c r="T395" s="1877"/>
    </row>
    <row r="396" spans="2:20" x14ac:dyDescent="0.3">
      <c r="B396" s="1838">
        <v>41854</v>
      </c>
      <c r="C396" s="1837">
        <v>605.42999999999995</v>
      </c>
      <c r="D396" s="1840">
        <f t="shared" si="29"/>
        <v>1.9414042768142847E-2</v>
      </c>
      <c r="F396" s="1839">
        <v>1931.59</v>
      </c>
      <c r="G396" s="1840">
        <f t="shared" si="30"/>
        <v>3.3451938809963E-3</v>
      </c>
      <c r="H396" s="1838">
        <v>41854</v>
      </c>
      <c r="M396" s="1844">
        <f t="shared" si="31"/>
        <v>3.3451938809963E-3</v>
      </c>
      <c r="N396" s="1823">
        <f t="shared" si="32"/>
        <v>0</v>
      </c>
      <c r="P396" s="1874"/>
      <c r="Q396" s="1875"/>
      <c r="R396" s="1876"/>
      <c r="S396" s="1877"/>
      <c r="T396" s="1877"/>
    </row>
    <row r="397" spans="2:20" x14ac:dyDescent="0.3">
      <c r="B397" s="1838">
        <v>41847</v>
      </c>
      <c r="C397" s="1837">
        <v>593.9</v>
      </c>
      <c r="D397" s="1840">
        <f t="shared" si="29"/>
        <v>-1.0397573899423529E-2</v>
      </c>
      <c r="F397" s="1839">
        <v>1925.15</v>
      </c>
      <c r="G397" s="1840">
        <f t="shared" si="30"/>
        <v>-2.688617730016063E-2</v>
      </c>
      <c r="H397" s="1838">
        <v>41847</v>
      </c>
      <c r="M397" s="1844">
        <f t="shared" si="31"/>
        <v>-2.688617730016063E-2</v>
      </c>
      <c r="N397" s="1823">
        <f t="shared" si="32"/>
        <v>0</v>
      </c>
      <c r="P397" s="1874"/>
      <c r="Q397" s="1875"/>
      <c r="R397" s="1876"/>
      <c r="S397" s="1877"/>
      <c r="T397" s="1877"/>
    </row>
    <row r="398" spans="2:20" x14ac:dyDescent="0.3">
      <c r="B398" s="1838">
        <v>41840</v>
      </c>
      <c r="C398" s="1837">
        <v>600.14</v>
      </c>
      <c r="D398" s="1840">
        <f t="shared" si="29"/>
        <v>6.507228390299602E-3</v>
      </c>
      <c r="F398" s="1839">
        <v>1978.34</v>
      </c>
      <c r="G398" s="1840">
        <f t="shared" si="30"/>
        <v>6.0660593867112311E-5</v>
      </c>
      <c r="H398" s="1838">
        <v>41840</v>
      </c>
      <c r="M398" s="1844">
        <f t="shared" si="31"/>
        <v>6.0660593867112311E-5</v>
      </c>
      <c r="N398" s="1823">
        <f t="shared" si="32"/>
        <v>0</v>
      </c>
      <c r="P398" s="1874"/>
      <c r="Q398" s="1875"/>
      <c r="R398" s="1876"/>
      <c r="S398" s="1877"/>
      <c r="T398" s="1877"/>
    </row>
    <row r="399" spans="2:20" x14ac:dyDescent="0.3">
      <c r="B399" s="1838">
        <v>41833</v>
      </c>
      <c r="C399" s="1837">
        <v>596.26</v>
      </c>
      <c r="D399" s="1840">
        <f t="shared" si="29"/>
        <v>2.3148068706350777E-2</v>
      </c>
      <c r="F399" s="1839">
        <v>1978.22</v>
      </c>
      <c r="G399" s="1840">
        <f t="shared" si="30"/>
        <v>5.4127680336659711E-3</v>
      </c>
      <c r="H399" s="1838">
        <v>41833</v>
      </c>
      <c r="M399" s="1844">
        <f t="shared" si="31"/>
        <v>5.4127680336659711E-3</v>
      </c>
      <c r="N399" s="1823">
        <f t="shared" si="32"/>
        <v>0</v>
      </c>
      <c r="P399" s="1874"/>
      <c r="Q399" s="1875"/>
      <c r="R399" s="1876"/>
      <c r="S399" s="1877"/>
      <c r="T399" s="1877"/>
    </row>
    <row r="400" spans="2:20" x14ac:dyDescent="0.3">
      <c r="B400" s="1838">
        <v>41826</v>
      </c>
      <c r="C400" s="1837">
        <v>582.77</v>
      </c>
      <c r="D400" s="1840">
        <f t="shared" si="29"/>
        <v>-1.1164842623229032E-2</v>
      </c>
      <c r="F400" s="1839">
        <v>1967.57</v>
      </c>
      <c r="G400" s="1840">
        <f t="shared" si="30"/>
        <v>-9.0005238133613608E-3</v>
      </c>
      <c r="H400" s="1838">
        <v>41826</v>
      </c>
      <c r="M400" s="1844">
        <f t="shared" si="31"/>
        <v>-9.0005238133613608E-3</v>
      </c>
      <c r="N400" s="1823">
        <f t="shared" si="32"/>
        <v>0</v>
      </c>
      <c r="P400" s="1874"/>
      <c r="Q400" s="1875"/>
      <c r="R400" s="1876"/>
      <c r="S400" s="1877"/>
      <c r="T400" s="1877"/>
    </row>
    <row r="401" spans="2:20" x14ac:dyDescent="0.3">
      <c r="B401" s="1838">
        <v>41819</v>
      </c>
      <c r="C401" s="1837">
        <v>589.35</v>
      </c>
      <c r="D401" s="1840">
        <f t="shared" si="29"/>
        <v>1.8192184098683395E-2</v>
      </c>
      <c r="F401" s="1839">
        <v>1985.44</v>
      </c>
      <c r="G401" s="1840">
        <f t="shared" si="30"/>
        <v>1.2483681462140961E-2</v>
      </c>
      <c r="H401" s="1838">
        <v>41819</v>
      </c>
      <c r="M401" s="1844">
        <f t="shared" si="31"/>
        <v>1.2483681462140961E-2</v>
      </c>
      <c r="N401" s="1823">
        <f t="shared" si="32"/>
        <v>0</v>
      </c>
      <c r="P401" s="1874"/>
      <c r="Q401" s="1875"/>
      <c r="R401" s="1876"/>
      <c r="S401" s="1877"/>
      <c r="T401" s="1877"/>
    </row>
    <row r="402" spans="2:20" x14ac:dyDescent="0.3">
      <c r="B402" s="1838">
        <v>41812</v>
      </c>
      <c r="C402" s="1837">
        <v>578.82000000000005</v>
      </c>
      <c r="D402" s="1840">
        <f t="shared" si="29"/>
        <v>3.2169478226755643E-2</v>
      </c>
      <c r="F402" s="1839">
        <v>1960.96</v>
      </c>
      <c r="G402" s="1840">
        <f t="shared" si="30"/>
        <v>-9.7306495081173061E-4</v>
      </c>
      <c r="H402" s="1838">
        <v>41812</v>
      </c>
      <c r="M402" s="1844">
        <f t="shared" si="31"/>
        <v>-9.7306495081173061E-4</v>
      </c>
      <c r="N402" s="1823">
        <f t="shared" si="32"/>
        <v>0</v>
      </c>
      <c r="P402" s="1874"/>
      <c r="Q402" s="1875"/>
      <c r="R402" s="1876"/>
      <c r="S402" s="1877"/>
      <c r="T402" s="1877"/>
    </row>
    <row r="403" spans="2:20" x14ac:dyDescent="0.3">
      <c r="B403" s="1838">
        <v>41805</v>
      </c>
      <c r="C403" s="1837">
        <v>560.78</v>
      </c>
      <c r="D403" s="1840">
        <f t="shared" si="29"/>
        <v>-2.384765353014906E-2</v>
      </c>
      <c r="F403" s="1839">
        <v>1962.87</v>
      </c>
      <c r="G403" s="1840">
        <f t="shared" si="30"/>
        <v>1.3795347491942778E-2</v>
      </c>
      <c r="H403" s="1838">
        <v>41805</v>
      </c>
      <c r="M403" s="1844">
        <f t="shared" si="31"/>
        <v>1.3795347491942778E-2</v>
      </c>
      <c r="N403" s="1823">
        <f t="shared" si="32"/>
        <v>0</v>
      </c>
      <c r="P403" s="1874"/>
      <c r="Q403" s="1875"/>
      <c r="R403" s="1876"/>
      <c r="S403" s="1877"/>
      <c r="T403" s="1877"/>
    </row>
    <row r="404" spans="2:20" x14ac:dyDescent="0.3">
      <c r="B404" s="1838">
        <v>41798</v>
      </c>
      <c r="C404" s="1837">
        <v>574.48</v>
      </c>
      <c r="D404" s="1840">
        <f t="shared" si="29"/>
        <v>2.7618775042930865E-2</v>
      </c>
      <c r="F404" s="1839">
        <v>1936.16</v>
      </c>
      <c r="G404" s="1840">
        <f t="shared" si="30"/>
        <v>-6.8122127380170205E-3</v>
      </c>
      <c r="H404" s="1838">
        <v>41798</v>
      </c>
      <c r="M404" s="1844">
        <f t="shared" si="31"/>
        <v>-6.8122127380170205E-3</v>
      </c>
      <c r="N404" s="1823">
        <f t="shared" si="32"/>
        <v>0</v>
      </c>
      <c r="P404" s="1874"/>
      <c r="Q404" s="1875"/>
      <c r="R404" s="1876"/>
      <c r="S404" s="1877"/>
      <c r="T404" s="1877"/>
    </row>
    <row r="405" spans="2:20" x14ac:dyDescent="0.3">
      <c r="B405" s="1838">
        <v>41791</v>
      </c>
      <c r="C405" s="1837">
        <v>559.04</v>
      </c>
      <c r="D405" s="1840">
        <f t="shared" si="29"/>
        <v>-5.3023024091669591E-3</v>
      </c>
      <c r="F405" s="1839">
        <v>1949.44</v>
      </c>
      <c r="G405" s="1840">
        <f t="shared" si="30"/>
        <v>1.3448951688787014E-2</v>
      </c>
      <c r="H405" s="1838">
        <v>41791</v>
      </c>
      <c r="M405" s="1844">
        <f t="shared" si="31"/>
        <v>1.3448951688787014E-2</v>
      </c>
      <c r="N405" s="1823">
        <f t="shared" si="32"/>
        <v>0</v>
      </c>
      <c r="P405" s="1874"/>
      <c r="Q405" s="1875"/>
      <c r="R405" s="1876"/>
      <c r="S405" s="1877"/>
      <c r="T405" s="1877"/>
    </row>
    <row r="406" spans="2:20" x14ac:dyDescent="0.3">
      <c r="B406" s="1838">
        <v>41784</v>
      </c>
      <c r="C406" s="1837">
        <v>562.02</v>
      </c>
      <c r="D406" s="1840">
        <f t="shared" si="29"/>
        <v>3.7913904227224737E-2</v>
      </c>
      <c r="F406" s="1839">
        <v>1923.57</v>
      </c>
      <c r="G406" s="1840">
        <f t="shared" si="30"/>
        <v>1.2122934128900864E-2</v>
      </c>
      <c r="H406" s="1838">
        <v>41784</v>
      </c>
      <c r="M406" s="1844">
        <f t="shared" si="31"/>
        <v>1.2122934128900864E-2</v>
      </c>
      <c r="N406" s="1823">
        <f t="shared" si="32"/>
        <v>0</v>
      </c>
      <c r="P406" s="1874"/>
      <c r="Q406" s="1875"/>
      <c r="R406" s="1876"/>
      <c r="S406" s="1877"/>
      <c r="T406" s="1877"/>
    </row>
    <row r="407" spans="2:20" x14ac:dyDescent="0.3">
      <c r="B407" s="1838">
        <v>41777</v>
      </c>
      <c r="C407" s="1837">
        <v>541.49</v>
      </c>
      <c r="D407" s="1840">
        <f t="shared" si="29"/>
        <v>2.2663317531964822E-2</v>
      </c>
      <c r="F407" s="1839">
        <v>1900.53</v>
      </c>
      <c r="G407" s="1840">
        <f t="shared" si="30"/>
        <v>1.2072252457584698E-2</v>
      </c>
      <c r="H407" s="1838">
        <v>41777</v>
      </c>
      <c r="M407" s="1844">
        <f t="shared" si="31"/>
        <v>1.2072252457584698E-2</v>
      </c>
      <c r="N407" s="1823">
        <f t="shared" si="32"/>
        <v>0</v>
      </c>
      <c r="P407" s="1874"/>
      <c r="Q407" s="1875"/>
      <c r="R407" s="1876"/>
      <c r="S407" s="1877"/>
      <c r="T407" s="1877"/>
    </row>
    <row r="408" spans="2:20" x14ac:dyDescent="0.3">
      <c r="B408" s="1838">
        <v>41770</v>
      </c>
      <c r="C408" s="1837">
        <v>529.49</v>
      </c>
      <c r="D408" s="1840">
        <f t="shared" si="29"/>
        <v>-2.3909597020978501E-2</v>
      </c>
      <c r="F408" s="1839">
        <v>1877.86</v>
      </c>
      <c r="G408" s="1840">
        <f t="shared" si="30"/>
        <v>-3.3005408628261623E-4</v>
      </c>
      <c r="H408" s="1838">
        <v>41770</v>
      </c>
      <c r="M408" s="1844">
        <f t="shared" si="31"/>
        <v>-3.3005408628261623E-4</v>
      </c>
      <c r="N408" s="1823">
        <f t="shared" si="32"/>
        <v>0</v>
      </c>
      <c r="P408" s="1874"/>
      <c r="Q408" s="1875"/>
      <c r="R408" s="1876"/>
      <c r="S408" s="1877"/>
      <c r="T408" s="1877"/>
    </row>
    <row r="409" spans="2:20" x14ac:dyDescent="0.3">
      <c r="B409" s="1838">
        <v>41763</v>
      </c>
      <c r="C409" s="1837">
        <v>542.46</v>
      </c>
      <c r="D409" s="1840">
        <f t="shared" si="29"/>
        <v>-6.1487889273356355E-2</v>
      </c>
      <c r="F409" s="1839">
        <v>1878.48</v>
      </c>
      <c r="G409" s="1840">
        <f t="shared" si="30"/>
        <v>-1.4140361695568204E-3</v>
      </c>
      <c r="H409" s="1838">
        <v>41763</v>
      </c>
      <c r="M409" s="1844">
        <f t="shared" si="31"/>
        <v>-1.4140361695568204E-3</v>
      </c>
      <c r="N409" s="1823">
        <f t="shared" si="32"/>
        <v>0</v>
      </c>
      <c r="P409" s="1874"/>
      <c r="Q409" s="1875"/>
      <c r="R409" s="1876"/>
      <c r="S409" s="1877"/>
      <c r="T409" s="1877"/>
    </row>
    <row r="410" spans="2:20" x14ac:dyDescent="0.3">
      <c r="B410" s="1838">
        <v>41756</v>
      </c>
      <c r="C410" s="1837">
        <v>578</v>
      </c>
      <c r="D410" s="1840">
        <f t="shared" si="29"/>
        <v>-1.5891660333032798E-3</v>
      </c>
      <c r="F410" s="1839">
        <v>1881.14</v>
      </c>
      <c r="G410" s="1840">
        <f t="shared" si="30"/>
        <v>9.5202318342815229E-3</v>
      </c>
      <c r="H410" s="1838">
        <v>41756</v>
      </c>
      <c r="M410" s="1844">
        <f t="shared" si="31"/>
        <v>9.5202318342815229E-3</v>
      </c>
      <c r="N410" s="1823">
        <f t="shared" si="32"/>
        <v>0</v>
      </c>
      <c r="P410" s="1874"/>
      <c r="Q410" s="1875"/>
      <c r="R410" s="1876"/>
      <c r="S410" s="1877"/>
      <c r="T410" s="1877"/>
    </row>
    <row r="411" spans="2:20" x14ac:dyDescent="0.3">
      <c r="B411" s="1838">
        <v>41749</v>
      </c>
      <c r="C411" s="1837">
        <v>578.91999999999996</v>
      </c>
      <c r="D411" s="1840">
        <f t="shared" si="29"/>
        <v>2.4039056834061379E-2</v>
      </c>
      <c r="F411" s="1839">
        <v>1863.4</v>
      </c>
      <c r="G411" s="1840">
        <f t="shared" si="30"/>
        <v>-7.7754242968597342E-4</v>
      </c>
      <c r="H411" s="1838">
        <v>41749</v>
      </c>
      <c r="M411" s="1844">
        <f t="shared" si="31"/>
        <v>-7.7754242968597342E-4</v>
      </c>
      <c r="N411" s="1823">
        <f t="shared" si="32"/>
        <v>0</v>
      </c>
      <c r="P411" s="1874"/>
      <c r="Q411" s="1875"/>
      <c r="R411" s="1876"/>
      <c r="S411" s="1877"/>
      <c r="T411" s="1877"/>
    </row>
    <row r="412" spans="2:20" x14ac:dyDescent="0.3">
      <c r="B412" s="1838">
        <v>41742</v>
      </c>
      <c r="C412" s="1837">
        <v>565.33000000000004</v>
      </c>
      <c r="D412" s="1840">
        <f t="shared" si="29"/>
        <v>-5.8677589623191362E-2</v>
      </c>
      <c r="F412" s="1839">
        <v>1864.85</v>
      </c>
      <c r="G412" s="1840">
        <f t="shared" si="30"/>
        <v>2.7075106433366747E-2</v>
      </c>
      <c r="H412" s="1838">
        <v>41742</v>
      </c>
      <c r="M412" s="1844">
        <f t="shared" si="31"/>
        <v>2.7075106433366747E-2</v>
      </c>
      <c r="N412" s="1823">
        <f t="shared" si="32"/>
        <v>0</v>
      </c>
      <c r="P412" s="1874"/>
      <c r="Q412" s="1875"/>
      <c r="R412" s="1876"/>
      <c r="S412" s="1877"/>
      <c r="T412" s="1877"/>
    </row>
    <row r="413" spans="2:20" x14ac:dyDescent="0.3">
      <c r="B413" s="1838">
        <v>41735</v>
      </c>
      <c r="C413" s="1837">
        <v>600.57000000000005</v>
      </c>
      <c r="D413" s="1840">
        <f t="shared" si="29"/>
        <v>1.2697288547147023E-2</v>
      </c>
      <c r="F413" s="1839">
        <v>1815.69</v>
      </c>
      <c r="G413" s="1840">
        <f t="shared" si="30"/>
        <v>-2.6486657480335962E-2</v>
      </c>
      <c r="H413" s="1838">
        <v>41735</v>
      </c>
      <c r="M413" s="1844">
        <f t="shared" si="31"/>
        <v>-2.6486657480335962E-2</v>
      </c>
      <c r="N413" s="1823">
        <f t="shared" si="32"/>
        <v>0</v>
      </c>
      <c r="P413" s="1874"/>
      <c r="Q413" s="1875"/>
      <c r="R413" s="1876"/>
      <c r="S413" s="1877"/>
      <c r="T413" s="1877"/>
    </row>
    <row r="414" spans="2:20" x14ac:dyDescent="0.3">
      <c r="B414" s="1838">
        <v>41728</v>
      </c>
      <c r="C414" s="1837">
        <v>593.04</v>
      </c>
      <c r="D414" s="1840">
        <f t="shared" si="29"/>
        <v>-2.1033502162244311E-3</v>
      </c>
      <c r="F414" s="1839">
        <v>1865.09</v>
      </c>
      <c r="G414" s="1840">
        <f t="shared" si="30"/>
        <v>4.0212745340812983E-3</v>
      </c>
      <c r="H414" s="1838">
        <v>41728</v>
      </c>
      <c r="M414" s="1844">
        <f t="shared" si="31"/>
        <v>4.0212745340812983E-3</v>
      </c>
      <c r="N414" s="1823">
        <f t="shared" si="32"/>
        <v>0</v>
      </c>
      <c r="P414" s="1874"/>
      <c r="Q414" s="1875"/>
      <c r="R414" s="1876"/>
      <c r="S414" s="1877"/>
      <c r="T414" s="1877"/>
    </row>
    <row r="415" spans="2:20" x14ac:dyDescent="0.3">
      <c r="B415" s="1838">
        <v>41721</v>
      </c>
      <c r="C415" s="1837">
        <v>594.29</v>
      </c>
      <c r="D415" s="1840">
        <f t="shared" si="29"/>
        <v>-1.2397174906522701E-2</v>
      </c>
      <c r="F415" s="1839">
        <v>1857.62</v>
      </c>
      <c r="G415" s="1840">
        <f t="shared" si="30"/>
        <v>-4.7682317896406978E-3</v>
      </c>
      <c r="H415" s="1838">
        <v>41721</v>
      </c>
      <c r="M415" s="1844">
        <f t="shared" si="31"/>
        <v>-4.7682317896406978E-3</v>
      </c>
      <c r="N415" s="1823">
        <f t="shared" si="32"/>
        <v>0</v>
      </c>
      <c r="P415" s="1874"/>
      <c r="Q415" s="1875"/>
      <c r="R415" s="1876"/>
      <c r="S415" s="1877"/>
      <c r="T415" s="1877"/>
    </row>
    <row r="416" spans="2:20" x14ac:dyDescent="0.3">
      <c r="B416" s="1838">
        <v>41714</v>
      </c>
      <c r="C416" s="1837">
        <v>601.75</v>
      </c>
      <c r="D416" s="1840">
        <f t="shared" si="29"/>
        <v>8.2435534406781752E-3</v>
      </c>
      <c r="F416" s="1839">
        <v>1866.52</v>
      </c>
      <c r="G416" s="1840">
        <f t="shared" si="30"/>
        <v>1.3790443912162553E-2</v>
      </c>
      <c r="H416" s="1838">
        <v>41714</v>
      </c>
      <c r="M416" s="1844">
        <f t="shared" si="31"/>
        <v>1.3790443912162553E-2</v>
      </c>
      <c r="N416" s="1823">
        <f t="shared" si="32"/>
        <v>0</v>
      </c>
      <c r="P416" s="1874"/>
      <c r="Q416" s="1875"/>
      <c r="R416" s="1876"/>
      <c r="S416" s="1877"/>
      <c r="T416" s="1877"/>
    </row>
    <row r="417" spans="2:20" x14ac:dyDescent="0.3">
      <c r="B417" s="1838">
        <v>41707</v>
      </c>
      <c r="C417" s="1837">
        <v>596.83000000000004</v>
      </c>
      <c r="D417" s="1840">
        <f t="shared" si="29"/>
        <v>2.9460974557999231E-2</v>
      </c>
      <c r="F417" s="1839">
        <v>1841.13</v>
      </c>
      <c r="G417" s="1840">
        <f t="shared" si="30"/>
        <v>-1.9653468509722827E-2</v>
      </c>
      <c r="H417" s="1838">
        <v>41707</v>
      </c>
      <c r="M417" s="1844">
        <f t="shared" si="31"/>
        <v>-1.9653468509722827E-2</v>
      </c>
      <c r="N417" s="1823">
        <f t="shared" si="32"/>
        <v>0</v>
      </c>
      <c r="P417" s="1874"/>
      <c r="Q417" s="1875"/>
      <c r="R417" s="1876"/>
      <c r="S417" s="1877"/>
      <c r="T417" s="1877"/>
    </row>
    <row r="418" spans="2:20" x14ac:dyDescent="0.3">
      <c r="B418" s="1838">
        <v>41700</v>
      </c>
      <c r="C418" s="1837">
        <v>579.75</v>
      </c>
      <c r="D418" s="1840">
        <f t="shared" si="29"/>
        <v>-1.1475242122493512E-2</v>
      </c>
      <c r="F418" s="1839">
        <v>1878.04</v>
      </c>
      <c r="G418" s="1840">
        <f t="shared" si="30"/>
        <v>9.997579929549083E-3</v>
      </c>
      <c r="H418" s="1838">
        <v>41700</v>
      </c>
      <c r="M418" s="1844">
        <f t="shared" si="31"/>
        <v>9.997579929549083E-3</v>
      </c>
      <c r="N418" s="1823">
        <f t="shared" si="32"/>
        <v>0</v>
      </c>
      <c r="P418" s="1874"/>
      <c r="Q418" s="1875"/>
      <c r="R418" s="1876"/>
      <c r="S418" s="1877"/>
      <c r="T418" s="1877"/>
    </row>
    <row r="419" spans="2:20" x14ac:dyDescent="0.3">
      <c r="B419" s="1838">
        <v>41693</v>
      </c>
      <c r="C419" s="1837">
        <v>586.48</v>
      </c>
      <c r="D419" s="1840">
        <f t="shared" si="29"/>
        <v>2.7884396305448922E-2</v>
      </c>
      <c r="F419" s="1839">
        <v>1859.45</v>
      </c>
      <c r="G419" s="1840">
        <f t="shared" si="30"/>
        <v>1.2634445200816913E-2</v>
      </c>
      <c r="H419" s="1838">
        <v>41693</v>
      </c>
      <c r="M419" s="1844">
        <f t="shared" si="31"/>
        <v>1.2634445200816913E-2</v>
      </c>
      <c r="N419" s="1823">
        <f t="shared" si="32"/>
        <v>0</v>
      </c>
      <c r="P419" s="1874"/>
      <c r="Q419" s="1875"/>
      <c r="R419" s="1876"/>
      <c r="S419" s="1877"/>
      <c r="T419" s="1877"/>
    </row>
    <row r="420" spans="2:20" x14ac:dyDescent="0.3">
      <c r="B420" s="1838">
        <v>41686</v>
      </c>
      <c r="C420" s="1837">
        <v>570.57000000000005</v>
      </c>
      <c r="D420" s="1840">
        <f t="shared" si="29"/>
        <v>-2.8835063437139263E-3</v>
      </c>
      <c r="F420" s="1839">
        <v>1836.25</v>
      </c>
      <c r="G420" s="1840">
        <f t="shared" si="30"/>
        <v>-1.2944420574014792E-3</v>
      </c>
      <c r="H420" s="1838">
        <v>41686</v>
      </c>
      <c r="M420" s="1844">
        <f t="shared" si="31"/>
        <v>-1.2944420574014792E-3</v>
      </c>
      <c r="N420" s="1823">
        <f t="shared" si="32"/>
        <v>0</v>
      </c>
      <c r="P420" s="1874"/>
      <c r="Q420" s="1875"/>
      <c r="R420" s="1876"/>
      <c r="S420" s="1877"/>
      <c r="T420" s="1877"/>
    </row>
    <row r="421" spans="2:20" x14ac:dyDescent="0.3">
      <c r="B421" s="1838">
        <v>41679</v>
      </c>
      <c r="C421" s="1837">
        <v>572.22</v>
      </c>
      <c r="D421" s="1840">
        <f t="shared" si="29"/>
        <v>4.0854190919674016E-2</v>
      </c>
      <c r="F421" s="1839">
        <v>1838.63</v>
      </c>
      <c r="G421" s="1840">
        <f t="shared" si="30"/>
        <v>2.3155001057306057E-2</v>
      </c>
      <c r="H421" s="1838">
        <v>41679</v>
      </c>
      <c r="M421" s="1844">
        <f t="shared" si="31"/>
        <v>2.3155001057306057E-2</v>
      </c>
      <c r="N421" s="1823">
        <f t="shared" si="32"/>
        <v>0</v>
      </c>
      <c r="P421" s="1874"/>
      <c r="Q421" s="1875"/>
      <c r="R421" s="1876"/>
      <c r="S421" s="1877"/>
      <c r="T421" s="1877"/>
    </row>
    <row r="422" spans="2:20" x14ac:dyDescent="0.3">
      <c r="B422" s="1838">
        <v>41672</v>
      </c>
      <c r="C422" s="1837">
        <v>549.76</v>
      </c>
      <c r="D422" s="1840">
        <f t="shared" si="29"/>
        <v>-1.2146912959102973E-2</v>
      </c>
      <c r="F422" s="1839">
        <v>1797.02</v>
      </c>
      <c r="G422" s="1840">
        <f t="shared" si="30"/>
        <v>8.0949629471724904E-3</v>
      </c>
      <c r="H422" s="1838">
        <v>41672</v>
      </c>
      <c r="M422" s="1844">
        <f t="shared" si="31"/>
        <v>8.0949629471724904E-3</v>
      </c>
      <c r="N422" s="1823">
        <f t="shared" si="32"/>
        <v>0</v>
      </c>
      <c r="P422" s="1874"/>
      <c r="Q422" s="1875"/>
      <c r="R422" s="1876"/>
      <c r="S422" s="1877"/>
      <c r="T422" s="1877"/>
    </row>
    <row r="423" spans="2:20" x14ac:dyDescent="0.3">
      <c r="B423" s="1838">
        <v>41665</v>
      </c>
      <c r="C423" s="1837">
        <v>556.52</v>
      </c>
      <c r="D423" s="1840">
        <f t="shared" si="29"/>
        <v>-6.5513486495654139E-3</v>
      </c>
      <c r="F423" s="1839">
        <v>1782.59</v>
      </c>
      <c r="G423" s="1840">
        <f t="shared" si="30"/>
        <v>-4.3009791709722744E-3</v>
      </c>
      <c r="H423" s="1838">
        <v>41665</v>
      </c>
      <c r="M423" s="1844">
        <f t="shared" si="31"/>
        <v>-4.3009791709722744E-3</v>
      </c>
      <c r="N423" s="1823">
        <f t="shared" si="32"/>
        <v>0</v>
      </c>
      <c r="P423" s="1874"/>
      <c r="Q423" s="1875"/>
      <c r="R423" s="1876"/>
      <c r="S423" s="1877"/>
      <c r="T423" s="1877"/>
    </row>
    <row r="424" spans="2:20" x14ac:dyDescent="0.3">
      <c r="B424" s="1838">
        <v>41658</v>
      </c>
      <c r="C424" s="1837">
        <v>560.19000000000005</v>
      </c>
      <c r="D424" s="1840">
        <f t="shared" si="29"/>
        <v>3.0537721444471089E-2</v>
      </c>
      <c r="F424" s="1839">
        <v>1790.29</v>
      </c>
      <c r="G424" s="1840">
        <f t="shared" si="30"/>
        <v>-2.6328384184478248E-2</v>
      </c>
      <c r="H424" s="1838">
        <v>41658</v>
      </c>
      <c r="M424" s="1844">
        <f t="shared" si="31"/>
        <v>-2.6328384184478248E-2</v>
      </c>
      <c r="N424" s="1823">
        <f t="shared" si="32"/>
        <v>0</v>
      </c>
      <c r="P424" s="1874"/>
      <c r="Q424" s="1875"/>
      <c r="R424" s="1876"/>
      <c r="S424" s="1877"/>
      <c r="T424" s="1877"/>
    </row>
    <row r="425" spans="2:20" x14ac:dyDescent="0.3">
      <c r="B425" s="1838">
        <v>41651</v>
      </c>
      <c r="C425" s="1837">
        <v>543.59</v>
      </c>
      <c r="D425" s="1840">
        <f t="shared" si="29"/>
        <v>4.7500674451766978E-2</v>
      </c>
      <c r="F425" s="1839">
        <v>1838.7</v>
      </c>
      <c r="G425" s="1840">
        <f t="shared" si="30"/>
        <v>-1.9919994355096504E-3</v>
      </c>
      <c r="H425" s="1838">
        <v>41651</v>
      </c>
      <c r="M425" s="1844">
        <f t="shared" si="31"/>
        <v>-1.9919994355096504E-3</v>
      </c>
      <c r="N425" s="1823">
        <f t="shared" si="32"/>
        <v>0</v>
      </c>
      <c r="P425" s="1874"/>
      <c r="Q425" s="1875"/>
      <c r="R425" s="1876"/>
      <c r="S425" s="1877"/>
      <c r="T425" s="1877"/>
    </row>
    <row r="426" spans="2:20" x14ac:dyDescent="0.3">
      <c r="B426" s="1838">
        <v>41644</v>
      </c>
      <c r="C426" s="1837">
        <v>518.94000000000005</v>
      </c>
      <c r="D426" s="1840">
        <f t="shared" si="29"/>
        <v>2.6851613669192975E-2</v>
      </c>
      <c r="F426" s="1839">
        <v>1842.37</v>
      </c>
      <c r="G426" s="1840">
        <f t="shared" si="30"/>
        <v>6.0064323430000233E-3</v>
      </c>
      <c r="H426" s="1838">
        <v>41644</v>
      </c>
      <c r="M426" s="1844">
        <f t="shared" si="31"/>
        <v>6.0064323430000233E-3</v>
      </c>
      <c r="N426" s="1823">
        <f t="shared" si="32"/>
        <v>0</v>
      </c>
      <c r="P426" s="1874"/>
      <c r="Q426" s="1875"/>
      <c r="R426" s="1876"/>
      <c r="S426" s="1877"/>
      <c r="T426" s="1877"/>
    </row>
    <row r="427" spans="2:20" x14ac:dyDescent="0.3">
      <c r="B427" s="1838">
        <v>41637</v>
      </c>
      <c r="C427" s="1837">
        <v>505.37</v>
      </c>
      <c r="D427" s="1840">
        <f t="shared" si="29"/>
        <v>-2.0536719259098835E-3</v>
      </c>
      <c r="F427" s="1839">
        <v>1831.37</v>
      </c>
      <c r="G427" s="1840">
        <f t="shared" si="30"/>
        <v>-5.446942543716804E-3</v>
      </c>
      <c r="H427" s="1838">
        <v>41637</v>
      </c>
      <c r="M427" s="1844">
        <f t="shared" si="31"/>
        <v>-5.446942543716804E-3</v>
      </c>
      <c r="N427" s="1823">
        <f t="shared" si="32"/>
        <v>0</v>
      </c>
      <c r="P427" s="1874"/>
      <c r="Q427" s="1875"/>
      <c r="R427" s="1876"/>
      <c r="S427" s="1877"/>
      <c r="T427" s="1877"/>
    </row>
    <row r="428" spans="2:20" x14ac:dyDescent="0.3">
      <c r="B428" s="1838">
        <v>41630</v>
      </c>
      <c r="C428" s="1837">
        <v>506.41</v>
      </c>
      <c r="D428" s="1840">
        <f t="shared" si="29"/>
        <v>3.885419764099618E-3</v>
      </c>
      <c r="F428" s="1839">
        <v>1841.4</v>
      </c>
      <c r="G428" s="1840">
        <f t="shared" si="30"/>
        <v>1.2693035329315094E-2</v>
      </c>
      <c r="H428" s="1838">
        <v>41630</v>
      </c>
      <c r="M428" s="1844">
        <f t="shared" si="31"/>
        <v>1.2693035329315094E-2</v>
      </c>
      <c r="N428" s="1823">
        <f t="shared" si="32"/>
        <v>0</v>
      </c>
      <c r="P428" s="1874"/>
      <c r="Q428" s="1875"/>
      <c r="R428" s="1876"/>
      <c r="S428" s="1877"/>
      <c r="T428" s="1877"/>
    </row>
    <row r="429" spans="2:20" x14ac:dyDescent="0.3">
      <c r="B429" s="1838">
        <v>41623</v>
      </c>
      <c r="C429" s="1837">
        <v>504.45</v>
      </c>
      <c r="D429" s="1840">
        <f t="shared" si="29"/>
        <v>-3.1814409358574824E-3</v>
      </c>
      <c r="F429" s="1839">
        <v>1818.32</v>
      </c>
      <c r="G429" s="1840">
        <f t="shared" si="30"/>
        <v>2.4220985512471094E-2</v>
      </c>
      <c r="H429" s="1838">
        <v>41623</v>
      </c>
      <c r="M429" s="1844">
        <f t="shared" si="31"/>
        <v>2.4220985512471094E-2</v>
      </c>
      <c r="N429" s="1823">
        <f t="shared" si="32"/>
        <v>0</v>
      </c>
      <c r="P429" s="1874"/>
      <c r="Q429" s="1875"/>
      <c r="R429" s="1876"/>
      <c r="S429" s="1877"/>
      <c r="T429" s="1877"/>
    </row>
    <row r="430" spans="2:20" x14ac:dyDescent="0.3">
      <c r="B430" s="1838">
        <v>41616</v>
      </c>
      <c r="C430" s="1837">
        <v>506.06</v>
      </c>
      <c r="D430" s="1840">
        <f t="shared" si="29"/>
        <v>-7.9589116286363781E-3</v>
      </c>
      <c r="F430" s="1839">
        <v>1775.32</v>
      </c>
      <c r="G430" s="1840">
        <f t="shared" si="30"/>
        <v>-1.6492252463866097E-2</v>
      </c>
      <c r="H430" s="1838">
        <v>41616</v>
      </c>
      <c r="M430" s="1844">
        <f t="shared" si="31"/>
        <v>-1.6492252463866097E-2</v>
      </c>
      <c r="N430" s="1823">
        <f t="shared" si="32"/>
        <v>0</v>
      </c>
      <c r="P430" s="1874"/>
      <c r="Q430" s="1875"/>
      <c r="R430" s="1876"/>
      <c r="S430" s="1877"/>
      <c r="T430" s="1877"/>
    </row>
    <row r="431" spans="2:20" x14ac:dyDescent="0.3">
      <c r="B431" s="1838">
        <v>41609</v>
      </c>
      <c r="C431" s="1837">
        <v>510.12</v>
      </c>
      <c r="D431" s="1840">
        <f t="shared" si="29"/>
        <v>4.6082949308756671E-3</v>
      </c>
      <c r="F431" s="1839">
        <v>1805.09</v>
      </c>
      <c r="G431" s="1840">
        <f t="shared" si="30"/>
        <v>-3.9871304290040044E-4</v>
      </c>
      <c r="H431" s="1838">
        <v>41609</v>
      </c>
      <c r="M431" s="1844">
        <f t="shared" si="31"/>
        <v>-3.9871304290040044E-4</v>
      </c>
      <c r="N431" s="1823">
        <f t="shared" si="32"/>
        <v>0</v>
      </c>
      <c r="P431" s="1874"/>
      <c r="Q431" s="1875"/>
      <c r="R431" s="1876"/>
      <c r="S431" s="1877"/>
      <c r="T431" s="1877"/>
    </row>
    <row r="432" spans="2:20" x14ac:dyDescent="0.3">
      <c r="B432" s="1838">
        <v>41602</v>
      </c>
      <c r="C432" s="1837">
        <v>507.78</v>
      </c>
      <c r="D432" s="1840">
        <f t="shared" si="29"/>
        <v>4.2322601060043041E-3</v>
      </c>
      <c r="F432" s="1839">
        <v>1805.81</v>
      </c>
      <c r="G432" s="1840">
        <f t="shared" si="30"/>
        <v>5.8179480928211014E-4</v>
      </c>
      <c r="H432" s="1838">
        <v>41602</v>
      </c>
      <c r="M432" s="1844">
        <f t="shared" si="31"/>
        <v>5.8179480928211014E-4</v>
      </c>
      <c r="N432" s="1823">
        <f t="shared" si="32"/>
        <v>0</v>
      </c>
      <c r="P432" s="1874"/>
      <c r="Q432" s="1875"/>
      <c r="R432" s="1876"/>
      <c r="S432" s="1877"/>
      <c r="T432" s="1877"/>
    </row>
    <row r="433" spans="2:20" x14ac:dyDescent="0.3">
      <c r="B433" s="1838">
        <v>41595</v>
      </c>
      <c r="C433" s="1837">
        <v>505.64</v>
      </c>
      <c r="D433" s="1840">
        <f t="shared" si="29"/>
        <v>8.5770136035425715E-3</v>
      </c>
      <c r="F433" s="1839">
        <v>1804.76</v>
      </c>
      <c r="G433" s="1840">
        <f t="shared" si="30"/>
        <v>3.6592554694190316E-3</v>
      </c>
      <c r="H433" s="1838">
        <v>41595</v>
      </c>
      <c r="M433" s="1844">
        <f t="shared" si="31"/>
        <v>3.6592554694190316E-3</v>
      </c>
      <c r="N433" s="1823">
        <f t="shared" si="32"/>
        <v>0</v>
      </c>
      <c r="P433" s="1874"/>
      <c r="Q433" s="1875"/>
      <c r="R433" s="1876"/>
      <c r="S433" s="1877"/>
      <c r="T433" s="1877"/>
    </row>
    <row r="434" spans="2:20" x14ac:dyDescent="0.3">
      <c r="B434" s="1838">
        <v>41588</v>
      </c>
      <c r="C434" s="1837">
        <v>501.34</v>
      </c>
      <c r="D434" s="1840">
        <f t="shared" si="29"/>
        <v>5.4752211146988916E-3</v>
      </c>
      <c r="F434" s="1839">
        <v>1798.18</v>
      </c>
      <c r="G434" s="1840">
        <f t="shared" si="30"/>
        <v>1.5570904942364683E-2</v>
      </c>
      <c r="H434" s="1838">
        <v>41588</v>
      </c>
      <c r="M434" s="1844">
        <f t="shared" si="31"/>
        <v>1.5570904942364683E-2</v>
      </c>
      <c r="N434" s="1823">
        <f t="shared" si="32"/>
        <v>0</v>
      </c>
      <c r="P434" s="1874"/>
      <c r="Q434" s="1875"/>
      <c r="R434" s="1876"/>
      <c r="S434" s="1877"/>
      <c r="T434" s="1877"/>
    </row>
    <row r="435" spans="2:20" x14ac:dyDescent="0.3">
      <c r="B435" s="1838">
        <v>41581</v>
      </c>
      <c r="C435" s="1837">
        <v>498.61</v>
      </c>
      <c r="D435" s="1840">
        <f t="shared" si="29"/>
        <v>3.0779753761971396E-3</v>
      </c>
      <c r="F435" s="1839">
        <v>1770.61</v>
      </c>
      <c r="G435" s="1840">
        <f t="shared" si="30"/>
        <v>5.0918462341906778E-3</v>
      </c>
      <c r="H435" s="1838">
        <v>41581</v>
      </c>
      <c r="M435" s="1844">
        <f t="shared" si="31"/>
        <v>5.0918462341906778E-3</v>
      </c>
      <c r="N435" s="1823">
        <f t="shared" si="32"/>
        <v>0</v>
      </c>
      <c r="P435" s="1874"/>
      <c r="Q435" s="1875"/>
      <c r="R435" s="1876"/>
      <c r="S435" s="1877"/>
      <c r="T435" s="1877"/>
    </row>
    <row r="436" spans="2:20" x14ac:dyDescent="0.3">
      <c r="B436" s="1838">
        <v>41574</v>
      </c>
      <c r="C436" s="1837">
        <v>497.08</v>
      </c>
      <c r="D436" s="1840">
        <f t="shared" si="29"/>
        <v>-7.329006490264689E-3</v>
      </c>
      <c r="F436" s="1839">
        <v>1761.64</v>
      </c>
      <c r="G436" s="1840">
        <f t="shared" si="30"/>
        <v>1.0626388675794018E-3</v>
      </c>
      <c r="H436" s="1838">
        <v>41574</v>
      </c>
      <c r="M436" s="1844">
        <f t="shared" si="31"/>
        <v>1.0626388675794018E-3</v>
      </c>
      <c r="N436" s="1823">
        <f t="shared" si="32"/>
        <v>0</v>
      </c>
      <c r="P436" s="1874"/>
      <c r="Q436" s="1875"/>
      <c r="R436" s="1876"/>
      <c r="S436" s="1877"/>
      <c r="T436" s="1877"/>
    </row>
    <row r="437" spans="2:20" x14ac:dyDescent="0.3">
      <c r="B437" s="1838">
        <v>41567</v>
      </c>
      <c r="C437" s="1837">
        <v>500.75</v>
      </c>
      <c r="D437" s="1840">
        <f t="shared" si="29"/>
        <v>-1.5973484016529316E-4</v>
      </c>
      <c r="F437" s="1839">
        <v>1759.77</v>
      </c>
      <c r="G437" s="1840">
        <f t="shared" si="30"/>
        <v>8.7532244196044662E-3</v>
      </c>
      <c r="H437" s="1838">
        <v>41567</v>
      </c>
      <c r="M437" s="1844">
        <f t="shared" si="31"/>
        <v>8.7532244196044662E-3</v>
      </c>
      <c r="N437" s="1823">
        <f t="shared" si="32"/>
        <v>0</v>
      </c>
      <c r="P437" s="1874"/>
      <c r="Q437" s="1875"/>
      <c r="R437" s="1876"/>
      <c r="S437" s="1877"/>
      <c r="T437" s="1877"/>
    </row>
    <row r="438" spans="2:20" x14ac:dyDescent="0.3">
      <c r="B438" s="1838">
        <v>41560</v>
      </c>
      <c r="C438" s="1837">
        <v>500.83</v>
      </c>
      <c r="D438" s="1840">
        <f t="shared" si="29"/>
        <v>1.2739368693506892E-2</v>
      </c>
      <c r="F438" s="1839">
        <v>1744.5</v>
      </c>
      <c r="G438" s="1840">
        <f t="shared" si="30"/>
        <v>2.4248473461718989E-2</v>
      </c>
      <c r="H438" s="1838">
        <v>41560</v>
      </c>
      <c r="M438" s="1844">
        <f t="shared" si="31"/>
        <v>2.4248473461718989E-2</v>
      </c>
      <c r="N438" s="1823">
        <f t="shared" si="32"/>
        <v>0</v>
      </c>
      <c r="P438" s="1874"/>
      <c r="Q438" s="1875"/>
      <c r="R438" s="1876"/>
      <c r="S438" s="1877"/>
      <c r="T438" s="1877"/>
    </row>
    <row r="439" spans="2:20" x14ac:dyDescent="0.3">
      <c r="B439" s="1838">
        <v>41553</v>
      </c>
      <c r="C439" s="1837">
        <v>494.53</v>
      </c>
      <c r="D439" s="1840">
        <f t="shared" si="29"/>
        <v>-5.9698492462312291E-3</v>
      </c>
      <c r="F439" s="1839">
        <v>1703.2</v>
      </c>
      <c r="G439" s="1840">
        <f t="shared" si="30"/>
        <v>7.5125702454894583E-3</v>
      </c>
      <c r="H439" s="1838">
        <v>41553</v>
      </c>
      <c r="M439" s="1844">
        <f t="shared" si="31"/>
        <v>7.5125702454894583E-3</v>
      </c>
      <c r="N439" s="1823">
        <f t="shared" si="32"/>
        <v>0</v>
      </c>
      <c r="P439" s="1874"/>
      <c r="Q439" s="1875"/>
      <c r="R439" s="1876"/>
      <c r="S439" s="1877"/>
      <c r="T439" s="1877"/>
    </row>
    <row r="440" spans="2:20" x14ac:dyDescent="0.3">
      <c r="B440" s="1838">
        <v>41546</v>
      </c>
      <c r="C440" s="1837">
        <v>497.5</v>
      </c>
      <c r="D440" s="1840">
        <f t="shared" si="29"/>
        <v>2.2379318139783333E-2</v>
      </c>
      <c r="F440" s="1839">
        <v>1690.5</v>
      </c>
      <c r="G440" s="1840">
        <f t="shared" si="30"/>
        <v>-7.388798581350331E-4</v>
      </c>
      <c r="H440" s="1838">
        <v>41546</v>
      </c>
      <c r="M440" s="1844">
        <f t="shared" si="31"/>
        <v>-7.388798581350331E-4</v>
      </c>
      <c r="N440" s="1823">
        <f t="shared" si="32"/>
        <v>0</v>
      </c>
      <c r="P440" s="1874"/>
      <c r="Q440" s="1875"/>
      <c r="R440" s="1876"/>
      <c r="S440" s="1877"/>
      <c r="T440" s="1877"/>
    </row>
    <row r="441" spans="2:20" x14ac:dyDescent="0.3">
      <c r="B441" s="1838">
        <v>41539</v>
      </c>
      <c r="C441" s="1837">
        <v>486.61</v>
      </c>
      <c r="D441" s="1840">
        <f t="shared" si="29"/>
        <v>1.9740564554999063E-2</v>
      </c>
      <c r="F441" s="1839">
        <v>1691.75</v>
      </c>
      <c r="G441" s="1840">
        <f t="shared" si="30"/>
        <v>-1.0620442011567865E-2</v>
      </c>
      <c r="H441" s="1838">
        <v>41539</v>
      </c>
      <c r="M441" s="1844">
        <f t="shared" si="31"/>
        <v>-1.0620442011567865E-2</v>
      </c>
      <c r="N441" s="1823">
        <f t="shared" si="32"/>
        <v>0</v>
      </c>
      <c r="P441" s="1874"/>
      <c r="Q441" s="1875"/>
      <c r="R441" s="1876"/>
      <c r="S441" s="1877"/>
      <c r="T441" s="1877"/>
    </row>
    <row r="442" spans="2:20" x14ac:dyDescent="0.3">
      <c r="B442" s="1838">
        <v>41532</v>
      </c>
      <c r="C442" s="1837">
        <v>477.19</v>
      </c>
      <c r="D442" s="1840">
        <f t="shared" si="29"/>
        <v>1.6162209814869488E-3</v>
      </c>
      <c r="F442" s="1839">
        <v>1709.91</v>
      </c>
      <c r="G442" s="1840">
        <f t="shared" si="30"/>
        <v>1.2985858920965265E-2</v>
      </c>
      <c r="H442" s="1838">
        <v>41532</v>
      </c>
      <c r="M442" s="1844">
        <f t="shared" si="31"/>
        <v>1.2985858920965265E-2</v>
      </c>
      <c r="N442" s="1823">
        <f t="shared" si="32"/>
        <v>0</v>
      </c>
      <c r="P442" s="1874"/>
      <c r="Q442" s="1875"/>
      <c r="R442" s="1876"/>
      <c r="S442" s="1877"/>
      <c r="T442" s="1877"/>
    </row>
    <row r="443" spans="2:20" x14ac:dyDescent="0.3">
      <c r="B443" s="1838">
        <v>41525</v>
      </c>
      <c r="C443" s="1837">
        <v>476.42</v>
      </c>
      <c r="D443" s="1840">
        <f t="shared" si="29"/>
        <v>-7.5203633106263323E-3</v>
      </c>
      <c r="F443" s="1839">
        <v>1687.99</v>
      </c>
      <c r="G443" s="1840">
        <f t="shared" si="30"/>
        <v>1.9828778916969325E-2</v>
      </c>
      <c r="H443" s="1838">
        <v>41525</v>
      </c>
      <c r="M443" s="1844">
        <f t="shared" si="31"/>
        <v>1.9828778916969325E-2</v>
      </c>
      <c r="N443" s="1823">
        <f t="shared" si="32"/>
        <v>0</v>
      </c>
      <c r="P443" s="1874"/>
      <c r="Q443" s="1875"/>
      <c r="R443" s="1876"/>
      <c r="S443" s="1877"/>
      <c r="T443" s="1877"/>
    </row>
    <row r="444" spans="2:20" x14ac:dyDescent="0.3">
      <c r="B444" s="1838">
        <v>41518</v>
      </c>
      <c r="C444" s="1837">
        <v>480.03</v>
      </c>
      <c r="D444" s="1840">
        <f t="shared" si="29"/>
        <v>1.5506663845991087E-2</v>
      </c>
      <c r="F444" s="1839">
        <v>1655.17</v>
      </c>
      <c r="G444" s="1840">
        <f t="shared" si="30"/>
        <v>1.359486089762818E-2</v>
      </c>
      <c r="H444" s="1838">
        <v>41518</v>
      </c>
      <c r="M444" s="1844">
        <f t="shared" si="31"/>
        <v>1.359486089762818E-2</v>
      </c>
      <c r="N444" s="1823">
        <f t="shared" si="32"/>
        <v>0</v>
      </c>
      <c r="P444" s="1874"/>
      <c r="Q444" s="1875"/>
      <c r="R444" s="1876"/>
      <c r="S444" s="1877"/>
      <c r="T444" s="1877"/>
    </row>
    <row r="445" spans="2:20" x14ac:dyDescent="0.3">
      <c r="B445" s="1838">
        <v>41511</v>
      </c>
      <c r="C445" s="1837">
        <v>472.7</v>
      </c>
      <c r="D445" s="1840">
        <f t="shared" si="29"/>
        <v>-2.9004560207058105E-2</v>
      </c>
      <c r="F445" s="1839">
        <v>1632.97</v>
      </c>
      <c r="G445" s="1840">
        <f t="shared" si="30"/>
        <v>-1.8352870453862358E-2</v>
      </c>
      <c r="H445" s="1838">
        <v>41511</v>
      </c>
      <c r="M445" s="1844">
        <f t="shared" si="31"/>
        <v>-1.8352870453862358E-2</v>
      </c>
      <c r="N445" s="1823">
        <f t="shared" si="32"/>
        <v>0</v>
      </c>
      <c r="P445" s="1874"/>
      <c r="Q445" s="1875"/>
      <c r="R445" s="1876"/>
      <c r="S445" s="1877"/>
      <c r="T445" s="1877"/>
    </row>
    <row r="446" spans="2:20" x14ac:dyDescent="0.3">
      <c r="B446" s="1838">
        <v>41504</v>
      </c>
      <c r="C446" s="1837">
        <v>486.82</v>
      </c>
      <c r="D446" s="1840">
        <f t="shared" si="29"/>
        <v>-4.1296598987770605E-2</v>
      </c>
      <c r="F446" s="1839">
        <v>1663.5</v>
      </c>
      <c r="G446" s="1840">
        <f t="shared" si="30"/>
        <v>4.6321180314403687E-3</v>
      </c>
      <c r="H446" s="1838">
        <v>41504</v>
      </c>
      <c r="M446" s="1844">
        <f t="shared" si="31"/>
        <v>4.6321180314403687E-3</v>
      </c>
      <c r="N446" s="1823">
        <f t="shared" si="32"/>
        <v>0</v>
      </c>
      <c r="P446" s="1874"/>
      <c r="Q446" s="1875"/>
      <c r="R446" s="1876"/>
      <c r="S446" s="1877"/>
      <c r="T446" s="1877"/>
    </row>
    <row r="447" spans="2:20" x14ac:dyDescent="0.3">
      <c r="B447" s="1838">
        <v>41497</v>
      </c>
      <c r="C447" s="1837">
        <v>507.79</v>
      </c>
      <c r="D447" s="1840">
        <f t="shared" si="29"/>
        <v>1.4322240421876797E-2</v>
      </c>
      <c r="F447" s="1839">
        <v>1655.83</v>
      </c>
      <c r="G447" s="1840">
        <f t="shared" si="30"/>
        <v>-2.1041491764316467E-2</v>
      </c>
      <c r="H447" s="1838">
        <v>41497</v>
      </c>
      <c r="M447" s="1844">
        <f t="shared" si="31"/>
        <v>-2.1041491764316467E-2</v>
      </c>
      <c r="N447" s="1823">
        <f t="shared" si="32"/>
        <v>0</v>
      </c>
      <c r="P447" s="1874"/>
      <c r="Q447" s="1875"/>
      <c r="R447" s="1876"/>
      <c r="S447" s="1877"/>
      <c r="T447" s="1877"/>
    </row>
    <row r="448" spans="2:20" x14ac:dyDescent="0.3">
      <c r="B448" s="1838">
        <v>41490</v>
      </c>
      <c r="C448" s="1837">
        <v>500.62</v>
      </c>
      <c r="D448" s="1840">
        <f t="shared" si="29"/>
        <v>1.2048679901346393E-2</v>
      </c>
      <c r="F448" s="1839">
        <v>1691.42</v>
      </c>
      <c r="G448" s="1840">
        <f t="shared" si="30"/>
        <v>-1.0674574625512578E-2</v>
      </c>
      <c r="H448" s="1838">
        <v>41490</v>
      </c>
      <c r="M448" s="1844">
        <f t="shared" si="31"/>
        <v>-1.0674574625512578E-2</v>
      </c>
      <c r="N448" s="1823">
        <f t="shared" si="32"/>
        <v>0</v>
      </c>
      <c r="P448" s="1874"/>
      <c r="Q448" s="1875"/>
      <c r="R448" s="1876"/>
      <c r="S448" s="1877"/>
      <c r="T448" s="1877"/>
    </row>
    <row r="449" spans="2:20" x14ac:dyDescent="0.3">
      <c r="B449" s="1838">
        <v>41483</v>
      </c>
      <c r="C449" s="1837">
        <v>494.66</v>
      </c>
      <c r="D449" s="1840">
        <f t="shared" si="29"/>
        <v>1.4779422185329238E-3</v>
      </c>
      <c r="F449" s="1839">
        <v>1709.67</v>
      </c>
      <c r="G449" s="1840">
        <f t="shared" si="30"/>
        <v>1.0652321697750766E-2</v>
      </c>
      <c r="H449" s="1838">
        <v>41483</v>
      </c>
      <c r="M449" s="1844">
        <f t="shared" si="31"/>
        <v>1.0652321697750766E-2</v>
      </c>
      <c r="N449" s="1823">
        <f t="shared" si="32"/>
        <v>0</v>
      </c>
      <c r="P449" s="1874"/>
      <c r="Q449" s="1875"/>
      <c r="R449" s="1876"/>
      <c r="S449" s="1877"/>
      <c r="T449" s="1877"/>
    </row>
    <row r="450" spans="2:20" x14ac:dyDescent="0.3">
      <c r="B450" s="1838">
        <v>41476</v>
      </c>
      <c r="C450" s="1837">
        <v>493.93</v>
      </c>
      <c r="D450" s="1840">
        <f t="shared" si="29"/>
        <v>-1.9513260282674305E-2</v>
      </c>
      <c r="F450" s="1839">
        <v>1691.65</v>
      </c>
      <c r="G450" s="1840">
        <f t="shared" si="30"/>
        <v>-2.6003344975733533E-4</v>
      </c>
      <c r="H450" s="1838">
        <v>41476</v>
      </c>
      <c r="M450" s="1844">
        <f t="shared" si="31"/>
        <v>-2.6003344975733533E-4</v>
      </c>
      <c r="N450" s="1823">
        <f t="shared" si="32"/>
        <v>0</v>
      </c>
      <c r="P450" s="1874"/>
      <c r="Q450" s="1875"/>
      <c r="R450" s="1876"/>
      <c r="S450" s="1877"/>
      <c r="T450" s="1877"/>
    </row>
    <row r="451" spans="2:20" x14ac:dyDescent="0.3">
      <c r="B451" s="1838">
        <v>41469</v>
      </c>
      <c r="C451" s="1837">
        <v>503.76</v>
      </c>
      <c r="D451" s="1840">
        <f t="shared" si="29"/>
        <v>1.9777728294094965E-2</v>
      </c>
      <c r="F451" s="1839">
        <v>1692.09</v>
      </c>
      <c r="G451" s="1840">
        <f t="shared" si="30"/>
        <v>7.08253233265288E-3</v>
      </c>
      <c r="H451" s="1838">
        <v>41469</v>
      </c>
      <c r="M451" s="1844">
        <f t="shared" si="31"/>
        <v>7.08253233265288E-3</v>
      </c>
      <c r="N451" s="1823">
        <f t="shared" si="32"/>
        <v>0</v>
      </c>
      <c r="P451" s="1874"/>
      <c r="Q451" s="1875"/>
      <c r="R451" s="1876"/>
      <c r="S451" s="1877"/>
      <c r="T451" s="1877"/>
    </row>
    <row r="452" spans="2:20" x14ac:dyDescent="0.3">
      <c r="B452" s="1838">
        <v>41462</v>
      </c>
      <c r="C452" s="1837">
        <v>493.99</v>
      </c>
      <c r="D452" s="1840">
        <f t="shared" si="29"/>
        <v>1.7151916978956461E-2</v>
      </c>
      <c r="F452" s="1839">
        <v>1680.19</v>
      </c>
      <c r="G452" s="1840">
        <f t="shared" si="30"/>
        <v>2.9597583170434261E-2</v>
      </c>
      <c r="H452" s="1838">
        <v>41462</v>
      </c>
      <c r="M452" s="1844">
        <f t="shared" si="31"/>
        <v>2.9597583170434261E-2</v>
      </c>
      <c r="N452" s="1823">
        <f t="shared" si="32"/>
        <v>0</v>
      </c>
      <c r="P452" s="1874"/>
      <c r="Q452" s="1875"/>
      <c r="R452" s="1876"/>
      <c r="S452" s="1877"/>
      <c r="T452" s="1877"/>
    </row>
    <row r="453" spans="2:20" x14ac:dyDescent="0.3">
      <c r="B453" s="1838">
        <v>41455</v>
      </c>
      <c r="C453" s="1837">
        <v>485.66</v>
      </c>
      <c r="D453" s="1840">
        <f t="shared" si="29"/>
        <v>9.4153347328165271E-3</v>
      </c>
      <c r="F453" s="1839">
        <v>1631.89</v>
      </c>
      <c r="G453" s="1840">
        <f t="shared" si="30"/>
        <v>1.5943671090967948E-2</v>
      </c>
      <c r="H453" s="1838">
        <v>41455</v>
      </c>
      <c r="M453" s="1844">
        <f t="shared" si="31"/>
        <v>1.5943671090967948E-2</v>
      </c>
      <c r="N453" s="1823">
        <f t="shared" si="32"/>
        <v>0</v>
      </c>
      <c r="P453" s="1874"/>
      <c r="Q453" s="1875"/>
      <c r="R453" s="1876"/>
      <c r="S453" s="1877"/>
      <c r="T453" s="1877"/>
    </row>
    <row r="454" spans="2:20" x14ac:dyDescent="0.3">
      <c r="B454" s="1838">
        <v>41448</v>
      </c>
      <c r="C454" s="1837">
        <v>481.13</v>
      </c>
      <c r="D454" s="1840">
        <f t="shared" si="29"/>
        <v>-3.5502365487931953E-2</v>
      </c>
      <c r="F454" s="1839">
        <v>1606.28</v>
      </c>
      <c r="G454" s="1840">
        <f t="shared" si="30"/>
        <v>8.697399571723663E-3</v>
      </c>
      <c r="H454" s="1838">
        <v>41448</v>
      </c>
      <c r="M454" s="1844">
        <f t="shared" si="31"/>
        <v>8.697399571723663E-3</v>
      </c>
      <c r="N454" s="1823">
        <f t="shared" si="32"/>
        <v>0</v>
      </c>
      <c r="P454" s="1874"/>
      <c r="Q454" s="1875"/>
      <c r="R454" s="1876"/>
      <c r="S454" s="1877"/>
      <c r="T454" s="1877"/>
    </row>
    <row r="455" spans="2:20" x14ac:dyDescent="0.3">
      <c r="B455" s="1838">
        <v>41441</v>
      </c>
      <c r="C455" s="1837">
        <v>498.84</v>
      </c>
      <c r="D455" s="1840">
        <f t="shared" ref="D455:D518" si="33">C455/C456-1</f>
        <v>-2.001846649509853E-2</v>
      </c>
      <c r="F455" s="1839">
        <v>1592.43</v>
      </c>
      <c r="G455" s="1840">
        <f t="shared" ref="G455:G518" si="34">F455/F456-1</f>
        <v>-2.1085244631868783E-2</v>
      </c>
      <c r="H455" s="1838">
        <v>41441</v>
      </c>
      <c r="M455" s="1844">
        <f t="shared" ref="M455:M518" si="35">F455/F456-1</f>
        <v>-2.1085244631868783E-2</v>
      </c>
      <c r="N455" s="1823">
        <f t="shared" ref="N455:N518" si="36">H455-B455</f>
        <v>0</v>
      </c>
      <c r="P455" s="1874"/>
      <c r="Q455" s="1875"/>
      <c r="R455" s="1876"/>
      <c r="S455" s="1877"/>
      <c r="T455" s="1877"/>
    </row>
    <row r="456" spans="2:20" x14ac:dyDescent="0.3">
      <c r="B456" s="1838">
        <v>41434</v>
      </c>
      <c r="C456" s="1837">
        <v>509.03</v>
      </c>
      <c r="D456" s="1840">
        <f t="shared" si="33"/>
        <v>-3.5873250374074406E-2</v>
      </c>
      <c r="F456" s="1839">
        <v>1626.73</v>
      </c>
      <c r="G456" s="1840">
        <f t="shared" si="34"/>
        <v>-1.0131558130195173E-2</v>
      </c>
      <c r="H456" s="1838">
        <v>41434</v>
      </c>
      <c r="M456" s="1844">
        <f t="shared" si="35"/>
        <v>-1.0131558130195173E-2</v>
      </c>
      <c r="N456" s="1823">
        <f t="shared" si="36"/>
        <v>0</v>
      </c>
      <c r="P456" s="1874"/>
      <c r="Q456" s="1875"/>
      <c r="R456" s="1876"/>
      <c r="S456" s="1877"/>
      <c r="T456" s="1877"/>
    </row>
    <row r="457" spans="2:20" x14ac:dyDescent="0.3">
      <c r="B457" s="1838">
        <v>41427</v>
      </c>
      <c r="C457" s="1837">
        <v>527.97</v>
      </c>
      <c r="D457" s="1840">
        <f t="shared" si="33"/>
        <v>1.8480294758772331E-2</v>
      </c>
      <c r="F457" s="1839">
        <v>1643.38</v>
      </c>
      <c r="G457" s="1840">
        <f t="shared" si="34"/>
        <v>7.7510823307211929E-3</v>
      </c>
      <c r="H457" s="1838">
        <v>41427</v>
      </c>
      <c r="M457" s="1844">
        <f t="shared" si="35"/>
        <v>7.7510823307211929E-3</v>
      </c>
      <c r="N457" s="1823">
        <f t="shared" si="36"/>
        <v>0</v>
      </c>
      <c r="P457" s="1874"/>
      <c r="Q457" s="1875"/>
      <c r="R457" s="1876"/>
      <c r="S457" s="1877"/>
      <c r="T457" s="1877"/>
    </row>
    <row r="458" spans="2:20" x14ac:dyDescent="0.3">
      <c r="B458" s="1838">
        <v>41420</v>
      </c>
      <c r="C458" s="1837">
        <v>518.39</v>
      </c>
      <c r="D458" s="1840">
        <f t="shared" si="33"/>
        <v>3.6282584359507375E-2</v>
      </c>
      <c r="F458" s="1839">
        <v>1630.74</v>
      </c>
      <c r="G458" s="1840">
        <f t="shared" si="34"/>
        <v>-1.143307468477206E-2</v>
      </c>
      <c r="H458" s="1838">
        <v>41420</v>
      </c>
      <c r="M458" s="1844">
        <f t="shared" si="35"/>
        <v>-1.143307468477206E-2</v>
      </c>
      <c r="N458" s="1823">
        <f t="shared" si="36"/>
        <v>0</v>
      </c>
      <c r="P458" s="1874"/>
      <c r="Q458" s="1875"/>
      <c r="R458" s="1876"/>
      <c r="S458" s="1877"/>
      <c r="T458" s="1877"/>
    </row>
    <row r="459" spans="2:20" x14ac:dyDescent="0.3">
      <c r="B459" s="1838">
        <v>41413</v>
      </c>
      <c r="C459" s="1837">
        <v>500.24</v>
      </c>
      <c r="D459" s="1840">
        <f t="shared" si="33"/>
        <v>2.5922887612797263E-2</v>
      </c>
      <c r="F459" s="1839">
        <v>1649.6</v>
      </c>
      <c r="G459" s="1840">
        <f t="shared" si="34"/>
        <v>-1.0716834485777871E-2</v>
      </c>
      <c r="H459" s="1838">
        <v>41413</v>
      </c>
      <c r="M459" s="1844">
        <f t="shared" si="35"/>
        <v>-1.0716834485777871E-2</v>
      </c>
      <c r="N459" s="1823">
        <f t="shared" si="36"/>
        <v>0</v>
      </c>
      <c r="P459" s="1874"/>
      <c r="Q459" s="1875"/>
      <c r="R459" s="1876"/>
      <c r="S459" s="1877"/>
      <c r="T459" s="1877"/>
    </row>
    <row r="460" spans="2:20" x14ac:dyDescent="0.3">
      <c r="B460" s="1838">
        <v>41406</v>
      </c>
      <c r="C460" s="1837">
        <v>487.6</v>
      </c>
      <c r="D460" s="1840">
        <f t="shared" si="33"/>
        <v>3.0857848179386416E-3</v>
      </c>
      <c r="F460" s="1839">
        <v>1667.47</v>
      </c>
      <c r="G460" s="1840">
        <f t="shared" si="34"/>
        <v>2.0670869804737757E-2</v>
      </c>
      <c r="H460" s="1838">
        <v>41406</v>
      </c>
      <c r="M460" s="1844">
        <f t="shared" si="35"/>
        <v>2.0670869804737757E-2</v>
      </c>
      <c r="N460" s="1823">
        <f t="shared" si="36"/>
        <v>0</v>
      </c>
      <c r="P460" s="1874"/>
      <c r="Q460" s="1875"/>
      <c r="R460" s="1876"/>
      <c r="S460" s="1877"/>
      <c r="T460" s="1877"/>
    </row>
    <row r="461" spans="2:20" x14ac:dyDescent="0.3">
      <c r="B461" s="1838">
        <v>41399</v>
      </c>
      <c r="C461" s="1837">
        <v>486.1</v>
      </c>
      <c r="D461" s="1840">
        <f t="shared" si="33"/>
        <v>2.285161181718709E-2</v>
      </c>
      <c r="F461" s="1839">
        <v>1633.7</v>
      </c>
      <c r="G461" s="1840">
        <f t="shared" si="34"/>
        <v>1.1942369395820052E-2</v>
      </c>
      <c r="H461" s="1838">
        <v>41399</v>
      </c>
      <c r="M461" s="1844">
        <f t="shared" si="35"/>
        <v>1.1942369395820052E-2</v>
      </c>
      <c r="N461" s="1823">
        <f t="shared" si="36"/>
        <v>0</v>
      </c>
      <c r="P461" s="1874"/>
      <c r="Q461" s="1875"/>
      <c r="R461" s="1876"/>
      <c r="S461" s="1877"/>
      <c r="T461" s="1877"/>
    </row>
    <row r="462" spans="2:20" x14ac:dyDescent="0.3">
      <c r="B462" s="1838">
        <v>41392</v>
      </c>
      <c r="C462" s="1837">
        <v>475.24</v>
      </c>
      <c r="D462" s="1840">
        <f t="shared" si="33"/>
        <v>1.5384291163516028E-3</v>
      </c>
      <c r="F462" s="1839">
        <v>1614.42</v>
      </c>
      <c r="G462" s="1840">
        <f t="shared" si="34"/>
        <v>2.0338254626352636E-2</v>
      </c>
      <c r="H462" s="1838">
        <v>41392</v>
      </c>
      <c r="M462" s="1844">
        <f t="shared" si="35"/>
        <v>2.0338254626352636E-2</v>
      </c>
      <c r="N462" s="1823">
        <f t="shared" si="36"/>
        <v>0</v>
      </c>
      <c r="P462" s="1874"/>
      <c r="Q462" s="1875"/>
      <c r="R462" s="1876"/>
      <c r="S462" s="1877"/>
      <c r="T462" s="1877"/>
    </row>
    <row r="463" spans="2:20" x14ac:dyDescent="0.3">
      <c r="B463" s="1838">
        <v>41385</v>
      </c>
      <c r="C463" s="1837">
        <v>474.51</v>
      </c>
      <c r="D463" s="1840">
        <f t="shared" si="33"/>
        <v>2.7471946915746948E-3</v>
      </c>
      <c r="F463" s="1839">
        <v>1582.24</v>
      </c>
      <c r="G463" s="1840">
        <f t="shared" si="34"/>
        <v>1.7354123131329446E-2</v>
      </c>
      <c r="H463" s="1838">
        <v>41385</v>
      </c>
      <c r="M463" s="1844">
        <f t="shared" si="35"/>
        <v>1.7354123131329446E-2</v>
      </c>
      <c r="N463" s="1823">
        <f t="shared" si="36"/>
        <v>0</v>
      </c>
      <c r="P463" s="1874"/>
      <c r="Q463" s="1875"/>
      <c r="R463" s="1876"/>
      <c r="S463" s="1877"/>
      <c r="T463" s="1877"/>
    </row>
    <row r="464" spans="2:20" x14ac:dyDescent="0.3">
      <c r="B464" s="1838">
        <v>41378</v>
      </c>
      <c r="C464" s="1837">
        <v>473.21</v>
      </c>
      <c r="D464" s="1840">
        <f t="shared" si="33"/>
        <v>-4.2608291015032274E-2</v>
      </c>
      <c r="F464" s="1839">
        <v>1555.25</v>
      </c>
      <c r="G464" s="1840">
        <f t="shared" si="34"/>
        <v>-2.1147370739843185E-2</v>
      </c>
      <c r="H464" s="1838">
        <v>41378</v>
      </c>
      <c r="M464" s="1844">
        <f t="shared" si="35"/>
        <v>-2.1147370739843185E-2</v>
      </c>
      <c r="N464" s="1823">
        <f t="shared" si="36"/>
        <v>0</v>
      </c>
      <c r="P464" s="1874"/>
      <c r="Q464" s="1875"/>
      <c r="R464" s="1876"/>
      <c r="S464" s="1877"/>
      <c r="T464" s="1877"/>
    </row>
    <row r="465" spans="2:20" x14ac:dyDescent="0.3">
      <c r="B465" s="1838">
        <v>41371</v>
      </c>
      <c r="C465" s="1837">
        <v>494.27</v>
      </c>
      <c r="D465" s="1840">
        <f t="shared" si="33"/>
        <v>-1.653468104580369E-2</v>
      </c>
      <c r="F465" s="1839">
        <v>1588.85</v>
      </c>
      <c r="G465" s="1840">
        <f t="shared" si="34"/>
        <v>2.2899927894519889E-2</v>
      </c>
      <c r="H465" s="1838">
        <v>41371</v>
      </c>
      <c r="M465" s="1844">
        <f t="shared" si="35"/>
        <v>2.2899927894519889E-2</v>
      </c>
      <c r="N465" s="1823">
        <f t="shared" si="36"/>
        <v>0</v>
      </c>
      <c r="P465" s="1874"/>
      <c r="Q465" s="1875"/>
      <c r="R465" s="1876"/>
      <c r="S465" s="1877"/>
      <c r="T465" s="1877"/>
    </row>
    <row r="466" spans="2:20" x14ac:dyDescent="0.3">
      <c r="B466" s="1838">
        <v>41364</v>
      </c>
      <c r="C466" s="1837">
        <v>502.58</v>
      </c>
      <c r="D466" s="1840">
        <f t="shared" si="33"/>
        <v>2.3501140436624324E-2</v>
      </c>
      <c r="F466" s="1839">
        <v>1553.28</v>
      </c>
      <c r="G466" s="1840">
        <f t="shared" si="34"/>
        <v>-1.0138988905104007E-2</v>
      </c>
      <c r="H466" s="1838">
        <v>41364</v>
      </c>
      <c r="M466" s="1844">
        <f t="shared" si="35"/>
        <v>-1.0138988905104007E-2</v>
      </c>
      <c r="N466" s="1823">
        <f t="shared" si="36"/>
        <v>0</v>
      </c>
      <c r="P466" s="1874"/>
      <c r="Q466" s="1875"/>
      <c r="R466" s="1876"/>
      <c r="S466" s="1877"/>
      <c r="T466" s="1877"/>
    </row>
    <row r="467" spans="2:20" x14ac:dyDescent="0.3">
      <c r="B467" s="1838">
        <v>41357</v>
      </c>
      <c r="C467" s="1837">
        <v>491.04</v>
      </c>
      <c r="D467" s="1840">
        <f t="shared" si="33"/>
        <v>2.1429008755280421E-3</v>
      </c>
      <c r="F467" s="1839">
        <v>1569.19</v>
      </c>
      <c r="G467" s="1840">
        <f t="shared" si="34"/>
        <v>7.9003654721914174E-3</v>
      </c>
      <c r="H467" s="1838">
        <v>41357</v>
      </c>
      <c r="M467" s="1844">
        <f t="shared" si="35"/>
        <v>7.9003654721914174E-3</v>
      </c>
      <c r="N467" s="1823">
        <f t="shared" si="36"/>
        <v>0</v>
      </c>
      <c r="P467" s="1874"/>
      <c r="Q467" s="1875"/>
      <c r="R467" s="1876"/>
      <c r="S467" s="1877"/>
      <c r="T467" s="1877"/>
    </row>
    <row r="468" spans="2:20" x14ac:dyDescent="0.3">
      <c r="B468" s="1838">
        <v>41350</v>
      </c>
      <c r="C468" s="1837">
        <v>489.99</v>
      </c>
      <c r="D468" s="1840">
        <f t="shared" si="33"/>
        <v>1.7949516983484015E-2</v>
      </c>
      <c r="F468" s="1839">
        <v>1556.89</v>
      </c>
      <c r="G468" s="1840">
        <f t="shared" si="34"/>
        <v>-2.4412122765425925E-3</v>
      </c>
      <c r="H468" s="1838">
        <v>41350</v>
      </c>
      <c r="M468" s="1844">
        <f t="shared" si="35"/>
        <v>-2.4412122765425925E-3</v>
      </c>
      <c r="N468" s="1823">
        <f t="shared" si="36"/>
        <v>0</v>
      </c>
      <c r="P468" s="1874"/>
      <c r="Q468" s="1875"/>
      <c r="R468" s="1876"/>
      <c r="S468" s="1877"/>
      <c r="T468" s="1877"/>
    </row>
    <row r="469" spans="2:20" x14ac:dyDescent="0.3">
      <c r="B469" s="1838">
        <v>41343</v>
      </c>
      <c r="C469" s="1837">
        <v>481.35</v>
      </c>
      <c r="D469" s="1840">
        <f t="shared" si="33"/>
        <v>2.2669329480751177E-2</v>
      </c>
      <c r="F469" s="1839">
        <v>1560.7</v>
      </c>
      <c r="G469" s="1840">
        <f t="shared" si="34"/>
        <v>6.1372632447556086E-3</v>
      </c>
      <c r="H469" s="1838">
        <v>41343</v>
      </c>
      <c r="M469" s="1844">
        <f t="shared" si="35"/>
        <v>6.1372632447556086E-3</v>
      </c>
      <c r="N469" s="1823">
        <f t="shared" si="36"/>
        <v>0</v>
      </c>
      <c r="P469" s="1874"/>
      <c r="Q469" s="1875"/>
      <c r="R469" s="1876"/>
      <c r="S469" s="1877"/>
      <c r="T469" s="1877"/>
    </row>
    <row r="470" spans="2:20" x14ac:dyDescent="0.3">
      <c r="B470" s="1838">
        <v>41336</v>
      </c>
      <c r="C470" s="1837">
        <v>470.68</v>
      </c>
      <c r="D470" s="1840">
        <f t="shared" si="33"/>
        <v>-1.3559677250340463E-2</v>
      </c>
      <c r="F470" s="1839">
        <v>1551.18</v>
      </c>
      <c r="G470" s="1840">
        <f t="shared" si="34"/>
        <v>2.1723093136609251E-2</v>
      </c>
      <c r="H470" s="1838">
        <v>41336</v>
      </c>
      <c r="M470" s="1844">
        <f t="shared" si="35"/>
        <v>2.1723093136609251E-2</v>
      </c>
      <c r="N470" s="1823">
        <f t="shared" si="36"/>
        <v>0</v>
      </c>
      <c r="P470" s="1874"/>
      <c r="Q470" s="1875"/>
      <c r="R470" s="1876"/>
      <c r="S470" s="1877"/>
      <c r="T470" s="1877"/>
    </row>
    <row r="471" spans="2:20" x14ac:dyDescent="0.3">
      <c r="B471" s="1838">
        <v>41329</v>
      </c>
      <c r="C471" s="1837">
        <v>477.15</v>
      </c>
      <c r="D471" s="1840">
        <f t="shared" si="33"/>
        <v>-1.1304402436727035E-3</v>
      </c>
      <c r="F471" s="1839">
        <v>1518.2</v>
      </c>
      <c r="G471" s="1840">
        <f t="shared" si="34"/>
        <v>1.7154922143045592E-3</v>
      </c>
      <c r="H471" s="1838">
        <v>41329</v>
      </c>
      <c r="M471" s="1844">
        <f t="shared" si="35"/>
        <v>1.7154922143045592E-3</v>
      </c>
      <c r="N471" s="1823">
        <f t="shared" si="36"/>
        <v>0</v>
      </c>
      <c r="P471" s="1874"/>
      <c r="Q471" s="1875"/>
      <c r="R471" s="1876"/>
      <c r="S471" s="1877"/>
      <c r="T471" s="1877"/>
    </row>
    <row r="472" spans="2:20" x14ac:dyDescent="0.3">
      <c r="B472" s="1838">
        <v>41322</v>
      </c>
      <c r="C472" s="1837">
        <v>477.69</v>
      </c>
      <c r="D472" s="1840">
        <f t="shared" si="33"/>
        <v>-3.3074914478877782E-2</v>
      </c>
      <c r="F472" s="1839">
        <v>1515.6</v>
      </c>
      <c r="G472" s="1840">
        <f t="shared" si="34"/>
        <v>-1.5349851442425511E-3</v>
      </c>
      <c r="H472" s="1838">
        <v>41322</v>
      </c>
      <c r="M472" s="1844">
        <f t="shared" si="35"/>
        <v>-1.5349851442425511E-3</v>
      </c>
      <c r="N472" s="1823">
        <f t="shared" si="36"/>
        <v>0</v>
      </c>
      <c r="P472" s="1874"/>
      <c r="Q472" s="1875"/>
      <c r="R472" s="1876"/>
      <c r="S472" s="1877"/>
      <c r="T472" s="1877"/>
    </row>
    <row r="473" spans="2:20" x14ac:dyDescent="0.3">
      <c r="B473" s="1838">
        <v>41308</v>
      </c>
      <c r="C473" s="1837">
        <v>494.03</v>
      </c>
      <c r="D473" s="1840">
        <f t="shared" si="33"/>
        <v>2.194778867237579E-2</v>
      </c>
      <c r="F473" s="1839">
        <v>1517.93</v>
      </c>
      <c r="G473" s="1840">
        <f t="shared" si="34"/>
        <v>3.1457139647230736E-3</v>
      </c>
      <c r="H473" s="1838">
        <v>41308</v>
      </c>
      <c r="M473" s="1844">
        <f t="shared" si="35"/>
        <v>3.1457139647230736E-3</v>
      </c>
      <c r="N473" s="1823">
        <f t="shared" si="36"/>
        <v>0</v>
      </c>
      <c r="P473" s="1874"/>
      <c r="Q473" s="1875"/>
      <c r="R473" s="1876"/>
      <c r="S473" s="1877"/>
      <c r="T473" s="1877"/>
    </row>
    <row r="474" spans="2:20" x14ac:dyDescent="0.3">
      <c r="B474" s="1838">
        <v>41301</v>
      </c>
      <c r="C474" s="1837">
        <v>483.42</v>
      </c>
      <c r="D474" s="1840">
        <f t="shared" si="33"/>
        <v>3.2750112157918343E-2</v>
      </c>
      <c r="F474" s="1839">
        <v>1513.17</v>
      </c>
      <c r="G474" s="1840">
        <f t="shared" si="34"/>
        <v>6.7932612977059659E-3</v>
      </c>
      <c r="H474" s="1838">
        <v>41301</v>
      </c>
      <c r="M474" s="1844">
        <f t="shared" si="35"/>
        <v>6.7932612977059659E-3</v>
      </c>
      <c r="N474" s="1823">
        <f t="shared" si="36"/>
        <v>0</v>
      </c>
      <c r="P474" s="1874"/>
      <c r="Q474" s="1875"/>
      <c r="R474" s="1876"/>
      <c r="S474" s="1877"/>
      <c r="T474" s="1877"/>
    </row>
    <row r="475" spans="2:20" x14ac:dyDescent="0.3">
      <c r="B475" s="1838">
        <v>41294</v>
      </c>
      <c r="C475" s="1837">
        <v>468.09</v>
      </c>
      <c r="D475" s="1840">
        <f t="shared" si="33"/>
        <v>3.0672009864364913E-2</v>
      </c>
      <c r="F475" s="1839">
        <v>1502.96</v>
      </c>
      <c r="G475" s="1840">
        <f t="shared" si="34"/>
        <v>1.1426802514165724E-2</v>
      </c>
      <c r="H475" s="1838">
        <v>41294</v>
      </c>
      <c r="M475" s="1844">
        <f t="shared" si="35"/>
        <v>1.1426802514165724E-2</v>
      </c>
      <c r="N475" s="1823">
        <f t="shared" si="36"/>
        <v>0</v>
      </c>
      <c r="P475" s="1874"/>
      <c r="Q475" s="1875"/>
      <c r="R475" s="1876"/>
      <c r="S475" s="1877"/>
      <c r="T475" s="1877"/>
    </row>
    <row r="476" spans="2:20" x14ac:dyDescent="0.3">
      <c r="B476" s="1838">
        <v>41287</v>
      </c>
      <c r="C476" s="1837">
        <v>454.16</v>
      </c>
      <c r="D476" s="1840">
        <f t="shared" si="33"/>
        <v>-1.8435669670837873E-2</v>
      </c>
      <c r="F476" s="1839">
        <v>1485.98</v>
      </c>
      <c r="G476" s="1840">
        <f t="shared" si="34"/>
        <v>9.4629937841785861E-3</v>
      </c>
      <c r="H476" s="1838">
        <v>41287</v>
      </c>
      <c r="M476" s="1844">
        <f t="shared" si="35"/>
        <v>9.4629937841785861E-3</v>
      </c>
      <c r="N476" s="1823">
        <f t="shared" si="36"/>
        <v>0</v>
      </c>
      <c r="P476" s="1874"/>
      <c r="Q476" s="1875"/>
      <c r="R476" s="1876"/>
      <c r="S476" s="1877"/>
      <c r="T476" s="1877"/>
    </row>
    <row r="477" spans="2:20" x14ac:dyDescent="0.3">
      <c r="B477" s="1838">
        <v>41280</v>
      </c>
      <c r="C477" s="1837">
        <v>462.69</v>
      </c>
      <c r="D477" s="1840">
        <f t="shared" si="33"/>
        <v>8.597380650612596E-2</v>
      </c>
      <c r="F477" s="1839">
        <v>1472.05</v>
      </c>
      <c r="G477" s="1840">
        <f t="shared" si="34"/>
        <v>3.8050556779203326E-3</v>
      </c>
      <c r="H477" s="1838">
        <v>41280</v>
      </c>
      <c r="M477" s="1844">
        <f t="shared" si="35"/>
        <v>3.8050556779203326E-3</v>
      </c>
      <c r="N477" s="1823">
        <f t="shared" si="36"/>
        <v>0</v>
      </c>
      <c r="P477" s="1874"/>
      <c r="Q477" s="1875"/>
      <c r="R477" s="1876"/>
      <c r="S477" s="1877"/>
      <c r="T477" s="1877"/>
    </row>
    <row r="478" spans="2:20" x14ac:dyDescent="0.3">
      <c r="B478" s="1838">
        <v>41273</v>
      </c>
      <c r="C478" s="1837">
        <v>426.06</v>
      </c>
      <c r="D478" s="1840">
        <f t="shared" si="33"/>
        <v>2.9802044811833683E-2</v>
      </c>
      <c r="F478" s="1839">
        <v>1466.47</v>
      </c>
      <c r="G478" s="1840">
        <f t="shared" si="34"/>
        <v>4.5663598183153464E-2</v>
      </c>
      <c r="H478" s="1838">
        <v>41273</v>
      </c>
      <c r="M478" s="1844">
        <f t="shared" si="35"/>
        <v>4.5663598183153464E-2</v>
      </c>
      <c r="N478" s="1823">
        <f t="shared" si="36"/>
        <v>0</v>
      </c>
      <c r="P478" s="1874"/>
      <c r="Q478" s="1875"/>
      <c r="R478" s="1876"/>
      <c r="S478" s="1877"/>
      <c r="T478" s="1877"/>
    </row>
    <row r="479" spans="2:20" x14ac:dyDescent="0.3">
      <c r="B479" s="1838">
        <v>41266</v>
      </c>
      <c r="C479" s="1837">
        <v>413.73</v>
      </c>
      <c r="D479" s="1840">
        <f t="shared" si="33"/>
        <v>4.2718887040677611E-2</v>
      </c>
      <c r="F479" s="1839">
        <v>1402.43</v>
      </c>
      <c r="G479" s="1840">
        <f t="shared" si="34"/>
        <v>-1.9382582246617486E-2</v>
      </c>
      <c r="H479" s="1838">
        <v>41266</v>
      </c>
      <c r="M479" s="1844">
        <f t="shared" si="35"/>
        <v>-1.9382582246617486E-2</v>
      </c>
      <c r="N479" s="1823">
        <f t="shared" si="36"/>
        <v>0</v>
      </c>
      <c r="P479" s="1874"/>
      <c r="Q479" s="1875"/>
      <c r="R479" s="1876"/>
      <c r="S479" s="1877"/>
      <c r="T479" s="1877"/>
    </row>
    <row r="480" spans="2:20" x14ac:dyDescent="0.3">
      <c r="B480" s="1838">
        <v>41259</v>
      </c>
      <c r="C480" s="1837">
        <v>396.78</v>
      </c>
      <c r="D480" s="1840">
        <f t="shared" si="33"/>
        <v>1.1651921164682166E-2</v>
      </c>
      <c r="F480" s="1839">
        <v>1430.15</v>
      </c>
      <c r="G480" s="1840">
        <f t="shared" si="34"/>
        <v>1.1722010781137326E-2</v>
      </c>
      <c r="H480" s="1838">
        <v>41259</v>
      </c>
      <c r="M480" s="1844">
        <f t="shared" si="35"/>
        <v>1.1722010781137326E-2</v>
      </c>
      <c r="N480" s="1823">
        <f t="shared" si="36"/>
        <v>0</v>
      </c>
      <c r="P480" s="1874"/>
      <c r="Q480" s="1875"/>
      <c r="R480" s="1876"/>
      <c r="S480" s="1877"/>
      <c r="T480" s="1877"/>
    </row>
    <row r="481" spans="2:20" x14ac:dyDescent="0.3">
      <c r="B481" s="1838">
        <v>41252</v>
      </c>
      <c r="C481" s="1837">
        <v>392.21</v>
      </c>
      <c r="D481" s="1840">
        <f t="shared" si="33"/>
        <v>2.1912454403334891E-2</v>
      </c>
      <c r="F481" s="1839">
        <v>1413.58</v>
      </c>
      <c r="G481" s="1840">
        <f t="shared" si="34"/>
        <v>-3.1662752896542967E-3</v>
      </c>
      <c r="H481" s="1838">
        <v>41252</v>
      </c>
      <c r="M481" s="1844">
        <f t="shared" si="35"/>
        <v>-3.1662752896542967E-3</v>
      </c>
      <c r="N481" s="1823">
        <f t="shared" si="36"/>
        <v>0</v>
      </c>
      <c r="P481" s="1874"/>
      <c r="Q481" s="1875"/>
      <c r="R481" s="1876"/>
      <c r="S481" s="1877"/>
      <c r="T481" s="1877"/>
    </row>
    <row r="482" spans="2:20" x14ac:dyDescent="0.3">
      <c r="B482" s="1838">
        <v>41245</v>
      </c>
      <c r="C482" s="1837">
        <v>383.8</v>
      </c>
      <c r="D482" s="1840">
        <f t="shared" si="33"/>
        <v>1.5827642792864305E-2</v>
      </c>
      <c r="F482" s="1839">
        <v>1418.07</v>
      </c>
      <c r="G482" s="1840">
        <f t="shared" si="34"/>
        <v>1.3345761132057543E-3</v>
      </c>
      <c r="H482" s="1838">
        <v>41245</v>
      </c>
      <c r="M482" s="1844">
        <f t="shared" si="35"/>
        <v>1.3345761132057543E-3</v>
      </c>
      <c r="N482" s="1823">
        <f t="shared" si="36"/>
        <v>0</v>
      </c>
      <c r="P482" s="1874"/>
      <c r="Q482" s="1875"/>
      <c r="R482" s="1876"/>
      <c r="S482" s="1877"/>
      <c r="T482" s="1877"/>
    </row>
    <row r="483" spans="2:20" x14ac:dyDescent="0.3">
      <c r="B483" s="1838">
        <v>41238</v>
      </c>
      <c r="C483" s="1837">
        <v>377.82</v>
      </c>
      <c r="D483" s="1840">
        <f t="shared" si="33"/>
        <v>-1.0190982683188743E-2</v>
      </c>
      <c r="F483" s="1839">
        <v>1416.18</v>
      </c>
      <c r="G483" s="1840">
        <f t="shared" si="34"/>
        <v>4.9888230493559949E-3</v>
      </c>
      <c r="H483" s="1838">
        <v>41238</v>
      </c>
      <c r="M483" s="1844">
        <f t="shared" si="35"/>
        <v>4.9888230493559949E-3</v>
      </c>
      <c r="N483" s="1823">
        <f t="shared" si="36"/>
        <v>0</v>
      </c>
      <c r="P483" s="1874"/>
      <c r="Q483" s="1875"/>
      <c r="R483" s="1876"/>
      <c r="S483" s="1877"/>
      <c r="T483" s="1877"/>
    </row>
    <row r="484" spans="2:20" x14ac:dyDescent="0.3">
      <c r="B484" s="1838">
        <v>41231</v>
      </c>
      <c r="C484" s="1837">
        <v>381.71</v>
      </c>
      <c r="D484" s="1840">
        <f t="shared" si="33"/>
        <v>-1.0370485597988144E-2</v>
      </c>
      <c r="F484" s="1839">
        <v>1409.15</v>
      </c>
      <c r="G484" s="1840">
        <f t="shared" si="34"/>
        <v>3.6231138041591837E-2</v>
      </c>
      <c r="H484" s="1838">
        <v>41231</v>
      </c>
      <c r="M484" s="1844">
        <f t="shared" si="35"/>
        <v>3.6231138041591837E-2</v>
      </c>
      <c r="N484" s="1823">
        <f t="shared" si="36"/>
        <v>0</v>
      </c>
      <c r="P484" s="1874"/>
      <c r="Q484" s="1875"/>
      <c r="R484" s="1876"/>
      <c r="S484" s="1877"/>
      <c r="T484" s="1877"/>
    </row>
    <row r="485" spans="2:20" x14ac:dyDescent="0.3">
      <c r="B485" s="1838">
        <v>41224</v>
      </c>
      <c r="C485" s="1837">
        <v>385.71</v>
      </c>
      <c r="D485" s="1840">
        <f t="shared" si="33"/>
        <v>-2.585917095497936E-3</v>
      </c>
      <c r="F485" s="1839">
        <v>1359.88</v>
      </c>
      <c r="G485" s="1840">
        <f t="shared" si="34"/>
        <v>-1.4472587600101283E-2</v>
      </c>
      <c r="H485" s="1838">
        <v>41224</v>
      </c>
      <c r="M485" s="1844">
        <f t="shared" si="35"/>
        <v>-1.4472587600101283E-2</v>
      </c>
      <c r="N485" s="1823">
        <f t="shared" si="36"/>
        <v>0</v>
      </c>
      <c r="P485" s="1874"/>
      <c r="Q485" s="1875"/>
      <c r="R485" s="1876"/>
      <c r="S485" s="1877"/>
      <c r="T485" s="1877"/>
    </row>
    <row r="486" spans="2:20" x14ac:dyDescent="0.3">
      <c r="B486" s="1838">
        <v>41217</v>
      </c>
      <c r="C486" s="1837">
        <v>386.71</v>
      </c>
      <c r="D486" s="1840">
        <f t="shared" si="33"/>
        <v>3.0512178223098596E-2</v>
      </c>
      <c r="F486" s="1839">
        <v>1379.85</v>
      </c>
      <c r="G486" s="1840">
        <f t="shared" si="34"/>
        <v>-2.4289350869749815E-2</v>
      </c>
      <c r="H486" s="1838">
        <v>41217</v>
      </c>
      <c r="M486" s="1844">
        <f t="shared" si="35"/>
        <v>-2.4289350869749815E-2</v>
      </c>
      <c r="N486" s="1823">
        <f t="shared" si="36"/>
        <v>0</v>
      </c>
      <c r="P486" s="1874"/>
      <c r="Q486" s="1875"/>
      <c r="R486" s="1876"/>
      <c r="S486" s="1877"/>
      <c r="T486" s="1877"/>
    </row>
    <row r="487" spans="2:20" x14ac:dyDescent="0.3">
      <c r="B487" s="1838">
        <v>41210</v>
      </c>
      <c r="C487" s="1837">
        <v>375.26</v>
      </c>
      <c r="D487" s="1840">
        <f t="shared" si="33"/>
        <v>-4.1970896093949439E-2</v>
      </c>
      <c r="F487" s="1839">
        <v>1414.2</v>
      </c>
      <c r="G487" s="1840">
        <f t="shared" si="34"/>
        <v>1.600634587872074E-3</v>
      </c>
      <c r="H487" s="1838">
        <v>41210</v>
      </c>
      <c r="M487" s="1844">
        <f t="shared" si="35"/>
        <v>1.600634587872074E-3</v>
      </c>
      <c r="N487" s="1823">
        <f t="shared" si="36"/>
        <v>0</v>
      </c>
      <c r="P487" s="1874"/>
      <c r="Q487" s="1875"/>
      <c r="R487" s="1876"/>
      <c r="S487" s="1877"/>
      <c r="T487" s="1877"/>
    </row>
    <row r="488" spans="2:20" x14ac:dyDescent="0.3">
      <c r="B488" s="1838">
        <v>41203</v>
      </c>
      <c r="C488" s="1837">
        <v>391.7</v>
      </c>
      <c r="D488" s="1840">
        <f t="shared" si="33"/>
        <v>-1.6397559199457623E-2</v>
      </c>
      <c r="F488" s="1839">
        <v>1411.94</v>
      </c>
      <c r="G488" s="1840">
        <f t="shared" si="34"/>
        <v>-1.4827064101759047E-2</v>
      </c>
      <c r="H488" s="1838">
        <v>41203</v>
      </c>
      <c r="M488" s="1844">
        <f t="shared" si="35"/>
        <v>-1.4827064101759047E-2</v>
      </c>
      <c r="N488" s="1823">
        <f t="shared" si="36"/>
        <v>0</v>
      </c>
      <c r="P488" s="1874"/>
      <c r="Q488" s="1875"/>
      <c r="R488" s="1876"/>
      <c r="S488" s="1877"/>
      <c r="T488" s="1877"/>
    </row>
    <row r="489" spans="2:20" x14ac:dyDescent="0.3">
      <c r="B489" s="1838">
        <v>41196</v>
      </c>
      <c r="C489" s="1837">
        <v>398.23</v>
      </c>
      <c r="D489" s="1840">
        <f t="shared" si="33"/>
        <v>1.4495338054720586E-2</v>
      </c>
      <c r="F489" s="1839">
        <v>1433.19</v>
      </c>
      <c r="G489" s="1840">
        <f t="shared" si="34"/>
        <v>3.2199581405443212E-3</v>
      </c>
      <c r="H489" s="1838">
        <v>41196</v>
      </c>
      <c r="M489" s="1844">
        <f t="shared" si="35"/>
        <v>3.2199581405443212E-3</v>
      </c>
      <c r="N489" s="1823">
        <f t="shared" si="36"/>
        <v>0</v>
      </c>
      <c r="P489" s="1874"/>
      <c r="Q489" s="1875"/>
      <c r="R489" s="1876"/>
      <c r="S489" s="1877"/>
      <c r="T489" s="1877"/>
    </row>
    <row r="490" spans="2:20" x14ac:dyDescent="0.3">
      <c r="B490" s="1838">
        <v>41189</v>
      </c>
      <c r="C490" s="1837">
        <v>392.54</v>
      </c>
      <c r="D490" s="1840">
        <f t="shared" si="33"/>
        <v>1.1284006595218443E-2</v>
      </c>
      <c r="F490" s="1839">
        <v>1428.59</v>
      </c>
      <c r="G490" s="1840">
        <f t="shared" si="34"/>
        <v>-2.2136584230592948E-2</v>
      </c>
      <c r="H490" s="1838">
        <v>41189</v>
      </c>
      <c r="M490" s="1844">
        <f t="shared" si="35"/>
        <v>-2.2136584230592948E-2</v>
      </c>
      <c r="N490" s="1823">
        <f t="shared" si="36"/>
        <v>0</v>
      </c>
      <c r="P490" s="1874"/>
      <c r="Q490" s="1875"/>
      <c r="R490" s="1876"/>
      <c r="S490" s="1877"/>
      <c r="T490" s="1877"/>
    </row>
    <row r="491" spans="2:20" x14ac:dyDescent="0.3">
      <c r="B491" s="1838">
        <v>41182</v>
      </c>
      <c r="C491" s="1837">
        <v>388.16</v>
      </c>
      <c r="D491" s="1840">
        <f t="shared" si="33"/>
        <v>-1.1233665333570952E-2</v>
      </c>
      <c r="F491" s="1839">
        <v>1460.93</v>
      </c>
      <c r="G491" s="1840">
        <f t="shared" si="34"/>
        <v>1.4062901288983687E-2</v>
      </c>
      <c r="H491" s="1838">
        <v>41182</v>
      </c>
      <c r="M491" s="1844">
        <f t="shared" si="35"/>
        <v>1.4062901288983687E-2</v>
      </c>
      <c r="N491" s="1823">
        <f t="shared" si="36"/>
        <v>0</v>
      </c>
      <c r="P491" s="1874"/>
      <c r="Q491" s="1875"/>
      <c r="R491" s="1876"/>
      <c r="S491" s="1877"/>
      <c r="T491" s="1877"/>
    </row>
    <row r="492" spans="2:20" x14ac:dyDescent="0.3">
      <c r="B492" s="1838">
        <v>41175</v>
      </c>
      <c r="C492" s="1837">
        <v>392.57</v>
      </c>
      <c r="D492" s="1840">
        <f t="shared" si="33"/>
        <v>-7.3581470617983813E-3</v>
      </c>
      <c r="F492" s="1839">
        <v>1440.67</v>
      </c>
      <c r="G492" s="1840">
        <f t="shared" si="34"/>
        <v>-1.3341095092969879E-2</v>
      </c>
      <c r="H492" s="1838">
        <v>41175</v>
      </c>
      <c r="M492" s="1844">
        <f t="shared" si="35"/>
        <v>-1.3341095092969879E-2</v>
      </c>
      <c r="N492" s="1823">
        <f t="shared" si="36"/>
        <v>0</v>
      </c>
      <c r="P492" s="1874"/>
      <c r="Q492" s="1875"/>
      <c r="R492" s="1876"/>
      <c r="S492" s="1877"/>
      <c r="T492" s="1877"/>
    </row>
    <row r="493" spans="2:20" x14ac:dyDescent="0.3">
      <c r="B493" s="1838">
        <v>41168</v>
      </c>
      <c r="C493" s="1837">
        <v>395.48</v>
      </c>
      <c r="D493" s="1840">
        <f t="shared" si="33"/>
        <v>-8.4990097024092437E-3</v>
      </c>
      <c r="F493" s="1839">
        <v>1460.15</v>
      </c>
      <c r="G493" s="1840">
        <f t="shared" si="34"/>
        <v>-3.8341622491931959E-3</v>
      </c>
      <c r="H493" s="1838">
        <v>41168</v>
      </c>
      <c r="M493" s="1844">
        <f t="shared" si="35"/>
        <v>-3.8341622491931959E-3</v>
      </c>
      <c r="N493" s="1823">
        <f t="shared" si="36"/>
        <v>0</v>
      </c>
      <c r="P493" s="1874"/>
      <c r="Q493" s="1875"/>
      <c r="R493" s="1876"/>
      <c r="S493" s="1877"/>
      <c r="T493" s="1877"/>
    </row>
    <row r="494" spans="2:20" x14ac:dyDescent="0.3">
      <c r="B494" s="1838">
        <v>41161</v>
      </c>
      <c r="C494" s="1837">
        <v>398.87</v>
      </c>
      <c r="D494" s="1840">
        <f t="shared" si="33"/>
        <v>3.4212975774194909E-3</v>
      </c>
      <c r="F494" s="1839">
        <v>1465.77</v>
      </c>
      <c r="G494" s="1840">
        <f t="shared" si="34"/>
        <v>1.9368254144875863E-2</v>
      </c>
      <c r="H494" s="1838">
        <v>41161</v>
      </c>
      <c r="M494" s="1844">
        <f t="shared" si="35"/>
        <v>1.9368254144875863E-2</v>
      </c>
      <c r="N494" s="1823">
        <f t="shared" si="36"/>
        <v>0</v>
      </c>
      <c r="P494" s="1874"/>
      <c r="Q494" s="1875"/>
      <c r="R494" s="1876"/>
      <c r="S494" s="1877"/>
      <c r="T494" s="1877"/>
    </row>
    <row r="495" spans="2:20" x14ac:dyDescent="0.3">
      <c r="B495" s="1838">
        <v>41154</v>
      </c>
      <c r="C495" s="1837">
        <v>397.51</v>
      </c>
      <c r="D495" s="1840">
        <f t="shared" si="33"/>
        <v>3.7624362405939138E-3</v>
      </c>
      <c r="F495" s="1839">
        <v>1437.92</v>
      </c>
      <c r="G495" s="1840">
        <f t="shared" si="34"/>
        <v>2.2280993615720446E-2</v>
      </c>
      <c r="H495" s="1838">
        <v>41154</v>
      </c>
      <c r="M495" s="1844">
        <f t="shared" si="35"/>
        <v>2.2280993615720446E-2</v>
      </c>
      <c r="N495" s="1823">
        <f t="shared" si="36"/>
        <v>0</v>
      </c>
      <c r="P495" s="1874"/>
      <c r="Q495" s="1875"/>
      <c r="R495" s="1876"/>
      <c r="S495" s="1877"/>
      <c r="T495" s="1877"/>
    </row>
    <row r="496" spans="2:20" x14ac:dyDescent="0.3">
      <c r="B496" s="1838">
        <v>41147</v>
      </c>
      <c r="C496" s="1837">
        <v>396.02</v>
      </c>
      <c r="D496" s="1840">
        <f t="shared" si="33"/>
        <v>-9.2564795356750995E-3</v>
      </c>
      <c r="F496" s="1839">
        <v>1406.58</v>
      </c>
      <c r="G496" s="1840">
        <f t="shared" si="34"/>
        <v>-3.2243662880104829E-3</v>
      </c>
      <c r="H496" s="1838">
        <v>41147</v>
      </c>
      <c r="M496" s="1844">
        <f t="shared" si="35"/>
        <v>-3.2243662880104829E-3</v>
      </c>
      <c r="N496" s="1823">
        <f t="shared" si="36"/>
        <v>0</v>
      </c>
      <c r="P496" s="1874"/>
      <c r="Q496" s="1875"/>
      <c r="R496" s="1876"/>
      <c r="S496" s="1877"/>
      <c r="T496" s="1877"/>
    </row>
    <row r="497" spans="2:20" x14ac:dyDescent="0.3">
      <c r="B497" s="1838">
        <v>41140</v>
      </c>
      <c r="C497" s="1837">
        <v>399.72</v>
      </c>
      <c r="D497" s="1840">
        <f t="shared" si="33"/>
        <v>-7.7817510670204038E-2</v>
      </c>
      <c r="F497" s="1839">
        <v>1411.13</v>
      </c>
      <c r="G497" s="1840">
        <f t="shared" si="34"/>
        <v>-4.9571275455519981E-3</v>
      </c>
      <c r="H497" s="1838">
        <v>41140</v>
      </c>
      <c r="M497" s="1844">
        <f t="shared" si="35"/>
        <v>-4.9571275455519981E-3</v>
      </c>
      <c r="N497" s="1823">
        <f t="shared" si="36"/>
        <v>0</v>
      </c>
      <c r="P497" s="1874"/>
      <c r="Q497" s="1875"/>
      <c r="R497" s="1876"/>
      <c r="S497" s="1877"/>
      <c r="T497" s="1877"/>
    </row>
    <row r="498" spans="2:20" x14ac:dyDescent="0.3">
      <c r="B498" s="1838">
        <v>41133</v>
      </c>
      <c r="C498" s="1837">
        <v>433.45</v>
      </c>
      <c r="D498" s="1840">
        <f t="shared" si="33"/>
        <v>1.8540276341761475E-2</v>
      </c>
      <c r="F498" s="1839">
        <v>1418.16</v>
      </c>
      <c r="G498" s="1840">
        <f t="shared" si="34"/>
        <v>8.7419178160144106E-3</v>
      </c>
      <c r="H498" s="1838">
        <v>41133</v>
      </c>
      <c r="M498" s="1844">
        <f t="shared" si="35"/>
        <v>8.7419178160144106E-3</v>
      </c>
      <c r="N498" s="1823">
        <f t="shared" si="36"/>
        <v>0</v>
      </c>
      <c r="P498" s="1874"/>
      <c r="Q498" s="1875"/>
      <c r="R498" s="1876"/>
      <c r="S498" s="1877"/>
      <c r="T498" s="1877"/>
    </row>
    <row r="499" spans="2:20" x14ac:dyDescent="0.3">
      <c r="B499" s="1838">
        <v>41126</v>
      </c>
      <c r="C499" s="1837">
        <v>425.56</v>
      </c>
      <c r="D499" s="1840">
        <f t="shared" si="33"/>
        <v>1.7574902560914429E-2</v>
      </c>
      <c r="F499" s="1839">
        <v>1405.87</v>
      </c>
      <c r="G499" s="1840">
        <f t="shared" si="34"/>
        <v>1.069741694764148E-2</v>
      </c>
      <c r="H499" s="1838">
        <v>41126</v>
      </c>
      <c r="M499" s="1844">
        <f t="shared" si="35"/>
        <v>1.069741694764148E-2</v>
      </c>
      <c r="N499" s="1823">
        <f t="shared" si="36"/>
        <v>0</v>
      </c>
      <c r="P499" s="1874"/>
      <c r="Q499" s="1875"/>
      <c r="R499" s="1876"/>
      <c r="S499" s="1877"/>
      <c r="T499" s="1877"/>
    </row>
    <row r="500" spans="2:20" x14ac:dyDescent="0.3">
      <c r="B500" s="1838">
        <v>41119</v>
      </c>
      <c r="C500" s="1837">
        <v>418.21</v>
      </c>
      <c r="D500" s="1840">
        <f t="shared" si="33"/>
        <v>1.222286765417735E-2</v>
      </c>
      <c r="F500" s="1839">
        <v>1390.99</v>
      </c>
      <c r="G500" s="1840">
        <f t="shared" si="34"/>
        <v>3.6220120204621953E-3</v>
      </c>
      <c r="H500" s="1838">
        <v>41119</v>
      </c>
      <c r="M500" s="1844">
        <f t="shared" si="35"/>
        <v>3.6220120204621953E-3</v>
      </c>
      <c r="N500" s="1823">
        <f t="shared" si="36"/>
        <v>0</v>
      </c>
      <c r="P500" s="1874"/>
      <c r="Q500" s="1875"/>
      <c r="R500" s="1876"/>
      <c r="S500" s="1877"/>
      <c r="T500" s="1877"/>
    </row>
    <row r="501" spans="2:20" x14ac:dyDescent="0.3">
      <c r="B501" s="1838">
        <v>41112</v>
      </c>
      <c r="C501" s="1837">
        <v>413.16</v>
      </c>
      <c r="D501" s="1840">
        <f t="shared" si="33"/>
        <v>-2.6644992578980897E-2</v>
      </c>
      <c r="F501" s="1839">
        <v>1385.97</v>
      </c>
      <c r="G501" s="1840">
        <f t="shared" si="34"/>
        <v>1.71062480736206E-2</v>
      </c>
      <c r="H501" s="1838">
        <v>41112</v>
      </c>
      <c r="M501" s="1844">
        <f t="shared" si="35"/>
        <v>1.71062480736206E-2</v>
      </c>
      <c r="N501" s="1823">
        <f t="shared" si="36"/>
        <v>0</v>
      </c>
      <c r="P501" s="1874"/>
      <c r="Q501" s="1875"/>
      <c r="R501" s="1876"/>
      <c r="S501" s="1877"/>
      <c r="T501" s="1877"/>
    </row>
    <row r="502" spans="2:20" x14ac:dyDescent="0.3">
      <c r="B502" s="1838">
        <v>41105</v>
      </c>
      <c r="C502" s="1837">
        <v>424.47</v>
      </c>
      <c r="D502" s="1840">
        <f t="shared" si="33"/>
        <v>1.7962492205861214E-2</v>
      </c>
      <c r="F502" s="1839">
        <v>1362.66</v>
      </c>
      <c r="G502" s="1840">
        <f t="shared" si="34"/>
        <v>4.3337902976166021E-3</v>
      </c>
      <c r="H502" s="1838">
        <v>41105</v>
      </c>
      <c r="M502" s="1844">
        <f t="shared" si="35"/>
        <v>4.3337902976166021E-3</v>
      </c>
      <c r="N502" s="1823">
        <f t="shared" si="36"/>
        <v>0</v>
      </c>
      <c r="P502" s="1874"/>
      <c r="Q502" s="1875"/>
      <c r="R502" s="1876"/>
      <c r="S502" s="1877"/>
      <c r="T502" s="1877"/>
    </row>
    <row r="503" spans="2:20" x14ac:dyDescent="0.3">
      <c r="B503" s="1838">
        <v>41098</v>
      </c>
      <c r="C503" s="1837">
        <v>416.98</v>
      </c>
      <c r="D503" s="1840">
        <f t="shared" si="33"/>
        <v>3.7069131523204124E-3</v>
      </c>
      <c r="F503" s="1839">
        <v>1356.78</v>
      </c>
      <c r="G503" s="1840">
        <f t="shared" si="34"/>
        <v>1.5501815927008167E-3</v>
      </c>
      <c r="H503" s="1838">
        <v>41098</v>
      </c>
      <c r="M503" s="1844">
        <f t="shared" si="35"/>
        <v>1.5501815927008167E-3</v>
      </c>
      <c r="N503" s="1823">
        <f t="shared" si="36"/>
        <v>0</v>
      </c>
      <c r="P503" s="1874"/>
      <c r="Q503" s="1875"/>
      <c r="R503" s="1876"/>
      <c r="S503" s="1877"/>
      <c r="T503" s="1877"/>
    </row>
    <row r="504" spans="2:20" x14ac:dyDescent="0.3">
      <c r="B504" s="1838">
        <v>41091</v>
      </c>
      <c r="C504" s="1837">
        <v>415.44</v>
      </c>
      <c r="D504" s="1840">
        <f t="shared" si="33"/>
        <v>-1.6407415299382055E-2</v>
      </c>
      <c r="F504" s="1839">
        <v>1354.68</v>
      </c>
      <c r="G504" s="1840">
        <f t="shared" si="34"/>
        <v>-5.491278557585022E-3</v>
      </c>
      <c r="H504" s="1838">
        <v>41091</v>
      </c>
      <c r="M504" s="1844">
        <f t="shared" si="35"/>
        <v>-5.491278557585022E-3</v>
      </c>
      <c r="N504" s="1823">
        <f t="shared" si="36"/>
        <v>0</v>
      </c>
      <c r="P504" s="1874"/>
      <c r="Q504" s="1875"/>
      <c r="R504" s="1876"/>
      <c r="S504" s="1877"/>
      <c r="T504" s="1877"/>
    </row>
    <row r="505" spans="2:20" x14ac:dyDescent="0.3">
      <c r="B505" s="1838">
        <v>41084</v>
      </c>
      <c r="C505" s="1837">
        <v>422.37</v>
      </c>
      <c r="D505" s="1840">
        <f t="shared" si="33"/>
        <v>-1.1236744153381606E-2</v>
      </c>
      <c r="F505" s="1839">
        <v>1362.16</v>
      </c>
      <c r="G505" s="1840">
        <f t="shared" si="34"/>
        <v>2.0329283456427705E-2</v>
      </c>
      <c r="H505" s="1838">
        <v>41084</v>
      </c>
      <c r="M505" s="1844">
        <f t="shared" si="35"/>
        <v>2.0329283456427705E-2</v>
      </c>
      <c r="N505" s="1823">
        <f t="shared" si="36"/>
        <v>0</v>
      </c>
      <c r="P505" s="1874"/>
      <c r="Q505" s="1875"/>
      <c r="R505" s="1876"/>
      <c r="S505" s="1877"/>
      <c r="T505" s="1877"/>
    </row>
    <row r="506" spans="2:20" x14ac:dyDescent="0.3">
      <c r="B506" s="1838">
        <v>41077</v>
      </c>
      <c r="C506" s="1837">
        <v>427.17</v>
      </c>
      <c r="D506" s="1840">
        <f t="shared" si="33"/>
        <v>-1.3669214251079365E-2</v>
      </c>
      <c r="F506" s="1839">
        <v>1335.02</v>
      </c>
      <c r="G506" s="1840">
        <f t="shared" si="34"/>
        <v>-5.8234785975990189E-3</v>
      </c>
      <c r="H506" s="1838">
        <v>41077</v>
      </c>
      <c r="M506" s="1844">
        <f t="shared" si="35"/>
        <v>-5.8234785975990189E-3</v>
      </c>
      <c r="N506" s="1823">
        <f t="shared" si="36"/>
        <v>0</v>
      </c>
      <c r="P506" s="1874"/>
      <c r="Q506" s="1875"/>
      <c r="R506" s="1876"/>
      <c r="S506" s="1877"/>
      <c r="T506" s="1877"/>
    </row>
    <row r="507" spans="2:20" x14ac:dyDescent="0.3">
      <c r="B507" s="1838">
        <v>41070</v>
      </c>
      <c r="C507" s="1837">
        <v>433.09</v>
      </c>
      <c r="D507" s="1840">
        <f t="shared" si="33"/>
        <v>4.3890043890049135E-4</v>
      </c>
      <c r="F507" s="1839">
        <v>1342.84</v>
      </c>
      <c r="G507" s="1840">
        <f t="shared" si="34"/>
        <v>1.2959582396692815E-2</v>
      </c>
      <c r="H507" s="1838">
        <v>41070</v>
      </c>
      <c r="M507" s="1844">
        <f t="shared" si="35"/>
        <v>1.2959582396692815E-2</v>
      </c>
      <c r="N507" s="1823">
        <f t="shared" si="36"/>
        <v>0</v>
      </c>
      <c r="P507" s="1874"/>
      <c r="Q507" s="1875"/>
      <c r="R507" s="1876"/>
      <c r="S507" s="1877"/>
      <c r="T507" s="1877"/>
    </row>
    <row r="508" spans="2:20" x14ac:dyDescent="0.3">
      <c r="B508" s="1838">
        <v>41063</v>
      </c>
      <c r="C508" s="1837">
        <v>432.9</v>
      </c>
      <c r="D508" s="1840">
        <f t="shared" si="33"/>
        <v>9.5615671641791078E-3</v>
      </c>
      <c r="F508" s="1839">
        <v>1325.66</v>
      </c>
      <c r="G508" s="1840">
        <f t="shared" si="34"/>
        <v>3.726017965008932E-2</v>
      </c>
      <c r="H508" s="1838">
        <v>41063</v>
      </c>
      <c r="M508" s="1844">
        <f t="shared" si="35"/>
        <v>3.726017965008932E-2</v>
      </c>
      <c r="N508" s="1823">
        <f t="shared" si="36"/>
        <v>0</v>
      </c>
      <c r="P508" s="1874"/>
      <c r="Q508" s="1875"/>
      <c r="R508" s="1876"/>
      <c r="S508" s="1877"/>
      <c r="T508" s="1877"/>
    </row>
    <row r="509" spans="2:20" x14ac:dyDescent="0.3">
      <c r="B509" s="1838">
        <v>41056</v>
      </c>
      <c r="C509" s="1837">
        <v>428.8</v>
      </c>
      <c r="D509" s="1840">
        <f t="shared" si="33"/>
        <v>-1.961680918194697E-2</v>
      </c>
      <c r="F509" s="1839">
        <v>1278.04</v>
      </c>
      <c r="G509" s="1840">
        <f t="shared" si="34"/>
        <v>-3.018621663049581E-2</v>
      </c>
      <c r="H509" s="1838">
        <v>41056</v>
      </c>
      <c r="M509" s="1844">
        <f t="shared" si="35"/>
        <v>-3.018621663049581E-2</v>
      </c>
      <c r="N509" s="1823">
        <f t="shared" si="36"/>
        <v>0</v>
      </c>
      <c r="P509" s="1874"/>
      <c r="Q509" s="1875"/>
      <c r="R509" s="1876"/>
      <c r="S509" s="1877"/>
      <c r="T509" s="1877"/>
    </row>
    <row r="510" spans="2:20" x14ac:dyDescent="0.3">
      <c r="B510" s="1838">
        <v>41049</v>
      </c>
      <c r="C510" s="1837">
        <v>437.38</v>
      </c>
      <c r="D510" s="1840">
        <f t="shared" si="33"/>
        <v>5.5868490631107992E-3</v>
      </c>
      <c r="F510" s="1839">
        <v>1317.82</v>
      </c>
      <c r="G510" s="1840">
        <f t="shared" si="34"/>
        <v>1.7448773181389932E-2</v>
      </c>
      <c r="H510" s="1838">
        <v>41049</v>
      </c>
      <c r="M510" s="1844">
        <f t="shared" si="35"/>
        <v>1.7448773181389932E-2</v>
      </c>
      <c r="N510" s="1823">
        <f t="shared" si="36"/>
        <v>0</v>
      </c>
      <c r="P510" s="1874"/>
      <c r="Q510" s="1875"/>
      <c r="R510" s="1876"/>
      <c r="S510" s="1877"/>
      <c r="T510" s="1877"/>
    </row>
    <row r="511" spans="2:20" x14ac:dyDescent="0.3">
      <c r="B511" s="1838">
        <v>41042</v>
      </c>
      <c r="C511" s="1837">
        <v>434.95</v>
      </c>
      <c r="D511" s="1840">
        <f t="shared" si="33"/>
        <v>-9.4042907727556857E-2</v>
      </c>
      <c r="F511" s="1839">
        <v>1295.22</v>
      </c>
      <c r="G511" s="1840">
        <f t="shared" si="34"/>
        <v>-4.2980958925365242E-2</v>
      </c>
      <c r="H511" s="1838">
        <v>41042</v>
      </c>
      <c r="M511" s="1844">
        <f t="shared" si="35"/>
        <v>-4.2980958925365242E-2</v>
      </c>
      <c r="N511" s="1823">
        <f t="shared" si="36"/>
        <v>0</v>
      </c>
      <c r="P511" s="1874"/>
      <c r="Q511" s="1875"/>
      <c r="R511" s="1876"/>
      <c r="S511" s="1877"/>
      <c r="T511" s="1877"/>
    </row>
    <row r="512" spans="2:20" x14ac:dyDescent="0.3">
      <c r="B512" s="1838">
        <v>41035</v>
      </c>
      <c r="C512" s="1837">
        <v>480.1</v>
      </c>
      <c r="D512" s="1840">
        <f t="shared" si="33"/>
        <v>7.9358414511252473E-3</v>
      </c>
      <c r="F512" s="1839">
        <v>1353.39</v>
      </c>
      <c r="G512" s="1840">
        <f t="shared" si="34"/>
        <v>-1.1474691403111414E-2</v>
      </c>
      <c r="H512" s="1838">
        <v>41035</v>
      </c>
      <c r="M512" s="1844">
        <f t="shared" si="35"/>
        <v>-1.1474691403111414E-2</v>
      </c>
      <c r="N512" s="1823">
        <f t="shared" si="36"/>
        <v>0</v>
      </c>
      <c r="P512" s="1874"/>
      <c r="Q512" s="1875"/>
      <c r="R512" s="1876"/>
      <c r="S512" s="1877"/>
      <c r="T512" s="1877"/>
    </row>
    <row r="513" spans="2:20" x14ac:dyDescent="0.3">
      <c r="B513" s="1838">
        <v>41028</v>
      </c>
      <c r="C513" s="1837">
        <v>476.32</v>
      </c>
      <c r="D513" s="1840">
        <f t="shared" si="33"/>
        <v>5.3823585283998554E-3</v>
      </c>
      <c r="F513" s="1839">
        <v>1369.1</v>
      </c>
      <c r="G513" s="1840">
        <f t="shared" si="34"/>
        <v>-2.4412837760802608E-2</v>
      </c>
      <c r="H513" s="1838">
        <v>41028</v>
      </c>
      <c r="M513" s="1844">
        <f t="shared" si="35"/>
        <v>-2.4412837760802608E-2</v>
      </c>
      <c r="N513" s="1823">
        <f t="shared" si="36"/>
        <v>0</v>
      </c>
      <c r="P513" s="1874"/>
      <c r="Q513" s="1875"/>
      <c r="R513" s="1876"/>
      <c r="S513" s="1877"/>
      <c r="T513" s="1877"/>
    </row>
    <row r="514" spans="2:20" x14ac:dyDescent="0.3">
      <c r="B514" s="1838">
        <v>41021</v>
      </c>
      <c r="C514" s="1837">
        <v>473.77</v>
      </c>
      <c r="D514" s="1840">
        <f t="shared" si="33"/>
        <v>1.7285063986944849E-2</v>
      </c>
      <c r="F514" s="1839">
        <v>1403.36</v>
      </c>
      <c r="G514" s="1840">
        <f t="shared" si="34"/>
        <v>1.8011940255199255E-2</v>
      </c>
      <c r="H514" s="1838">
        <v>41021</v>
      </c>
      <c r="M514" s="1844">
        <f t="shared" si="35"/>
        <v>1.8011940255199255E-2</v>
      </c>
      <c r="N514" s="1823">
        <f t="shared" si="36"/>
        <v>0</v>
      </c>
      <c r="P514" s="1874"/>
      <c r="Q514" s="1875"/>
      <c r="R514" s="1876"/>
      <c r="S514" s="1877"/>
      <c r="T514" s="1877"/>
    </row>
    <row r="515" spans="2:20" x14ac:dyDescent="0.3">
      <c r="B515" s="1838">
        <v>41014</v>
      </c>
      <c r="C515" s="1837">
        <v>465.72</v>
      </c>
      <c r="D515" s="1840">
        <f t="shared" si="33"/>
        <v>6.9186197353627854E-3</v>
      </c>
      <c r="F515" s="1839">
        <v>1378.53</v>
      </c>
      <c r="G515" s="1840">
        <f t="shared" si="34"/>
        <v>6.0353509552930618E-3</v>
      </c>
      <c r="H515" s="1838">
        <v>41014</v>
      </c>
      <c r="M515" s="1844">
        <f t="shared" si="35"/>
        <v>6.0353509552930618E-3</v>
      </c>
      <c r="N515" s="1823">
        <f t="shared" si="36"/>
        <v>0</v>
      </c>
      <c r="P515" s="1874"/>
      <c r="Q515" s="1875"/>
      <c r="R515" s="1876"/>
      <c r="S515" s="1877"/>
      <c r="T515" s="1877"/>
    </row>
    <row r="516" spans="2:20" x14ac:dyDescent="0.3">
      <c r="B516" s="1838">
        <v>41007</v>
      </c>
      <c r="C516" s="1837">
        <v>462.52</v>
      </c>
      <c r="D516" s="1840">
        <f t="shared" si="33"/>
        <v>3.3702842839263392E-2</v>
      </c>
      <c r="F516" s="1839">
        <v>1370.26</v>
      </c>
      <c r="G516" s="1840">
        <f t="shared" si="34"/>
        <v>-1.9898718242160607E-2</v>
      </c>
      <c r="H516" s="1838">
        <v>41007</v>
      </c>
      <c r="M516" s="1844">
        <f t="shared" si="35"/>
        <v>-1.9898718242160607E-2</v>
      </c>
      <c r="N516" s="1823">
        <f t="shared" si="36"/>
        <v>0</v>
      </c>
      <c r="P516" s="1874"/>
      <c r="Q516" s="1875"/>
      <c r="R516" s="1876"/>
      <c r="S516" s="1877"/>
      <c r="T516" s="1877"/>
    </row>
    <row r="517" spans="2:20" x14ac:dyDescent="0.3">
      <c r="B517" s="1838">
        <v>41000</v>
      </c>
      <c r="C517" s="1837">
        <v>447.44</v>
      </c>
      <c r="D517" s="1840">
        <f t="shared" si="33"/>
        <v>1.4534158674013087E-2</v>
      </c>
      <c r="F517" s="1839">
        <v>1398.08</v>
      </c>
      <c r="G517" s="1840">
        <f t="shared" si="34"/>
        <v>-7.3767989378545895E-3</v>
      </c>
      <c r="H517" s="1838">
        <v>41000</v>
      </c>
      <c r="M517" s="1844">
        <f t="shared" si="35"/>
        <v>-7.3767989378545895E-3</v>
      </c>
      <c r="N517" s="1823">
        <f t="shared" si="36"/>
        <v>0</v>
      </c>
      <c r="P517" s="1874"/>
      <c r="Q517" s="1875"/>
      <c r="R517" s="1876"/>
      <c r="S517" s="1877"/>
      <c r="T517" s="1877"/>
    </row>
    <row r="518" spans="2:20" x14ac:dyDescent="0.3">
      <c r="B518" s="1838">
        <v>40993</v>
      </c>
      <c r="C518" s="1837">
        <v>441.03</v>
      </c>
      <c r="D518" s="1840">
        <f t="shared" si="33"/>
        <v>-2.8782206562431245E-2</v>
      </c>
      <c r="F518" s="1839">
        <v>1408.47</v>
      </c>
      <c r="G518" s="1840">
        <f t="shared" si="34"/>
        <v>8.1310705670993855E-3</v>
      </c>
      <c r="H518" s="1838">
        <v>40993</v>
      </c>
      <c r="M518" s="1844">
        <f t="shared" si="35"/>
        <v>8.1310705670993855E-3</v>
      </c>
      <c r="N518" s="1823">
        <f t="shared" si="36"/>
        <v>0</v>
      </c>
      <c r="P518" s="1874"/>
      <c r="Q518" s="1875"/>
      <c r="R518" s="1876"/>
      <c r="S518" s="1877"/>
      <c r="T518" s="1877"/>
    </row>
    <row r="519" spans="2:20" x14ac:dyDescent="0.3">
      <c r="B519" s="1838">
        <v>40986</v>
      </c>
      <c r="C519" s="1837">
        <v>454.1</v>
      </c>
      <c r="D519" s="1840">
        <f t="shared" ref="D519:D577" si="37">C519/C520-1</f>
        <v>3.5528596187175188E-2</v>
      </c>
      <c r="F519" s="1839">
        <v>1397.11</v>
      </c>
      <c r="G519" s="1840">
        <f t="shared" ref="G519:G577" si="38">F519/F520-1</f>
        <v>-5.0278812394511929E-3</v>
      </c>
      <c r="H519" s="1838">
        <v>40986</v>
      </c>
      <c r="M519" s="1844">
        <f t="shared" ref="M519:M577" si="39">F519/F520-1</f>
        <v>-5.0278812394511929E-3</v>
      </c>
      <c r="N519" s="1823">
        <f t="shared" ref="N519:N578" si="40">H519-B519</f>
        <v>0</v>
      </c>
      <c r="P519" s="1874"/>
      <c r="Q519" s="1875"/>
      <c r="R519" s="1876"/>
      <c r="S519" s="1877"/>
      <c r="T519" s="1877"/>
    </row>
    <row r="520" spans="2:20" x14ac:dyDescent="0.3">
      <c r="B520" s="1838">
        <v>40979</v>
      </c>
      <c r="C520" s="1837">
        <v>438.52</v>
      </c>
      <c r="D520" s="1840">
        <f t="shared" si="37"/>
        <v>1.4834185739742045E-2</v>
      </c>
      <c r="F520" s="1839">
        <v>1404.17</v>
      </c>
      <c r="G520" s="1840">
        <f t="shared" si="38"/>
        <v>2.4291143580354113E-2</v>
      </c>
      <c r="H520" s="1838">
        <v>40979</v>
      </c>
      <c r="M520" s="1844">
        <f t="shared" si="39"/>
        <v>2.4291143580354113E-2</v>
      </c>
      <c r="N520" s="1823">
        <f t="shared" si="40"/>
        <v>0</v>
      </c>
      <c r="P520" s="1874"/>
      <c r="Q520" s="1875"/>
      <c r="R520" s="1876"/>
      <c r="S520" s="1877"/>
      <c r="T520" s="1877"/>
    </row>
    <row r="521" spans="2:20" x14ac:dyDescent="0.3">
      <c r="B521" s="1838">
        <v>40972</v>
      </c>
      <c r="C521" s="1837">
        <v>432.11</v>
      </c>
      <c r="D521" s="1840">
        <f t="shared" si="37"/>
        <v>-1.7038216560509523E-2</v>
      </c>
      <c r="F521" s="1839">
        <v>1370.87</v>
      </c>
      <c r="G521" s="1840">
        <f t="shared" si="38"/>
        <v>9.0535400071534156E-4</v>
      </c>
      <c r="H521" s="1838">
        <v>40972</v>
      </c>
      <c r="M521" s="1844">
        <f t="shared" si="39"/>
        <v>9.0535400071534156E-4</v>
      </c>
      <c r="N521" s="1823">
        <f t="shared" si="40"/>
        <v>0</v>
      </c>
      <c r="P521" s="1874"/>
      <c r="Q521" s="1875"/>
      <c r="R521" s="1876"/>
      <c r="S521" s="1877"/>
      <c r="T521" s="1877"/>
    </row>
    <row r="522" spans="2:20" x14ac:dyDescent="0.3">
      <c r="B522" s="1838">
        <v>40965</v>
      </c>
      <c r="C522" s="1837">
        <v>439.6</v>
      </c>
      <c r="D522" s="1840">
        <f t="shared" si="37"/>
        <v>3.8188130269465992E-2</v>
      </c>
      <c r="F522" s="1839">
        <v>1369.63</v>
      </c>
      <c r="G522" s="1840">
        <f t="shared" si="38"/>
        <v>2.8482727312666434E-3</v>
      </c>
      <c r="H522" s="1838">
        <v>40965</v>
      </c>
      <c r="M522" s="1844">
        <f t="shared" si="39"/>
        <v>2.8482727312666434E-3</v>
      </c>
      <c r="N522" s="1823">
        <f t="shared" si="40"/>
        <v>0</v>
      </c>
      <c r="P522" s="1874"/>
      <c r="Q522" s="1875"/>
      <c r="R522" s="1876"/>
      <c r="S522" s="1877"/>
      <c r="T522" s="1877"/>
    </row>
    <row r="523" spans="2:20" x14ac:dyDescent="0.3">
      <c r="B523" s="1838">
        <v>40958</v>
      </c>
      <c r="C523" s="1837">
        <v>423.43</v>
      </c>
      <c r="D523" s="1840">
        <f t="shared" si="37"/>
        <v>4.9913215968261815E-2</v>
      </c>
      <c r="F523" s="1839">
        <v>1365.74</v>
      </c>
      <c r="G523" s="1840">
        <f t="shared" si="38"/>
        <v>3.3131799916252813E-3</v>
      </c>
      <c r="H523" s="1838">
        <v>40958</v>
      </c>
      <c r="M523" s="1844">
        <f t="shared" si="39"/>
        <v>3.3131799916252813E-3</v>
      </c>
      <c r="N523" s="1823">
        <f t="shared" si="40"/>
        <v>0</v>
      </c>
      <c r="P523" s="1874"/>
      <c r="Q523" s="1875"/>
      <c r="R523" s="1876"/>
      <c r="S523" s="1877"/>
      <c r="T523" s="1877"/>
    </row>
    <row r="524" spans="2:20" x14ac:dyDescent="0.3">
      <c r="B524" s="1838">
        <v>40951</v>
      </c>
      <c r="C524" s="1837">
        <v>403.3</v>
      </c>
      <c r="D524" s="1840">
        <f t="shared" si="37"/>
        <v>-4.2467038664756318E-3</v>
      </c>
      <c r="F524" s="1839">
        <v>1361.23</v>
      </c>
      <c r="G524" s="1840">
        <f t="shared" si="38"/>
        <v>1.3845855925638917E-2</v>
      </c>
      <c r="H524" s="1838">
        <v>40951</v>
      </c>
      <c r="M524" s="1844">
        <f t="shared" si="39"/>
        <v>1.3845855925638917E-2</v>
      </c>
      <c r="N524" s="1823">
        <f t="shared" si="40"/>
        <v>0</v>
      </c>
      <c r="P524" s="1874"/>
      <c r="Q524" s="1875"/>
      <c r="R524" s="1876"/>
      <c r="S524" s="1877"/>
      <c r="T524" s="1877"/>
    </row>
    <row r="525" spans="2:20" x14ac:dyDescent="0.3">
      <c r="B525" s="1838">
        <v>40944</v>
      </c>
      <c r="C525" s="1837">
        <v>405.02</v>
      </c>
      <c r="D525" s="1840">
        <f t="shared" si="37"/>
        <v>8.1644844924577686E-3</v>
      </c>
      <c r="F525" s="1839">
        <v>1342.64</v>
      </c>
      <c r="G525" s="1840">
        <f t="shared" si="38"/>
        <v>-1.6804223362332227E-3</v>
      </c>
      <c r="H525" s="1838">
        <v>40944</v>
      </c>
      <c r="M525" s="1844">
        <f t="shared" si="39"/>
        <v>-1.6804223362332227E-3</v>
      </c>
      <c r="N525" s="1823">
        <f t="shared" si="40"/>
        <v>0</v>
      </c>
      <c r="P525" s="1874"/>
      <c r="Q525" s="1875"/>
      <c r="R525" s="1876"/>
      <c r="S525" s="1877"/>
      <c r="T525" s="1877"/>
    </row>
    <row r="526" spans="2:20" x14ac:dyDescent="0.3">
      <c r="B526" s="1838">
        <v>40937</v>
      </c>
      <c r="C526" s="1837">
        <v>401.74</v>
      </c>
      <c r="D526" s="1840">
        <f t="shared" si="37"/>
        <v>7.7050938337801522E-2</v>
      </c>
      <c r="F526" s="1839">
        <v>1344.9</v>
      </c>
      <c r="G526" s="1840">
        <f t="shared" si="38"/>
        <v>2.244218400766318E-2</v>
      </c>
      <c r="H526" s="1838">
        <v>40937</v>
      </c>
      <c r="M526" s="1844">
        <f t="shared" si="39"/>
        <v>2.244218400766318E-2</v>
      </c>
      <c r="N526" s="1823">
        <f t="shared" si="40"/>
        <v>0</v>
      </c>
      <c r="P526" s="1874"/>
      <c r="Q526" s="1875"/>
      <c r="R526" s="1876"/>
      <c r="S526" s="1877"/>
      <c r="T526" s="1877"/>
    </row>
    <row r="527" spans="2:20" x14ac:dyDescent="0.3">
      <c r="B527" s="1838">
        <v>40923</v>
      </c>
      <c r="C527" s="1837">
        <v>373</v>
      </c>
      <c r="D527" s="1840">
        <f t="shared" si="37"/>
        <v>5.2690994270877534E-2</v>
      </c>
      <c r="F527" s="1839">
        <v>1315.38</v>
      </c>
      <c r="G527" s="1840">
        <f t="shared" si="38"/>
        <v>2.0394231589726308E-2</v>
      </c>
      <c r="H527" s="1838">
        <v>40923</v>
      </c>
      <c r="M527" s="1844">
        <f t="shared" si="39"/>
        <v>2.0394231589726308E-2</v>
      </c>
      <c r="N527" s="1823">
        <f t="shared" si="40"/>
        <v>0</v>
      </c>
      <c r="P527" s="1874"/>
      <c r="Q527" s="1875"/>
      <c r="R527" s="1876"/>
      <c r="S527" s="1877"/>
      <c r="T527" s="1877"/>
    </row>
    <row r="528" spans="2:20" x14ac:dyDescent="0.3">
      <c r="B528" s="1838">
        <v>40916</v>
      </c>
      <c r="C528" s="1837">
        <v>354.33</v>
      </c>
      <c r="D528" s="1840">
        <f t="shared" si="37"/>
        <v>5.2267395242479031E-2</v>
      </c>
      <c r="F528" s="1839">
        <v>1289.0899999999999</v>
      </c>
      <c r="G528" s="1840">
        <f t="shared" si="38"/>
        <v>8.8276034778254076E-3</v>
      </c>
      <c r="H528" s="1838">
        <v>40916</v>
      </c>
      <c r="M528" s="1844">
        <f t="shared" si="39"/>
        <v>8.8276034778254076E-3</v>
      </c>
      <c r="N528" s="1823">
        <f t="shared" si="40"/>
        <v>0</v>
      </c>
      <c r="P528" s="1874"/>
      <c r="Q528" s="1875"/>
      <c r="R528" s="1876"/>
      <c r="S528" s="1877"/>
      <c r="T528" s="1877"/>
    </row>
    <row r="529" spans="2:20" x14ac:dyDescent="0.3">
      <c r="B529" s="1838">
        <v>40909</v>
      </c>
      <c r="C529" s="1837">
        <v>336.73</v>
      </c>
      <c r="D529" s="1840">
        <f t="shared" si="37"/>
        <v>-4.2156165552552971E-2</v>
      </c>
      <c r="F529" s="1839">
        <v>1277.81</v>
      </c>
      <c r="G529" s="1840">
        <f t="shared" si="38"/>
        <v>1.6070292620865123E-2</v>
      </c>
      <c r="H529" s="1838">
        <v>40909</v>
      </c>
      <c r="M529" s="1844">
        <f t="shared" si="39"/>
        <v>1.6070292620865123E-2</v>
      </c>
      <c r="N529" s="1823">
        <f t="shared" si="40"/>
        <v>0</v>
      </c>
      <c r="P529" s="1874"/>
      <c r="Q529" s="1875"/>
      <c r="R529" s="1876"/>
      <c r="S529" s="1877"/>
      <c r="T529" s="1877"/>
    </row>
    <row r="530" spans="2:20" x14ac:dyDescent="0.3">
      <c r="B530" s="1838">
        <v>40902</v>
      </c>
      <c r="C530" s="1837">
        <v>351.55</v>
      </c>
      <c r="D530" s="1840">
        <f t="shared" si="37"/>
        <v>-1.3082170629684642E-2</v>
      </c>
      <c r="F530" s="1839">
        <v>1257.5999999999999</v>
      </c>
      <c r="G530" s="1840">
        <f t="shared" si="38"/>
        <v>-6.1090782641682884E-3</v>
      </c>
      <c r="H530" s="1838">
        <v>40902</v>
      </c>
      <c r="M530" s="1844">
        <f t="shared" si="39"/>
        <v>-6.1090782641682884E-3</v>
      </c>
      <c r="N530" s="1823">
        <f t="shared" si="40"/>
        <v>0</v>
      </c>
      <c r="P530" s="1874"/>
      <c r="Q530" s="1875"/>
      <c r="R530" s="1876"/>
      <c r="S530" s="1877"/>
      <c r="T530" s="1877"/>
    </row>
    <row r="531" spans="2:20" x14ac:dyDescent="0.3">
      <c r="B531" s="1838">
        <v>40895</v>
      </c>
      <c r="C531" s="1837">
        <v>356.21</v>
      </c>
      <c r="D531" s="1840">
        <f t="shared" si="37"/>
        <v>-2.6828402043548305E-2</v>
      </c>
      <c r="F531" s="1839">
        <v>1265.33</v>
      </c>
      <c r="G531" s="1840">
        <f t="shared" si="38"/>
        <v>3.7444861682763841E-2</v>
      </c>
      <c r="H531" s="1838">
        <v>40895</v>
      </c>
      <c r="M531" s="1844">
        <f t="shared" si="39"/>
        <v>3.7444861682763841E-2</v>
      </c>
      <c r="N531" s="1823">
        <f t="shared" si="40"/>
        <v>0</v>
      </c>
      <c r="P531" s="1874"/>
      <c r="Q531" s="1875"/>
      <c r="R531" s="1876"/>
      <c r="S531" s="1877"/>
      <c r="T531" s="1877"/>
    </row>
    <row r="532" spans="2:20" x14ac:dyDescent="0.3">
      <c r="B532" s="1838">
        <v>40888</v>
      </c>
      <c r="C532" s="1837">
        <v>366.03</v>
      </c>
      <c r="D532" s="1840">
        <f t="shared" si="37"/>
        <v>-2.9510022271715064E-2</v>
      </c>
      <c r="F532" s="1839">
        <v>1219.6600000000001</v>
      </c>
      <c r="G532" s="1840">
        <f t="shared" si="38"/>
        <v>-2.8306471530206601E-2</v>
      </c>
      <c r="H532" s="1838">
        <v>40888</v>
      </c>
      <c r="M532" s="1844">
        <f t="shared" si="39"/>
        <v>-2.8306471530206601E-2</v>
      </c>
      <c r="N532" s="1823">
        <f t="shared" si="40"/>
        <v>0</v>
      </c>
      <c r="P532" s="1874"/>
      <c r="Q532" s="1875"/>
      <c r="R532" s="1876"/>
      <c r="S532" s="1877"/>
      <c r="T532" s="1877"/>
    </row>
    <row r="533" spans="2:20" x14ac:dyDescent="0.3">
      <c r="B533" s="1838">
        <v>40881</v>
      </c>
      <c r="C533" s="1837">
        <v>377.16</v>
      </c>
      <c r="D533" s="1840">
        <f t="shared" si="37"/>
        <v>-1.7505470459518557E-2</v>
      </c>
      <c r="F533" s="1839">
        <v>1255.19</v>
      </c>
      <c r="G533" s="1840">
        <f t="shared" si="38"/>
        <v>8.7681229305300867E-3</v>
      </c>
      <c r="H533" s="1838">
        <v>40881</v>
      </c>
      <c r="M533" s="1844">
        <f t="shared" si="39"/>
        <v>8.7681229305300867E-3</v>
      </c>
      <c r="N533" s="1823">
        <f t="shared" si="40"/>
        <v>0</v>
      </c>
      <c r="P533" s="1874"/>
      <c r="Q533" s="1875"/>
      <c r="R533" s="1876"/>
      <c r="S533" s="1877"/>
      <c r="T533" s="1877"/>
    </row>
    <row r="534" spans="2:20" x14ac:dyDescent="0.3">
      <c r="B534" s="1838">
        <v>40874</v>
      </c>
      <c r="C534" s="1837">
        <v>383.88</v>
      </c>
      <c r="D534" s="1840">
        <f t="shared" si="37"/>
        <v>1.38254858484399E-3</v>
      </c>
      <c r="F534" s="1839">
        <v>1244.28</v>
      </c>
      <c r="G534" s="1840">
        <f t="shared" si="38"/>
        <v>7.3886438761683548E-2</v>
      </c>
      <c r="H534" s="1838">
        <v>40874</v>
      </c>
      <c r="M534" s="1844">
        <f t="shared" si="39"/>
        <v>7.3886438761683548E-2</v>
      </c>
      <c r="N534" s="1823">
        <f t="shared" si="40"/>
        <v>0</v>
      </c>
      <c r="P534" s="1874"/>
      <c r="Q534" s="1875"/>
      <c r="R534" s="1876"/>
      <c r="S534" s="1877"/>
      <c r="T534" s="1877"/>
    </row>
    <row r="535" spans="2:20" x14ac:dyDescent="0.3">
      <c r="B535" s="1838">
        <v>40867</v>
      </c>
      <c r="C535" s="1837">
        <v>383.35</v>
      </c>
      <c r="D535" s="1840">
        <f t="shared" si="37"/>
        <v>9.8256150887729987E-3</v>
      </c>
      <c r="F535" s="1839">
        <v>1158.67</v>
      </c>
      <c r="G535" s="1840">
        <f t="shared" si="38"/>
        <v>-4.6872043762596127E-2</v>
      </c>
      <c r="H535" s="1838">
        <v>40867</v>
      </c>
      <c r="M535" s="1844">
        <f t="shared" si="39"/>
        <v>-4.6872043762596127E-2</v>
      </c>
      <c r="N535" s="1823">
        <f t="shared" si="40"/>
        <v>0</v>
      </c>
      <c r="P535" s="1874"/>
      <c r="Q535" s="1875"/>
      <c r="R535" s="1876"/>
      <c r="S535" s="1877"/>
      <c r="T535" s="1877"/>
    </row>
    <row r="536" spans="2:20" x14ac:dyDescent="0.3">
      <c r="B536" s="1838">
        <v>40860</v>
      </c>
      <c r="C536" s="1837">
        <v>379.62</v>
      </c>
      <c r="D536" s="1840">
        <f t="shared" si="37"/>
        <v>-4.2089326267978788E-2</v>
      </c>
      <c r="F536" s="1839">
        <v>1215.6500000000001</v>
      </c>
      <c r="G536" s="1840">
        <f t="shared" si="38"/>
        <v>-3.8137437195869595E-2</v>
      </c>
      <c r="H536" s="1838">
        <v>40860</v>
      </c>
      <c r="M536" s="1844">
        <f t="shared" si="39"/>
        <v>-3.8137437195869595E-2</v>
      </c>
      <c r="N536" s="1823">
        <f t="shared" si="40"/>
        <v>0</v>
      </c>
      <c r="P536" s="1874"/>
      <c r="Q536" s="1875"/>
      <c r="R536" s="1876"/>
      <c r="S536" s="1877"/>
      <c r="T536" s="1877"/>
    </row>
    <row r="537" spans="2:20" x14ac:dyDescent="0.3">
      <c r="B537" s="1838">
        <v>40853</v>
      </c>
      <c r="C537" s="1837">
        <v>396.3</v>
      </c>
      <c r="D537" s="1840">
        <f t="shared" si="37"/>
        <v>-3.4756557956012291E-2</v>
      </c>
      <c r="F537" s="1839">
        <v>1263.8499999999999</v>
      </c>
      <c r="G537" s="1840">
        <f t="shared" si="38"/>
        <v>8.4741029180597227E-3</v>
      </c>
      <c r="H537" s="1838">
        <v>40853</v>
      </c>
      <c r="M537" s="1844">
        <f t="shared" si="39"/>
        <v>8.4741029180597227E-3</v>
      </c>
      <c r="N537" s="1823">
        <f t="shared" si="40"/>
        <v>0</v>
      </c>
      <c r="P537" s="1874"/>
      <c r="Q537" s="1875"/>
      <c r="R537" s="1876"/>
      <c r="S537" s="1877"/>
      <c r="T537" s="1877"/>
    </row>
    <row r="538" spans="2:20" x14ac:dyDescent="0.3">
      <c r="B538" s="1838">
        <v>40846</v>
      </c>
      <c r="C538" s="1837">
        <v>410.57</v>
      </c>
      <c r="D538" s="1840">
        <f t="shared" si="37"/>
        <v>-2.7246665245101553E-2</v>
      </c>
      <c r="F538" s="1839">
        <v>1253.23</v>
      </c>
      <c r="G538" s="1840">
        <f t="shared" si="38"/>
        <v>-2.479203791174156E-2</v>
      </c>
      <c r="H538" s="1838">
        <v>40846</v>
      </c>
      <c r="M538" s="1844">
        <f t="shared" si="39"/>
        <v>-2.479203791174156E-2</v>
      </c>
      <c r="N538" s="1823">
        <f t="shared" si="40"/>
        <v>0</v>
      </c>
      <c r="P538" s="1874"/>
      <c r="Q538" s="1875"/>
      <c r="R538" s="1876"/>
      <c r="S538" s="1877"/>
      <c r="T538" s="1877"/>
    </row>
    <row r="539" spans="2:20" x14ac:dyDescent="0.3">
      <c r="B539" s="1838">
        <v>40839</v>
      </c>
      <c r="C539" s="1837">
        <v>422.07</v>
      </c>
      <c r="D539" s="1840">
        <f t="shared" si="37"/>
        <v>2.6859353331873725E-2</v>
      </c>
      <c r="F539" s="1839">
        <v>1285.0899999999999</v>
      </c>
      <c r="G539" s="1840">
        <f t="shared" si="38"/>
        <v>3.7827579244902099E-2</v>
      </c>
      <c r="H539" s="1838">
        <v>40839</v>
      </c>
      <c r="M539" s="1844">
        <f t="shared" si="39"/>
        <v>3.7827579244902099E-2</v>
      </c>
      <c r="N539" s="1823">
        <f t="shared" si="40"/>
        <v>0</v>
      </c>
      <c r="P539" s="1874"/>
      <c r="Q539" s="1875"/>
      <c r="R539" s="1876"/>
      <c r="S539" s="1877"/>
      <c r="T539" s="1877"/>
    </row>
    <row r="540" spans="2:20" x14ac:dyDescent="0.3">
      <c r="B540" s="1838">
        <v>40832</v>
      </c>
      <c r="C540" s="1837">
        <v>411.03</v>
      </c>
      <c r="D540" s="1840">
        <f t="shared" si="37"/>
        <v>-8.3476079036889361E-3</v>
      </c>
      <c r="F540" s="1839">
        <v>1238.25</v>
      </c>
      <c r="G540" s="1840">
        <f t="shared" si="38"/>
        <v>1.1163010991523725E-2</v>
      </c>
      <c r="H540" s="1838">
        <v>40832</v>
      </c>
      <c r="M540" s="1844">
        <f t="shared" si="39"/>
        <v>1.1163010991523725E-2</v>
      </c>
      <c r="N540" s="1823">
        <f t="shared" si="40"/>
        <v>0</v>
      </c>
      <c r="P540" s="1874"/>
      <c r="Q540" s="1875"/>
      <c r="R540" s="1876"/>
      <c r="S540" s="1877"/>
      <c r="T540" s="1877"/>
    </row>
    <row r="541" spans="2:20" x14ac:dyDescent="0.3">
      <c r="B541" s="1838">
        <v>40825</v>
      </c>
      <c r="C541" s="1837">
        <v>414.49</v>
      </c>
      <c r="D541" s="1840">
        <f t="shared" si="37"/>
        <v>-8.3022298784571902E-3</v>
      </c>
      <c r="F541" s="1839">
        <v>1224.58</v>
      </c>
      <c r="G541" s="1840">
        <f t="shared" si="38"/>
        <v>5.9820331296626339E-2</v>
      </c>
      <c r="H541" s="1838">
        <v>40825</v>
      </c>
      <c r="M541" s="1844">
        <f t="shared" si="39"/>
        <v>5.9820331296626339E-2</v>
      </c>
      <c r="N541" s="1823">
        <f t="shared" si="40"/>
        <v>0</v>
      </c>
      <c r="P541" s="1874"/>
      <c r="Q541" s="1875"/>
      <c r="R541" s="1876"/>
      <c r="S541" s="1877"/>
      <c r="T541" s="1877"/>
    </row>
    <row r="542" spans="2:20" x14ac:dyDescent="0.3">
      <c r="B542" s="1838">
        <v>40818</v>
      </c>
      <c r="C542" s="1837">
        <v>417.96</v>
      </c>
      <c r="D542" s="1840">
        <f t="shared" si="37"/>
        <v>-2.254443405051465E-2</v>
      </c>
      <c r="F542" s="1839">
        <v>1155.46</v>
      </c>
      <c r="G542" s="1840">
        <f t="shared" si="38"/>
        <v>2.1247635714412016E-2</v>
      </c>
      <c r="H542" s="1838">
        <v>40818</v>
      </c>
      <c r="M542" s="1844">
        <f t="shared" si="39"/>
        <v>2.1247635714412016E-2</v>
      </c>
      <c r="N542" s="1823">
        <f t="shared" si="40"/>
        <v>0</v>
      </c>
      <c r="P542" s="1874"/>
      <c r="Q542" s="1875"/>
      <c r="R542" s="1876"/>
      <c r="S542" s="1877"/>
      <c r="T542" s="1877"/>
    </row>
    <row r="543" spans="2:20" x14ac:dyDescent="0.3">
      <c r="B543" s="1838">
        <v>40811</v>
      </c>
      <c r="C543" s="1837">
        <v>427.6</v>
      </c>
      <c r="D543" s="1840">
        <f t="shared" si="37"/>
        <v>-2.884397002044059E-2</v>
      </c>
      <c r="F543" s="1839">
        <v>1131.42</v>
      </c>
      <c r="G543" s="1840">
        <f t="shared" si="38"/>
        <v>-4.4085425411155565E-3</v>
      </c>
      <c r="H543" s="1838">
        <v>40811</v>
      </c>
      <c r="M543" s="1844">
        <f t="shared" si="39"/>
        <v>-4.4085425411155565E-3</v>
      </c>
      <c r="N543" s="1823">
        <f t="shared" si="40"/>
        <v>0</v>
      </c>
      <c r="P543" s="1874"/>
      <c r="Q543" s="1875"/>
      <c r="R543" s="1876"/>
      <c r="S543" s="1877"/>
      <c r="T543" s="1877"/>
    </row>
    <row r="544" spans="2:20" x14ac:dyDescent="0.3">
      <c r="B544" s="1838">
        <v>40804</v>
      </c>
      <c r="C544" s="1837">
        <v>440.3</v>
      </c>
      <c r="D544" s="1840">
        <f t="shared" si="37"/>
        <v>-3.677451816849342E-2</v>
      </c>
      <c r="F544" s="1839">
        <v>1136.43</v>
      </c>
      <c r="G544" s="1840">
        <f t="shared" si="38"/>
        <v>-6.5443540760355523E-2</v>
      </c>
      <c r="H544" s="1838">
        <v>40804</v>
      </c>
      <c r="M544" s="1844">
        <f t="shared" si="39"/>
        <v>-6.5443540760355523E-2</v>
      </c>
      <c r="N544" s="1823">
        <f t="shared" si="40"/>
        <v>0</v>
      </c>
      <c r="P544" s="1874"/>
      <c r="Q544" s="1875"/>
      <c r="R544" s="1876"/>
      <c r="S544" s="1877"/>
      <c r="T544" s="1877"/>
    </row>
    <row r="545" spans="2:20" x14ac:dyDescent="0.3">
      <c r="B545" s="1838">
        <v>40797</v>
      </c>
      <c r="C545" s="1837">
        <v>457.11</v>
      </c>
      <c r="D545" s="1840">
        <f t="shared" si="37"/>
        <v>-6.109758218820649E-3</v>
      </c>
      <c r="F545" s="1839">
        <v>1216.01</v>
      </c>
      <c r="G545" s="1840">
        <f t="shared" si="38"/>
        <v>5.3524860729663892E-2</v>
      </c>
      <c r="H545" s="1838">
        <v>40797</v>
      </c>
      <c r="M545" s="1844">
        <f t="shared" si="39"/>
        <v>5.3524860729663892E-2</v>
      </c>
      <c r="N545" s="1823">
        <f t="shared" si="40"/>
        <v>0</v>
      </c>
      <c r="P545" s="1874"/>
      <c r="Q545" s="1875"/>
      <c r="R545" s="1876"/>
      <c r="S545" s="1878"/>
      <c r="T545" s="1878"/>
    </row>
    <row r="546" spans="2:20" x14ac:dyDescent="0.3">
      <c r="B546" s="1838">
        <v>40790</v>
      </c>
      <c r="C546" s="1837">
        <v>459.92</v>
      </c>
      <c r="D546" s="1840">
        <f t="shared" si="37"/>
        <v>5.658296767672133E-2</v>
      </c>
      <c r="F546" s="1839">
        <v>1154.23</v>
      </c>
      <c r="G546" s="1840">
        <f t="shared" si="38"/>
        <v>-1.6814739729294592E-2</v>
      </c>
      <c r="H546" s="1838">
        <v>40790</v>
      </c>
      <c r="M546" s="1844">
        <f t="shared" si="39"/>
        <v>-1.6814739729294592E-2</v>
      </c>
      <c r="N546" s="1823">
        <f t="shared" si="40"/>
        <v>0</v>
      </c>
    </row>
    <row r="547" spans="2:20" x14ac:dyDescent="0.3">
      <c r="B547" s="1838">
        <v>40783</v>
      </c>
      <c r="C547" s="1837">
        <v>435.29</v>
      </c>
      <c r="D547" s="1840">
        <f t="shared" si="37"/>
        <v>7.6358151381024086E-2</v>
      </c>
      <c r="F547" s="1839">
        <v>1173.97</v>
      </c>
      <c r="G547" s="1840">
        <f t="shared" si="38"/>
        <v>-2.4048266485383607E-3</v>
      </c>
      <c r="H547" s="1838">
        <v>40783</v>
      </c>
      <c r="M547" s="1844">
        <f t="shared" si="39"/>
        <v>-2.4048266485383607E-3</v>
      </c>
      <c r="N547" s="1823">
        <f t="shared" si="40"/>
        <v>0</v>
      </c>
    </row>
    <row r="548" spans="2:20" x14ac:dyDescent="0.3">
      <c r="B548" s="1838">
        <v>40776</v>
      </c>
      <c r="C548" s="1837">
        <v>404.41</v>
      </c>
      <c r="D548" s="1840">
        <f t="shared" si="37"/>
        <v>9.1076953787803117E-3</v>
      </c>
      <c r="F548" s="1839">
        <v>1176.8</v>
      </c>
      <c r="G548" s="1840">
        <f t="shared" si="38"/>
        <v>4.7413064181641706E-2</v>
      </c>
      <c r="H548" s="1838">
        <v>40776</v>
      </c>
      <c r="M548" s="1844">
        <f t="shared" si="39"/>
        <v>4.7413064181641706E-2</v>
      </c>
      <c r="N548" s="1823">
        <f t="shared" si="40"/>
        <v>0</v>
      </c>
    </row>
    <row r="549" spans="2:20" x14ac:dyDescent="0.3">
      <c r="B549" s="1838">
        <v>40769</v>
      </c>
      <c r="C549" s="1837">
        <v>400.76</v>
      </c>
      <c r="D549" s="1840">
        <f t="shared" si="37"/>
        <v>4.3863304855178198E-2</v>
      </c>
      <c r="F549" s="1839">
        <v>1123.53</v>
      </c>
      <c r="G549" s="1840">
        <f t="shared" si="38"/>
        <v>-4.6894749790042489E-2</v>
      </c>
      <c r="H549" s="1838">
        <v>40769</v>
      </c>
      <c r="M549" s="1844">
        <f t="shared" si="39"/>
        <v>-4.6894749790042489E-2</v>
      </c>
      <c r="N549" s="1823">
        <f t="shared" si="40"/>
        <v>0</v>
      </c>
    </row>
    <row r="550" spans="2:20" x14ac:dyDescent="0.3">
      <c r="B550" s="1838">
        <v>40762</v>
      </c>
      <c r="C550" s="1837">
        <v>383.92</v>
      </c>
      <c r="D550" s="1840">
        <f t="shared" si="37"/>
        <v>-4.2306924765515785E-2</v>
      </c>
      <c r="F550" s="1839">
        <v>1178.81</v>
      </c>
      <c r="G550" s="1840">
        <f t="shared" si="38"/>
        <v>-1.7150527772682667E-2</v>
      </c>
      <c r="H550" s="1838">
        <v>40762</v>
      </c>
      <c r="M550" s="1844">
        <f t="shared" si="39"/>
        <v>-1.7150527772682667E-2</v>
      </c>
      <c r="N550" s="1823">
        <f t="shared" si="40"/>
        <v>0</v>
      </c>
    </row>
    <row r="551" spans="2:20" x14ac:dyDescent="0.3">
      <c r="B551" s="1838">
        <v>40755</v>
      </c>
      <c r="C551" s="1837">
        <v>400.88</v>
      </c>
      <c r="D551" s="1840">
        <f t="shared" si="37"/>
        <v>-1.1880700024648694E-2</v>
      </c>
      <c r="F551" s="1839">
        <v>1199.3800000000001</v>
      </c>
      <c r="G551" s="1840">
        <f t="shared" si="38"/>
        <v>-7.1888445228588171E-2</v>
      </c>
      <c r="H551" s="1838">
        <v>40755</v>
      </c>
      <c r="M551" s="1844">
        <f t="shared" si="39"/>
        <v>-7.1888445228588171E-2</v>
      </c>
      <c r="N551" s="1823">
        <f t="shared" si="40"/>
        <v>0</v>
      </c>
    </row>
    <row r="552" spans="2:20" x14ac:dyDescent="0.3">
      <c r="B552" s="1838">
        <v>40748</v>
      </c>
      <c r="C552" s="1837">
        <v>405.7</v>
      </c>
      <c r="D552" s="1840">
        <f t="shared" si="37"/>
        <v>-8.5532746823069328E-3</v>
      </c>
      <c r="F552" s="1839">
        <v>1292.28</v>
      </c>
      <c r="G552" s="1840">
        <f t="shared" si="38"/>
        <v>-3.9211312842931667E-2</v>
      </c>
      <c r="H552" s="1838">
        <v>40748</v>
      </c>
      <c r="M552" s="1844">
        <f t="shared" si="39"/>
        <v>-3.9211312842931667E-2</v>
      </c>
      <c r="N552" s="1823">
        <f t="shared" si="40"/>
        <v>0</v>
      </c>
    </row>
    <row r="553" spans="2:20" x14ac:dyDescent="0.3">
      <c r="B553" s="1838">
        <v>40741</v>
      </c>
      <c r="C553" s="1837">
        <v>409.2</v>
      </c>
      <c r="D553" s="1840">
        <f t="shared" si="37"/>
        <v>-1.3357766311424046E-2</v>
      </c>
      <c r="F553" s="1839">
        <v>1345.02</v>
      </c>
      <c r="G553" s="1840">
        <f t="shared" si="38"/>
        <v>2.1942954396948489E-2</v>
      </c>
      <c r="H553" s="1838">
        <v>40741</v>
      </c>
      <c r="M553" s="1844">
        <f t="shared" si="39"/>
        <v>2.1942954396948489E-2</v>
      </c>
      <c r="N553" s="1823">
        <f t="shared" si="40"/>
        <v>0</v>
      </c>
    </row>
    <row r="554" spans="2:20" x14ac:dyDescent="0.3">
      <c r="B554" s="1838">
        <v>40734</v>
      </c>
      <c r="C554" s="1837">
        <v>414.74</v>
      </c>
      <c r="D554" s="1840">
        <f t="shared" si="37"/>
        <v>-3.6205614426473298E-2</v>
      </c>
      <c r="F554" s="1839">
        <v>1316.14</v>
      </c>
      <c r="G554" s="1840">
        <f t="shared" si="38"/>
        <v>-2.0583420151808252E-2</v>
      </c>
      <c r="H554" s="1838">
        <v>40734</v>
      </c>
      <c r="M554" s="1844">
        <f t="shared" si="39"/>
        <v>-2.0583420151808252E-2</v>
      </c>
      <c r="N554" s="1823">
        <f t="shared" si="40"/>
        <v>0</v>
      </c>
    </row>
    <row r="555" spans="2:20" x14ac:dyDescent="0.3">
      <c r="B555" s="1838">
        <v>40727</v>
      </c>
      <c r="C555" s="1837">
        <v>430.32</v>
      </c>
      <c r="D555" s="1840">
        <f t="shared" si="37"/>
        <v>1.1827223776716966E-2</v>
      </c>
      <c r="F555" s="1839">
        <v>1343.8</v>
      </c>
      <c r="G555" s="1840">
        <f t="shared" si="38"/>
        <v>3.0828487612619693E-3</v>
      </c>
      <c r="H555" s="1838">
        <v>40727</v>
      </c>
      <c r="M555" s="1844">
        <f t="shared" si="39"/>
        <v>3.0828487612619693E-3</v>
      </c>
      <c r="N555" s="1823">
        <f t="shared" si="40"/>
        <v>0</v>
      </c>
    </row>
    <row r="556" spans="2:20" x14ac:dyDescent="0.3">
      <c r="B556" s="1838">
        <v>40720</v>
      </c>
      <c r="C556" s="1837">
        <v>425.29</v>
      </c>
      <c r="D556" s="1840">
        <f t="shared" si="37"/>
        <v>-1.8712505768343268E-2</v>
      </c>
      <c r="F556" s="1839">
        <v>1339.67</v>
      </c>
      <c r="G556" s="1840">
        <f t="shared" si="38"/>
        <v>5.614726634869327E-2</v>
      </c>
      <c r="H556" s="1838">
        <v>40720</v>
      </c>
      <c r="M556" s="1844">
        <f t="shared" si="39"/>
        <v>5.614726634869327E-2</v>
      </c>
      <c r="N556" s="1823">
        <f t="shared" si="40"/>
        <v>0</v>
      </c>
    </row>
    <row r="557" spans="2:20" x14ac:dyDescent="0.3">
      <c r="B557" s="1838">
        <v>40713</v>
      </c>
      <c r="C557" s="1837">
        <v>433.4</v>
      </c>
      <c r="D557" s="1840">
        <f t="shared" si="37"/>
        <v>-1.2598819857380539E-2</v>
      </c>
      <c r="F557" s="1839">
        <v>1268.45</v>
      </c>
      <c r="G557" s="1840">
        <f t="shared" si="38"/>
        <v>-2.3987416437278863E-3</v>
      </c>
      <c r="H557" s="1838">
        <v>40713</v>
      </c>
      <c r="M557" s="1844">
        <f t="shared" si="39"/>
        <v>-2.3987416437278863E-3</v>
      </c>
      <c r="N557" s="1823">
        <f t="shared" si="40"/>
        <v>0</v>
      </c>
    </row>
    <row r="558" spans="2:20" x14ac:dyDescent="0.3">
      <c r="B558" s="1838">
        <v>40706</v>
      </c>
      <c r="C558" s="1837">
        <v>438.93</v>
      </c>
      <c r="D558" s="1840">
        <f t="shared" si="37"/>
        <v>-1.3640449438202196E-2</v>
      </c>
      <c r="F558" s="1839">
        <v>1271.5</v>
      </c>
      <c r="G558" s="1840">
        <f t="shared" si="38"/>
        <v>4.0913310988366369E-4</v>
      </c>
      <c r="H558" s="1838">
        <v>40706</v>
      </c>
      <c r="M558" s="1844">
        <f t="shared" si="39"/>
        <v>4.0913310988366369E-4</v>
      </c>
      <c r="N558" s="1823">
        <f t="shared" si="40"/>
        <v>0</v>
      </c>
    </row>
    <row r="559" spans="2:20" x14ac:dyDescent="0.3">
      <c r="B559" s="1838">
        <v>40699</v>
      </c>
      <c r="C559" s="1837">
        <v>445</v>
      </c>
      <c r="D559" s="1840">
        <f t="shared" si="37"/>
        <v>3.5858460566968731E-3</v>
      </c>
      <c r="F559" s="1839">
        <v>1270.98</v>
      </c>
      <c r="G559" s="1840">
        <f t="shared" si="38"/>
        <v>-2.2443391582574468E-2</v>
      </c>
      <c r="H559" s="1838">
        <v>40699</v>
      </c>
      <c r="M559" s="1844">
        <f t="shared" si="39"/>
        <v>-2.2443391582574468E-2</v>
      </c>
      <c r="N559" s="1823">
        <f t="shared" si="40"/>
        <v>0</v>
      </c>
    </row>
    <row r="560" spans="2:20" x14ac:dyDescent="0.3">
      <c r="B560" s="1838">
        <v>40692</v>
      </c>
      <c r="C560" s="1837">
        <v>443.41</v>
      </c>
      <c r="D560" s="1840">
        <f t="shared" si="37"/>
        <v>7.9329146584879107E-2</v>
      </c>
      <c r="F560" s="1839">
        <v>1300.1600000000001</v>
      </c>
      <c r="G560" s="1840">
        <f t="shared" si="38"/>
        <v>-2.324393358876109E-2</v>
      </c>
      <c r="H560" s="1838">
        <v>40692</v>
      </c>
      <c r="M560" s="1844">
        <f t="shared" si="39"/>
        <v>-2.324393358876109E-2</v>
      </c>
      <c r="N560" s="1823">
        <f t="shared" si="40"/>
        <v>0</v>
      </c>
    </row>
    <row r="561" spans="2:14" x14ac:dyDescent="0.3">
      <c r="B561" s="1838">
        <v>40685</v>
      </c>
      <c r="C561" s="1837">
        <v>410.82</v>
      </c>
      <c r="D561" s="1840">
        <f t="shared" si="37"/>
        <v>-5.0939081017395527E-2</v>
      </c>
      <c r="E561" s="1823"/>
      <c r="F561" s="1839">
        <v>1331.1</v>
      </c>
      <c r="G561" s="1840">
        <f t="shared" si="38"/>
        <v>-1.6275773099222457E-3</v>
      </c>
      <c r="H561" s="1838">
        <v>40685</v>
      </c>
      <c r="M561" s="1844">
        <f t="shared" si="39"/>
        <v>-1.6275773099222457E-3</v>
      </c>
      <c r="N561" s="1823">
        <f t="shared" si="40"/>
        <v>0</v>
      </c>
    </row>
    <row r="562" spans="2:14" x14ac:dyDescent="0.3">
      <c r="B562" s="1838">
        <v>40678</v>
      </c>
      <c r="C562" s="1837">
        <v>432.87</v>
      </c>
      <c r="D562" s="1840">
        <f t="shared" si="37"/>
        <v>-9.7567077365688926E-2</v>
      </c>
      <c r="E562" s="1823"/>
      <c r="F562" s="1839">
        <v>1333.27</v>
      </c>
      <c r="G562" s="1840">
        <f t="shared" si="38"/>
        <v>-3.3712568583773583E-3</v>
      </c>
      <c r="H562" s="1838">
        <v>40678</v>
      </c>
      <c r="M562" s="1844">
        <f t="shared" si="39"/>
        <v>-3.3712568583773583E-3</v>
      </c>
      <c r="N562" s="1823">
        <f t="shared" si="40"/>
        <v>0</v>
      </c>
    </row>
    <row r="563" spans="2:14" x14ac:dyDescent="0.3">
      <c r="B563" s="1838">
        <v>40671</v>
      </c>
      <c r="C563" s="1837">
        <v>479.67</v>
      </c>
      <c r="D563" s="1840">
        <f t="shared" si="37"/>
        <v>1.4723614901313686E-2</v>
      </c>
      <c r="E563" s="1823"/>
      <c r="F563" s="1839">
        <v>1337.78</v>
      </c>
      <c r="G563" s="1840">
        <f t="shared" si="38"/>
        <v>-1.8057006416952737E-3</v>
      </c>
      <c r="H563" s="1838">
        <v>40671</v>
      </c>
      <c r="M563" s="1844">
        <f t="shared" si="39"/>
        <v>-1.8057006416952737E-3</v>
      </c>
      <c r="N563" s="1823">
        <f t="shared" si="40"/>
        <v>0</v>
      </c>
    </row>
    <row r="564" spans="2:14" x14ac:dyDescent="0.3">
      <c r="B564" s="1838">
        <v>40664</v>
      </c>
      <c r="C564" s="1837">
        <v>472.71</v>
      </c>
      <c r="D564" s="1840">
        <f t="shared" si="37"/>
        <v>-1.5351608065322431E-2</v>
      </c>
      <c r="E564" s="1823"/>
      <c r="F564" s="1839">
        <v>1340.2</v>
      </c>
      <c r="G564" s="1840">
        <f t="shared" si="38"/>
        <v>-1.7167665241527907E-2</v>
      </c>
      <c r="H564" s="1838">
        <v>40664</v>
      </c>
      <c r="M564" s="1844">
        <f t="shared" si="39"/>
        <v>-1.7167665241527907E-2</v>
      </c>
      <c r="N564" s="1823">
        <f t="shared" si="40"/>
        <v>0</v>
      </c>
    </row>
    <row r="565" spans="2:14" x14ac:dyDescent="0.3">
      <c r="B565" s="1838">
        <v>40657</v>
      </c>
      <c r="C565" s="1837">
        <v>480.08</v>
      </c>
      <c r="D565" s="1840">
        <f t="shared" si="37"/>
        <v>5.1769087523277468E-2</v>
      </c>
      <c r="E565" s="1823"/>
      <c r="F565" s="1839">
        <v>1363.61</v>
      </c>
      <c r="G565" s="1840">
        <f t="shared" si="38"/>
        <v>1.9612974622021939E-2</v>
      </c>
      <c r="H565" s="1838">
        <v>40657</v>
      </c>
      <c r="M565" s="1844">
        <f t="shared" si="39"/>
        <v>1.9612974622021939E-2</v>
      </c>
      <c r="N565" s="1823">
        <f t="shared" si="40"/>
        <v>0</v>
      </c>
    </row>
    <row r="566" spans="2:14" x14ac:dyDescent="0.3">
      <c r="B566" s="1838">
        <v>40650</v>
      </c>
      <c r="C566" s="1837">
        <v>456.45</v>
      </c>
      <c r="D566" s="1840">
        <f t="shared" si="37"/>
        <v>-9.7839291912530379E-3</v>
      </c>
      <c r="F566" s="1839">
        <v>1337.38</v>
      </c>
      <c r="G566" s="1840">
        <f t="shared" si="38"/>
        <v>1.341234238603306E-2</v>
      </c>
      <c r="H566" s="1838">
        <v>40650</v>
      </c>
      <c r="M566" s="1844">
        <f t="shared" si="39"/>
        <v>1.341234238603306E-2</v>
      </c>
      <c r="N566" s="1823">
        <f t="shared" si="40"/>
        <v>0</v>
      </c>
    </row>
    <row r="567" spans="2:14" x14ac:dyDescent="0.3">
      <c r="B567" s="1838">
        <v>40643</v>
      </c>
      <c r="C567" s="1837">
        <v>460.96</v>
      </c>
      <c r="D567" s="1840">
        <f t="shared" si="37"/>
        <v>-7.1722414870017959E-3</v>
      </c>
      <c r="F567" s="1839">
        <v>1319.68</v>
      </c>
      <c r="G567" s="1840">
        <f t="shared" si="38"/>
        <v>-6.3922540036290831E-3</v>
      </c>
      <c r="H567" s="1838">
        <v>40643</v>
      </c>
      <c r="M567" s="1844">
        <f t="shared" si="39"/>
        <v>-6.3922540036290831E-3</v>
      </c>
      <c r="N567" s="1823">
        <f t="shared" si="40"/>
        <v>0</v>
      </c>
    </row>
    <row r="568" spans="2:14" x14ac:dyDescent="0.3">
      <c r="B568" s="1838">
        <v>40636</v>
      </c>
      <c r="C568" s="1837">
        <v>464.29</v>
      </c>
      <c r="D568" s="1840">
        <f t="shared" si="37"/>
        <v>1.115055426094913E-2</v>
      </c>
      <c r="F568" s="1839">
        <v>1328.17</v>
      </c>
      <c r="G568" s="1840">
        <f t="shared" si="38"/>
        <v>-3.182203676045714E-3</v>
      </c>
      <c r="H568" s="1838">
        <v>40636</v>
      </c>
      <c r="M568" s="1844">
        <f t="shared" si="39"/>
        <v>-3.182203676045714E-3</v>
      </c>
      <c r="N568" s="1823">
        <f t="shared" si="40"/>
        <v>0</v>
      </c>
    </row>
    <row r="569" spans="2:14" x14ac:dyDescent="0.3">
      <c r="B569" s="1838">
        <v>40629</v>
      </c>
      <c r="C569" s="1837">
        <v>459.17</v>
      </c>
      <c r="D569" s="1840">
        <f t="shared" si="37"/>
        <v>3.1240442172413285E-3</v>
      </c>
      <c r="F569" s="1839">
        <v>1332.41</v>
      </c>
      <c r="G569" s="1840">
        <f t="shared" si="38"/>
        <v>1.4165017506469813E-2</v>
      </c>
      <c r="H569" s="1838">
        <v>40629</v>
      </c>
      <c r="M569" s="1844">
        <f t="shared" si="39"/>
        <v>1.4165017506469813E-2</v>
      </c>
      <c r="N569" s="1823">
        <f t="shared" si="40"/>
        <v>0</v>
      </c>
    </row>
    <row r="570" spans="2:14" x14ac:dyDescent="0.3">
      <c r="B570" s="1838">
        <v>40622</v>
      </c>
      <c r="C570" s="1837">
        <v>457.74</v>
      </c>
      <c r="D570" s="1840">
        <f t="shared" si="37"/>
        <v>-7.2438622364882077E-3</v>
      </c>
      <c r="F570" s="1839">
        <v>1313.8</v>
      </c>
      <c r="G570" s="1840">
        <f t="shared" si="38"/>
        <v>2.7048155096935478E-2</v>
      </c>
      <c r="H570" s="1838">
        <v>40622</v>
      </c>
      <c r="M570" s="1844">
        <f t="shared" si="39"/>
        <v>2.7048155096935478E-2</v>
      </c>
      <c r="N570" s="1823">
        <f t="shared" si="40"/>
        <v>0</v>
      </c>
    </row>
    <row r="571" spans="2:14" x14ac:dyDescent="0.3">
      <c r="B571" s="1838">
        <v>40615</v>
      </c>
      <c r="C571" s="1837">
        <v>461.08</v>
      </c>
      <c r="D571" s="1840">
        <f t="shared" si="37"/>
        <v>-6.8638144871328799E-2</v>
      </c>
      <c r="F571" s="1839">
        <v>1279.2</v>
      </c>
      <c r="G571" s="1840">
        <f t="shared" si="38"/>
        <v>-1.9228999907995203E-2</v>
      </c>
      <c r="H571" s="1838">
        <v>40615</v>
      </c>
      <c r="M571" s="1844">
        <f t="shared" si="39"/>
        <v>-1.9228999907995203E-2</v>
      </c>
      <c r="N571" s="1823">
        <f t="shared" si="40"/>
        <v>0</v>
      </c>
    </row>
    <row r="572" spans="2:14" x14ac:dyDescent="0.3">
      <c r="B572" s="1838">
        <v>40608</v>
      </c>
      <c r="C572" s="1837">
        <v>495.06</v>
      </c>
      <c r="D572" s="1840">
        <f t="shared" si="37"/>
        <v>7.8021906234348792E-2</v>
      </c>
      <c r="F572" s="1839">
        <v>1304.28</v>
      </c>
      <c r="G572" s="1840">
        <f t="shared" si="38"/>
        <v>-1.2769178367331602E-2</v>
      </c>
      <c r="H572" s="1838">
        <v>40608</v>
      </c>
      <c r="M572" s="1844">
        <f t="shared" si="39"/>
        <v>-1.2769178367331602E-2</v>
      </c>
      <c r="N572" s="1823">
        <f t="shared" si="40"/>
        <v>0</v>
      </c>
    </row>
    <row r="573" spans="2:14" x14ac:dyDescent="0.3">
      <c r="B573" s="1838">
        <v>40601</v>
      </c>
      <c r="C573" s="1837">
        <v>459.23</v>
      </c>
      <c r="D573" s="1840">
        <f t="shared" si="37"/>
        <v>-1.6553880418022859E-2</v>
      </c>
      <c r="F573" s="1839">
        <v>1321.15</v>
      </c>
      <c r="G573" s="1840">
        <f t="shared" si="38"/>
        <v>9.6220868563801076E-4</v>
      </c>
      <c r="H573" s="1838">
        <v>40601</v>
      </c>
      <c r="M573" s="1844">
        <f t="shared" si="39"/>
        <v>9.6220868563801076E-4</v>
      </c>
      <c r="N573" s="1823">
        <f t="shared" si="40"/>
        <v>0</v>
      </c>
    </row>
    <row r="574" spans="2:14" x14ac:dyDescent="0.3">
      <c r="B574" s="1838">
        <v>40594</v>
      </c>
      <c r="C574" s="1837">
        <v>466.96</v>
      </c>
      <c r="D574" s="1840">
        <f t="shared" si="37"/>
        <v>-7.334497539291962E-2</v>
      </c>
      <c r="F574" s="1839">
        <v>1319.88</v>
      </c>
      <c r="G574" s="1840">
        <f t="shared" si="38"/>
        <v>-1.5330901277948117E-2</v>
      </c>
      <c r="H574" s="1838">
        <v>40594</v>
      </c>
      <c r="M574" s="1844">
        <f t="shared" si="39"/>
        <v>-1.5330901277948117E-2</v>
      </c>
      <c r="N574" s="1823">
        <f t="shared" si="40"/>
        <v>0</v>
      </c>
    </row>
    <row r="575" spans="2:14" x14ac:dyDescent="0.3">
      <c r="B575" s="1838">
        <v>40587</v>
      </c>
      <c r="C575" s="1837">
        <v>503.92</v>
      </c>
      <c r="D575" s="1840">
        <f t="shared" si="37"/>
        <v>-3.0885803300126913E-2</v>
      </c>
      <c r="F575" s="1839">
        <v>1340.43</v>
      </c>
      <c r="G575" s="1840">
        <f t="shared" si="38"/>
        <v>8.486626791558427E-3</v>
      </c>
      <c r="H575" s="1838">
        <v>40587</v>
      </c>
      <c r="M575" s="1844">
        <f t="shared" si="39"/>
        <v>8.486626791558427E-3</v>
      </c>
      <c r="N575" s="1823">
        <f t="shared" si="40"/>
        <v>0</v>
      </c>
    </row>
    <row r="576" spans="2:14" x14ac:dyDescent="0.3">
      <c r="B576" s="1838">
        <v>40580</v>
      </c>
      <c r="C576" s="1837">
        <v>519.98</v>
      </c>
      <c r="D576" s="1840">
        <f t="shared" si="37"/>
        <v>1.8370544457500859E-2</v>
      </c>
      <c r="F576" s="1839">
        <v>1329.15</v>
      </c>
      <c r="G576" s="1840">
        <f t="shared" si="38"/>
        <v>4.1376122349844113E-2</v>
      </c>
      <c r="H576" s="1838">
        <v>40580</v>
      </c>
      <c r="M576" s="1844">
        <f t="shared" si="39"/>
        <v>4.1376122349844113E-2</v>
      </c>
      <c r="N576" s="1823">
        <f t="shared" si="40"/>
        <v>0</v>
      </c>
    </row>
    <row r="577" spans="2:14" x14ac:dyDescent="0.3">
      <c r="B577" s="1838">
        <v>40566</v>
      </c>
      <c r="C577" s="1837">
        <v>510.6</v>
      </c>
      <c r="D577" s="1840">
        <f t="shared" si="37"/>
        <v>-1.7131857555341634E-2</v>
      </c>
      <c r="F577" s="1839">
        <v>1276.3399999999999</v>
      </c>
      <c r="G577" s="1840">
        <f t="shared" si="38"/>
        <v>-5.4622667238087841E-3</v>
      </c>
      <c r="H577" s="1838">
        <v>40566</v>
      </c>
      <c r="M577" s="1844">
        <f t="shared" si="39"/>
        <v>-5.4622667238087841E-3</v>
      </c>
      <c r="N577" s="1823">
        <f t="shared" si="40"/>
        <v>0</v>
      </c>
    </row>
    <row r="578" spans="2:14" x14ac:dyDescent="0.3">
      <c r="B578" s="1838">
        <v>40559</v>
      </c>
      <c r="C578" s="1837">
        <v>519.5</v>
      </c>
      <c r="D578" s="1840"/>
      <c r="F578" s="1839">
        <v>1283.3499999999999</v>
      </c>
      <c r="H578" s="1838">
        <v>40559</v>
      </c>
      <c r="N578" s="1823">
        <f t="shared" si="40"/>
        <v>0</v>
      </c>
    </row>
  </sheetData>
  <mergeCells count="5">
    <mergeCell ref="C4:D4"/>
    <mergeCell ref="F4:G4"/>
    <mergeCell ref="J4:K4"/>
    <mergeCell ref="P28:R28"/>
    <mergeCell ref="S28:T2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95E4-A9B1-44EE-A63D-44D705C1B23D}">
  <dimension ref="B1:AC44"/>
  <sheetViews>
    <sheetView zoomScale="85" zoomScaleNormal="85" workbookViewId="0">
      <selection activeCell="D18" sqref="D18"/>
    </sheetView>
  </sheetViews>
  <sheetFormatPr defaultColWidth="9.109375" defaultRowHeight="13.2" x14ac:dyDescent="0.25"/>
  <cols>
    <col min="1" max="1" width="9.109375" style="790"/>
    <col min="2" max="2" width="11.33203125" style="790" customWidth="1"/>
    <col min="3" max="3" width="34.6640625" style="790" bestFit="1" customWidth="1"/>
    <col min="4" max="4" width="15.109375" style="790" customWidth="1"/>
    <col min="5" max="5" width="11.5546875" style="790" bestFit="1" customWidth="1"/>
    <col min="6" max="6" width="5.6640625" style="790" customWidth="1"/>
    <col min="7" max="7" width="11" style="790" customWidth="1"/>
    <col min="8" max="11" width="9.109375" style="790"/>
    <col min="12" max="12" width="29.6640625" style="790" customWidth="1"/>
    <col min="13" max="13" width="23.6640625" style="790" customWidth="1"/>
    <col min="14" max="14" width="12.5546875" style="790" bestFit="1" customWidth="1"/>
    <col min="15" max="15" width="15.33203125" style="790" customWidth="1"/>
    <col min="16" max="18" width="9.109375" style="790"/>
    <col min="19" max="19" width="28.5546875" style="790" bestFit="1" customWidth="1"/>
    <col min="20" max="20" width="15.44140625" style="790" customWidth="1"/>
    <col min="21" max="21" width="9.109375" style="790"/>
    <col min="22" max="22" width="28.88671875" style="790" bestFit="1" customWidth="1"/>
    <col min="23" max="31" width="9.109375" style="790"/>
    <col min="32" max="32" width="14" style="790" customWidth="1"/>
    <col min="33" max="33" width="12.44140625" style="790" customWidth="1"/>
    <col min="34" max="16384" width="9.109375" style="790"/>
  </cols>
  <sheetData>
    <row r="1" spans="2:29" s="518" customFormat="1" x14ac:dyDescent="0.25"/>
    <row r="2" spans="2:29" s="518" customFormat="1" x14ac:dyDescent="0.25">
      <c r="B2" s="2396" t="s">
        <v>1798</v>
      </c>
      <c r="C2" s="2396"/>
      <c r="D2" s="2396"/>
      <c r="E2" s="2396"/>
      <c r="K2" s="2396" t="s">
        <v>1799</v>
      </c>
      <c r="L2" s="2396"/>
      <c r="M2" s="2396"/>
      <c r="N2" s="2396"/>
      <c r="O2" s="2396"/>
      <c r="P2" s="2396"/>
    </row>
    <row r="3" spans="2:29" s="518" customFormat="1" x14ac:dyDescent="0.25">
      <c r="C3" s="562"/>
    </row>
    <row r="4" spans="2:29" s="518" customFormat="1" x14ac:dyDescent="0.25">
      <c r="B4" s="2065"/>
      <c r="C4" s="2066"/>
      <c r="D4" s="2066"/>
      <c r="E4" s="2067"/>
      <c r="K4" s="2065"/>
      <c r="L4" s="2066"/>
      <c r="M4" s="2066"/>
      <c r="N4" s="2066"/>
      <c r="O4" s="2066"/>
      <c r="P4" s="2067"/>
    </row>
    <row r="5" spans="2:29" s="736" customFormat="1" x14ac:dyDescent="0.3">
      <c r="B5" s="2068"/>
      <c r="C5" s="2378" t="s">
        <v>1800</v>
      </c>
      <c r="D5" s="2378"/>
      <c r="E5" s="2069"/>
      <c r="G5" s="2397"/>
      <c r="H5" s="2397"/>
      <c r="I5" s="2070"/>
      <c r="J5" s="2070"/>
      <c r="K5" s="2068"/>
      <c r="L5" s="2398" t="s">
        <v>1801</v>
      </c>
      <c r="M5" s="2398"/>
      <c r="N5" s="2071" t="s">
        <v>1802</v>
      </c>
      <c r="O5" s="2071" t="s">
        <v>1803</v>
      </c>
      <c r="P5" s="2069"/>
      <c r="S5" s="2393" t="s">
        <v>1800</v>
      </c>
      <c r="T5" s="2393"/>
      <c r="U5" s="2393"/>
      <c r="V5" s="2393"/>
      <c r="W5" s="2393"/>
    </row>
    <row r="6" spans="2:29" s="518" customFormat="1" x14ac:dyDescent="0.25">
      <c r="B6" s="2072"/>
      <c r="C6" s="2073"/>
      <c r="D6" s="2073"/>
      <c r="E6" s="2074"/>
      <c r="G6" s="2397"/>
      <c r="H6" s="2397"/>
      <c r="I6" s="2070"/>
      <c r="J6" s="2070"/>
      <c r="K6" s="2072"/>
      <c r="L6" s="1930" t="s">
        <v>1804</v>
      </c>
      <c r="M6" s="1930"/>
      <c r="N6" s="2075">
        <f>$D$28</f>
        <v>3.0285714285714284E-2</v>
      </c>
      <c r="O6" s="2075">
        <f>$D$28</f>
        <v>3.0285714285714284E-2</v>
      </c>
      <c r="P6" s="2074"/>
      <c r="S6" s="2394" t="s">
        <v>1805</v>
      </c>
      <c r="T6" s="2394"/>
      <c r="U6" s="2064"/>
      <c r="V6" s="2394" t="s">
        <v>1806</v>
      </c>
      <c r="W6" s="2394"/>
    </row>
    <row r="7" spans="2:29" s="562" customFormat="1" x14ac:dyDescent="0.25">
      <c r="B7" s="2072"/>
      <c r="C7" s="42" t="s">
        <v>1805</v>
      </c>
      <c r="D7" s="29"/>
      <c r="E7" s="32"/>
      <c r="F7" s="42"/>
      <c r="G7" s="2076"/>
      <c r="H7" s="196"/>
      <c r="I7" s="196"/>
      <c r="J7" s="196"/>
      <c r="K7" s="2077"/>
      <c r="L7" s="1923" t="s">
        <v>1807</v>
      </c>
      <c r="M7" s="1923"/>
      <c r="N7" s="2078">
        <f ca="1">DCF!D75</f>
        <v>959.87196736953081</v>
      </c>
      <c r="O7" s="2078">
        <f ca="1">DCF!D29</f>
        <v>949.77553027922863</v>
      </c>
      <c r="P7" s="2079"/>
      <c r="Q7" s="518"/>
      <c r="R7" s="518"/>
      <c r="S7" s="642" t="s">
        <v>1808</v>
      </c>
      <c r="T7" s="2080">
        <f>D9</f>
        <v>0.05</v>
      </c>
      <c r="U7" s="2081"/>
      <c r="V7" s="642" t="s">
        <v>1809</v>
      </c>
      <c r="W7" s="2082">
        <f ca="1">+D17</f>
        <v>4.3319845104697226E-2</v>
      </c>
      <c r="AC7" s="518"/>
    </row>
    <row r="8" spans="2:29" s="518" customFormat="1" x14ac:dyDescent="0.25">
      <c r="B8" s="2077"/>
      <c r="C8" s="29" t="s">
        <v>1765</v>
      </c>
      <c r="D8" s="2083">
        <v>10</v>
      </c>
      <c r="E8" s="43"/>
      <c r="F8" s="29"/>
      <c r="G8" s="2076"/>
      <c r="H8" s="196"/>
      <c r="I8" s="196"/>
      <c r="J8" s="196"/>
      <c r="K8" s="2072"/>
      <c r="L8" s="1923" t="s">
        <v>1810</v>
      </c>
      <c r="M8" s="1923"/>
      <c r="N8" s="2078">
        <f ca="1">DCF!D76</f>
        <v>1730.2437007008559</v>
      </c>
      <c r="O8" s="2078">
        <f ca="1">DCF!D30</f>
        <v>1594.807934314525</v>
      </c>
      <c r="P8" s="2074"/>
      <c r="Q8" s="562"/>
      <c r="R8" s="562"/>
      <c r="S8" s="642" t="s">
        <v>1742</v>
      </c>
      <c r="T8" s="2084">
        <f>D10</f>
        <v>0.56199214499073358</v>
      </c>
      <c r="U8" s="2085"/>
      <c r="V8" s="780" t="s">
        <v>1811</v>
      </c>
      <c r="W8" s="2080">
        <f ca="1">+D18</f>
        <v>0.11366944167518404</v>
      </c>
      <c r="AC8" s="562"/>
    </row>
    <row r="9" spans="2:29" s="562" customFormat="1" x14ac:dyDescent="0.25">
      <c r="B9" s="2072"/>
      <c r="C9" s="29" t="s">
        <v>1808</v>
      </c>
      <c r="D9" s="2086">
        <v>0.05</v>
      </c>
      <c r="E9" s="32"/>
      <c r="F9" s="42"/>
      <c r="G9" s="2076"/>
      <c r="H9" s="196"/>
      <c r="I9" s="196"/>
      <c r="J9" s="196"/>
      <c r="K9" s="2077"/>
      <c r="L9" s="2087" t="s">
        <v>1812</v>
      </c>
      <c r="M9" s="2087"/>
      <c r="N9" s="2088">
        <f ca="1">N8/(N7+N8)</f>
        <v>0.6431856151159312</v>
      </c>
      <c r="O9" s="2088">
        <f ca="1">O8/(O7+O8)</f>
        <v>0.62674616749863155</v>
      </c>
      <c r="P9" s="2079"/>
      <c r="S9" s="642" t="s">
        <v>1813</v>
      </c>
      <c r="T9" s="2080">
        <f>+D11</f>
        <v>0.109538</v>
      </c>
      <c r="U9" s="2081"/>
      <c r="V9" s="642"/>
      <c r="W9" s="2089"/>
      <c r="AC9" s="518"/>
    </row>
    <row r="10" spans="2:29" s="518" customFormat="1" x14ac:dyDescent="0.25">
      <c r="B10" s="2077"/>
      <c r="C10" s="29" t="s">
        <v>1742</v>
      </c>
      <c r="D10" s="2090">
        <f>'ERP-Beta'!Q25</f>
        <v>0.56199214499073358</v>
      </c>
      <c r="E10" s="2091"/>
      <c r="F10" s="29"/>
      <c r="G10" s="2076"/>
      <c r="H10" s="196"/>
      <c r="I10" s="196"/>
      <c r="J10" s="196"/>
      <c r="K10" s="2072"/>
      <c r="L10" s="2087" t="s">
        <v>1814</v>
      </c>
      <c r="M10" s="2087"/>
      <c r="N10" s="2078">
        <f>DCF!D78+DCF!D79+DCF!D80</f>
        <v>279.30252684499999</v>
      </c>
      <c r="O10" s="2078">
        <f>N10</f>
        <v>279.30252684499999</v>
      </c>
      <c r="P10" s="2074"/>
      <c r="S10" s="642"/>
      <c r="T10" s="2089"/>
      <c r="U10" s="2089"/>
      <c r="V10" s="642"/>
      <c r="W10" s="2089"/>
      <c r="AC10" s="562"/>
    </row>
    <row r="11" spans="2:29" s="518" customFormat="1" x14ac:dyDescent="0.25">
      <c r="B11" s="2072"/>
      <c r="C11" s="271" t="s">
        <v>1813</v>
      </c>
      <c r="D11" s="2092">
        <f>IF(D13,D13,D12)</f>
        <v>0.109538</v>
      </c>
      <c r="E11" s="32"/>
      <c r="F11" s="29"/>
      <c r="G11" s="2076"/>
      <c r="H11" s="196"/>
      <c r="I11" s="196"/>
      <c r="J11" s="196"/>
      <c r="K11" s="2072"/>
      <c r="L11" s="1930" t="s">
        <v>1815</v>
      </c>
      <c r="M11" s="1930"/>
      <c r="N11" s="2093">
        <f ca="1">+N7+N8+N10</f>
        <v>2969.4181949153867</v>
      </c>
      <c r="O11" s="2093"/>
      <c r="P11" s="2074"/>
      <c r="S11" s="642" t="s">
        <v>1816</v>
      </c>
      <c r="T11" s="2084">
        <f>+D30</f>
        <v>52.378914999999999</v>
      </c>
      <c r="U11" s="2085"/>
      <c r="V11" s="642" t="s">
        <v>1817</v>
      </c>
      <c r="W11" s="2080">
        <f>+D21</f>
        <v>0.20879428989303009</v>
      </c>
    </row>
    <row r="12" spans="2:29" s="518" customFormat="1" x14ac:dyDescent="0.25">
      <c r="B12" s="2072"/>
      <c r="C12" s="271" t="s">
        <v>1818</v>
      </c>
      <c r="D12" s="2086">
        <f>'ERP-Beta'!L23</f>
        <v>0.109538</v>
      </c>
      <c r="E12" s="32"/>
      <c r="F12" s="29"/>
      <c r="G12" s="2076"/>
      <c r="H12" s="196"/>
      <c r="I12" s="196"/>
      <c r="J12" s="196"/>
      <c r="K12" s="2072"/>
      <c r="L12" s="2087" t="s">
        <v>1819</v>
      </c>
      <c r="M12" s="2087"/>
      <c r="N12" s="2078">
        <f>DCF!D81</f>
        <v>95.986460433999994</v>
      </c>
      <c r="O12" s="2078"/>
      <c r="P12" s="2074"/>
      <c r="S12" s="642" t="s">
        <v>1820</v>
      </c>
      <c r="T12" s="2084">
        <f>+D31</f>
        <v>52.378914999999999</v>
      </c>
      <c r="U12" s="2085"/>
      <c r="V12" s="780" t="s">
        <v>1821</v>
      </c>
      <c r="W12" s="2080">
        <f>+D28</f>
        <v>3.0285714285714284E-2</v>
      </c>
    </row>
    <row r="13" spans="2:29" s="518" customFormat="1" ht="13.8" x14ac:dyDescent="0.25">
      <c r="B13" s="2072"/>
      <c r="C13" s="271" t="s">
        <v>1822</v>
      </c>
      <c r="D13" s="2086"/>
      <c r="E13" s="32"/>
      <c r="F13" s="29"/>
      <c r="G13" s="2076"/>
      <c r="H13" s="196"/>
      <c r="I13" s="196"/>
      <c r="J13" s="196"/>
      <c r="K13" s="2072"/>
      <c r="L13" s="2094" t="s">
        <v>1823</v>
      </c>
      <c r="M13" s="2094"/>
      <c r="N13" s="2093">
        <f ca="1">N11-N12</f>
        <v>2873.4317344813867</v>
      </c>
      <c r="O13" s="2093">
        <f ca="1">+O7+O8+O10</f>
        <v>2823.885991438754</v>
      </c>
      <c r="P13" s="2074"/>
      <c r="S13" s="2095"/>
      <c r="T13" s="2096"/>
      <c r="U13" s="2096"/>
      <c r="V13" s="2095"/>
      <c r="W13" s="2095"/>
    </row>
    <row r="14" spans="2:29" s="518" customFormat="1" x14ac:dyDescent="0.25">
      <c r="B14" s="2072"/>
      <c r="C14" s="212"/>
      <c r="D14" s="212"/>
      <c r="E14" s="32"/>
      <c r="F14" s="29"/>
      <c r="G14" s="2076"/>
      <c r="H14" s="196"/>
      <c r="I14" s="196"/>
      <c r="J14" s="196"/>
      <c r="K14" s="2072"/>
      <c r="L14" s="2087" t="s">
        <v>1824</v>
      </c>
      <c r="M14" s="2087"/>
      <c r="N14" s="2078">
        <f>D31</f>
        <v>52.378914999999999</v>
      </c>
      <c r="O14" s="2078">
        <f>D31</f>
        <v>52.378914999999999</v>
      </c>
      <c r="P14" s="2074"/>
    </row>
    <row r="15" spans="2:29" s="518" customFormat="1" x14ac:dyDescent="0.25">
      <c r="B15" s="2072"/>
      <c r="C15" s="42" t="s">
        <v>1806</v>
      </c>
      <c r="D15" s="29"/>
      <c r="E15" s="32"/>
      <c r="F15" s="29"/>
      <c r="G15" s="2076"/>
      <c r="H15" s="196"/>
      <c r="I15" s="196"/>
      <c r="J15" s="196"/>
      <c r="K15" s="2072"/>
      <c r="L15" s="2395" t="s">
        <v>1825</v>
      </c>
      <c r="M15" s="2395"/>
      <c r="N15" s="2097">
        <f ca="1">N13/N14*1000</f>
        <v>54858.55777045757</v>
      </c>
      <c r="O15" s="2097">
        <f ca="1">O13/O14*1000</f>
        <v>53912.647702587077</v>
      </c>
      <c r="P15" s="2074"/>
    </row>
    <row r="16" spans="2:29" s="518" customFormat="1" x14ac:dyDescent="0.25">
      <c r="B16" s="2072"/>
      <c r="C16" s="29" t="s">
        <v>1826</v>
      </c>
      <c r="D16" s="2098">
        <f ca="1">DCF!W50</f>
        <v>4.1521155097313495E-2</v>
      </c>
      <c r="E16" s="32"/>
      <c r="F16" s="29"/>
      <c r="G16" s="2076"/>
      <c r="H16" s="196"/>
      <c r="I16" s="196"/>
      <c r="J16" s="196"/>
      <c r="K16" s="2072"/>
      <c r="L16" s="2099" t="s">
        <v>1827</v>
      </c>
      <c r="M16" s="2099"/>
      <c r="N16" s="2100">
        <v>53700</v>
      </c>
      <c r="O16" s="2100">
        <f>N16</f>
        <v>53700</v>
      </c>
      <c r="P16" s="2074"/>
    </row>
    <row r="17" spans="2:16" s="518" customFormat="1" x14ac:dyDescent="0.25">
      <c r="B17" s="2072"/>
      <c r="C17" s="29" t="s">
        <v>1809</v>
      </c>
      <c r="D17" s="2101">
        <f ca="1">D16/(1-D16)</f>
        <v>4.3319845104697226E-2</v>
      </c>
      <c r="E17" s="32"/>
      <c r="F17" s="29"/>
      <c r="G17" s="2076"/>
      <c r="H17" s="196"/>
      <c r="I17" s="196"/>
      <c r="J17" s="196"/>
      <c r="K17" s="2072"/>
      <c r="L17" s="2102" t="s">
        <v>1828</v>
      </c>
      <c r="M17" s="2102"/>
      <c r="N17" s="2103">
        <f ca="1">N15/N16-1</f>
        <v>2.157463259697523E-2</v>
      </c>
      <c r="O17" s="2103">
        <f ca="1">O15/O16-1</f>
        <v>3.9599199736886082E-3</v>
      </c>
      <c r="P17" s="2074"/>
    </row>
    <row r="18" spans="2:16" s="518" customFormat="1" x14ac:dyDescent="0.25">
      <c r="B18" s="2072"/>
      <c r="C18" s="42" t="s">
        <v>1811</v>
      </c>
      <c r="D18" s="1240">
        <f ca="1">D9+D10*(1+D17*(1-D21))*D11</f>
        <v>0.11366944167518404</v>
      </c>
      <c r="E18" s="32"/>
      <c r="F18" s="29"/>
      <c r="G18" s="2076"/>
      <c r="H18" s="196"/>
      <c r="I18" s="196"/>
      <c r="J18" s="196"/>
      <c r="K18" s="2072"/>
      <c r="P18" s="2074"/>
    </row>
    <row r="19" spans="2:16" s="518" customFormat="1" x14ac:dyDescent="0.25">
      <c r="B19" s="2072"/>
      <c r="C19" s="29" t="s">
        <v>1829</v>
      </c>
      <c r="D19" s="1240">
        <v>0.15</v>
      </c>
      <c r="E19" s="32"/>
      <c r="F19" s="29"/>
      <c r="G19" s="2076"/>
      <c r="H19" s="196"/>
      <c r="I19" s="196"/>
      <c r="J19" s="196"/>
      <c r="K19" s="2072"/>
      <c r="P19" s="2074"/>
    </row>
    <row r="20" spans="2:16" s="518" customFormat="1" x14ac:dyDescent="0.25">
      <c r="B20" s="2072"/>
      <c r="C20" s="103" t="s">
        <v>1830</v>
      </c>
      <c r="D20" s="2104">
        <f>Debt!R114</f>
        <v>7.0000000000000007E-2</v>
      </c>
      <c r="E20" s="32"/>
      <c r="F20" s="29"/>
      <c r="G20" s="2105"/>
      <c r="H20" s="148"/>
      <c r="I20" s="196"/>
      <c r="J20" s="196"/>
      <c r="K20" s="2072"/>
      <c r="L20" s="2106" t="s">
        <v>1831</v>
      </c>
      <c r="M20" s="2107" t="s">
        <v>1832</v>
      </c>
      <c r="N20" s="2107" t="s">
        <v>1833</v>
      </c>
      <c r="O20" s="2108" t="s">
        <v>1834</v>
      </c>
      <c r="P20" s="2074"/>
    </row>
    <row r="21" spans="2:16" s="518" customFormat="1" x14ac:dyDescent="0.25">
      <c r="B21" s="2072"/>
      <c r="C21" s="29" t="s">
        <v>1782</v>
      </c>
      <c r="D21" s="2109">
        <f>'ERP-Beta'!Q24</f>
        <v>0.20879428989303009</v>
      </c>
      <c r="E21" s="32"/>
      <c r="F21" s="29"/>
      <c r="G21" s="2076"/>
      <c r="H21" s="196"/>
      <c r="I21" s="196"/>
      <c r="J21" s="196"/>
      <c r="K21" s="2072"/>
      <c r="L21" s="246" t="s">
        <v>1803</v>
      </c>
      <c r="M21" s="124">
        <f ca="1">O15</f>
        <v>53912.647702587077</v>
      </c>
      <c r="N21" s="2110">
        <v>0.5</v>
      </c>
      <c r="O21" s="2111">
        <f ca="1">ROUND(M21*N21,-2)</f>
        <v>27000</v>
      </c>
      <c r="P21" s="2074"/>
    </row>
    <row r="22" spans="2:16" s="518" customFormat="1" x14ac:dyDescent="0.25">
      <c r="B22" s="2072"/>
      <c r="C22" s="29" t="s">
        <v>1835</v>
      </c>
      <c r="D22" s="259"/>
      <c r="E22" s="32"/>
      <c r="F22" s="29"/>
      <c r="G22" s="2076"/>
      <c r="H22" s="196"/>
      <c r="I22" s="196"/>
      <c r="J22" s="196"/>
      <c r="K22" s="2077"/>
      <c r="L22" s="246" t="s">
        <v>1802</v>
      </c>
      <c r="M22" s="124">
        <f ca="1">N15</f>
        <v>54858.55777045757</v>
      </c>
      <c r="N22" s="2110">
        <v>0.5</v>
      </c>
      <c r="O22" s="2111">
        <f ca="1">ROUND(M22*N22,-2)</f>
        <v>27400</v>
      </c>
      <c r="P22" s="2074"/>
    </row>
    <row r="23" spans="2:16" s="518" customFormat="1" x14ac:dyDescent="0.25">
      <c r="B23" s="2072"/>
      <c r="C23" s="29"/>
      <c r="D23" s="29"/>
      <c r="E23" s="32"/>
      <c r="F23" s="42"/>
      <c r="G23" s="2076"/>
      <c r="H23" s="196"/>
      <c r="I23" s="196"/>
      <c r="J23" s="196"/>
      <c r="K23" s="2072"/>
      <c r="L23" s="246" t="s">
        <v>1836</v>
      </c>
      <c r="M23" s="204"/>
      <c r="N23" s="2110">
        <v>0.25</v>
      </c>
      <c r="O23" s="2111">
        <f>IFERROR(ROUND(M23*N23,-2),"")</f>
        <v>0</v>
      </c>
      <c r="P23" s="2074"/>
    </row>
    <row r="24" spans="2:16" s="518" customFormat="1" x14ac:dyDescent="0.25">
      <c r="B24" s="2072"/>
      <c r="C24" s="42" t="s">
        <v>1837</v>
      </c>
      <c r="D24" s="1240">
        <f ca="1">IF(D26,D26,D25)</f>
        <v>0.10894975515756369</v>
      </c>
      <c r="E24" s="32"/>
      <c r="F24" s="29"/>
      <c r="G24" s="2076"/>
      <c r="H24" s="196"/>
      <c r="I24" s="196"/>
      <c r="J24" s="196"/>
      <c r="K24" s="2072"/>
      <c r="L24" s="246" t="s">
        <v>1838</v>
      </c>
      <c r="M24" s="204"/>
      <c r="N24" s="2110">
        <v>0.25</v>
      </c>
      <c r="O24" s="2111">
        <f>IFERROR(ROUND(M24*N24,-2),"")</f>
        <v>0</v>
      </c>
      <c r="P24" s="2074"/>
    </row>
    <row r="25" spans="2:16" s="518" customFormat="1" x14ac:dyDescent="0.25">
      <c r="B25" s="2072"/>
      <c r="C25" s="419" t="s">
        <v>1839</v>
      </c>
      <c r="D25" s="415">
        <f ca="1">(1-D16)*D18+D16*D22</f>
        <v>0.10894975515756369</v>
      </c>
      <c r="E25" s="32"/>
      <c r="F25" s="29"/>
      <c r="G25" s="29"/>
      <c r="H25" s="29"/>
      <c r="I25" s="29"/>
      <c r="J25" s="29"/>
      <c r="K25" s="2072"/>
      <c r="L25" s="2112" t="s">
        <v>1840</v>
      </c>
      <c r="M25" s="2112"/>
      <c r="N25" s="2112"/>
      <c r="O25" s="2113">
        <f ca="1">SUM(O21:O24)</f>
        <v>54400</v>
      </c>
      <c r="P25" s="2074"/>
    </row>
    <row r="26" spans="2:16" s="518" customFormat="1" x14ac:dyDescent="0.25">
      <c r="B26" s="2072"/>
      <c r="C26" s="419" t="s">
        <v>1841</v>
      </c>
      <c r="D26" s="2086"/>
      <c r="E26" s="32"/>
      <c r="F26" s="29"/>
      <c r="G26" s="29"/>
      <c r="H26" s="29"/>
      <c r="I26" s="29"/>
      <c r="J26" s="29"/>
      <c r="K26" s="2072"/>
      <c r="P26" s="2074"/>
    </row>
    <row r="27" spans="2:16" s="518" customFormat="1" x14ac:dyDescent="0.25">
      <c r="B27" s="2072"/>
      <c r="C27" s="29"/>
      <c r="D27" s="29"/>
      <c r="E27" s="32"/>
      <c r="F27" s="29"/>
      <c r="G27" s="29"/>
      <c r="H27" s="29"/>
      <c r="I27" s="29"/>
      <c r="J27" s="29"/>
      <c r="K27" s="2072"/>
      <c r="P27" s="2074"/>
    </row>
    <row r="28" spans="2:16" s="518" customFormat="1" x14ac:dyDescent="0.25">
      <c r="B28" s="2072"/>
      <c r="C28" s="42" t="s">
        <v>1821</v>
      </c>
      <c r="D28" s="2109">
        <f>(10.6/3.5)/100</f>
        <v>3.0285714285714284E-2</v>
      </c>
      <c r="E28" s="2248"/>
      <c r="F28" s="2249" t="s">
        <v>1931</v>
      </c>
      <c r="G28" s="29"/>
      <c r="H28" s="29"/>
      <c r="I28" s="29"/>
      <c r="J28" s="29"/>
      <c r="K28" s="2072"/>
      <c r="L28" s="1173" t="s">
        <v>1842</v>
      </c>
      <c r="M28" s="2114"/>
      <c r="N28" s="2114"/>
      <c r="O28" s="2115"/>
      <c r="P28" s="2074"/>
    </row>
    <row r="29" spans="2:16" s="518" customFormat="1" x14ac:dyDescent="0.25">
      <c r="B29" s="2072"/>
      <c r="C29" s="42"/>
      <c r="D29" s="29"/>
      <c r="E29" s="32"/>
      <c r="F29" s="29"/>
      <c r="G29" s="29"/>
      <c r="H29" s="29"/>
      <c r="I29" s="29"/>
      <c r="J29" s="29"/>
      <c r="K29" s="2072"/>
      <c r="L29" s="29" t="s">
        <v>1843</v>
      </c>
      <c r="M29" s="29"/>
      <c r="N29" s="29"/>
      <c r="O29" s="124">
        <f>N16</f>
        <v>53700</v>
      </c>
      <c r="P29" s="2074"/>
    </row>
    <row r="30" spans="2:16" s="518" customFormat="1" x14ac:dyDescent="0.25">
      <c r="B30" s="2072"/>
      <c r="C30" s="29" t="s">
        <v>1816</v>
      </c>
      <c r="D30" s="2090">
        <f>'Welfare &amp; Dividends'!N29/10^6</f>
        <v>52.378914999999999</v>
      </c>
      <c r="E30" s="32"/>
      <c r="F30" s="29"/>
      <c r="G30" s="29"/>
      <c r="H30" s="29"/>
      <c r="I30" s="29"/>
      <c r="J30" s="29"/>
      <c r="K30" s="2072"/>
      <c r="L30" s="29" t="s">
        <v>1840</v>
      </c>
      <c r="M30" s="29"/>
      <c r="N30" s="29"/>
      <c r="O30" s="124">
        <f ca="1">O25</f>
        <v>54400</v>
      </c>
      <c r="P30" s="2074"/>
    </row>
    <row r="31" spans="2:16" s="518" customFormat="1" x14ac:dyDescent="0.25">
      <c r="B31" s="2072"/>
      <c r="C31" s="29" t="s">
        <v>1820</v>
      </c>
      <c r="D31" s="2090">
        <f>'Welfare &amp; Dividends'!N29/10^6</f>
        <v>52.378914999999999</v>
      </c>
      <c r="E31" s="32"/>
      <c r="F31" s="29"/>
      <c r="G31" s="29"/>
      <c r="H31" s="29"/>
      <c r="I31" s="29"/>
      <c r="J31" s="29"/>
      <c r="K31" s="2072"/>
      <c r="L31" s="29" t="s">
        <v>1844</v>
      </c>
      <c r="M31" s="29"/>
      <c r="N31" s="29"/>
      <c r="O31" s="196">
        <f ca="1">O30/O29-1</f>
        <v>1.3035381750465591E-2</v>
      </c>
      <c r="P31" s="2074"/>
    </row>
    <row r="32" spans="2:16" s="518" customFormat="1" x14ac:dyDescent="0.25">
      <c r="B32" s="2116"/>
      <c r="C32" s="2117"/>
      <c r="D32" s="2117"/>
      <c r="E32" s="2118"/>
      <c r="F32" s="29"/>
      <c r="G32" s="29"/>
      <c r="H32" s="29"/>
      <c r="I32" s="29"/>
      <c r="J32" s="29"/>
      <c r="K32" s="2072"/>
      <c r="L32" s="29" t="s">
        <v>1845</v>
      </c>
      <c r="M32" s="29"/>
      <c r="N32" s="29"/>
      <c r="O32" s="196">
        <v>0</v>
      </c>
      <c r="P32" s="2074"/>
    </row>
    <row r="33" spans="2:16" s="518" customFormat="1" x14ac:dyDescent="0.25">
      <c r="C33" s="29"/>
      <c r="D33" s="29"/>
      <c r="E33" s="29"/>
      <c r="F33" s="29"/>
      <c r="G33" s="29"/>
      <c r="H33" s="29"/>
      <c r="I33" s="29"/>
      <c r="J33" s="29"/>
      <c r="K33" s="2072"/>
      <c r="L33" s="2112" t="s">
        <v>1846</v>
      </c>
      <c r="M33" s="2119"/>
      <c r="N33" s="2119"/>
      <c r="O33" s="2120">
        <f ca="1">O31+O32</f>
        <v>1.3035381750465591E-2</v>
      </c>
      <c r="P33" s="2074"/>
    </row>
    <row r="34" spans="2:16" s="518" customFormat="1" ht="14.4" x14ac:dyDescent="0.3">
      <c r="B34" s="2247"/>
      <c r="C34" s="29"/>
      <c r="D34" s="29"/>
      <c r="E34" s="29"/>
      <c r="F34" s="29"/>
      <c r="G34" s="29"/>
      <c r="H34" s="29"/>
      <c r="I34" s="29"/>
      <c r="J34" s="29"/>
      <c r="K34" s="2116"/>
      <c r="L34" s="2121"/>
      <c r="M34" s="2121"/>
      <c r="N34" s="2121"/>
      <c r="O34" s="2121"/>
      <c r="P34" s="2122"/>
    </row>
    <row r="35" spans="2:16" s="518" customFormat="1" x14ac:dyDescent="0.25">
      <c r="B35" s="562"/>
    </row>
    <row r="36" spans="2:16" s="518" customFormat="1" x14ac:dyDescent="0.25">
      <c r="B36" s="518" t="s">
        <v>1930</v>
      </c>
      <c r="F36" s="736"/>
    </row>
    <row r="37" spans="2:16" s="518" customFormat="1" ht="14.4" x14ac:dyDescent="0.3">
      <c r="B37" s="2247" t="s">
        <v>1929</v>
      </c>
    </row>
    <row r="38" spans="2:16" s="518" customFormat="1" x14ac:dyDescent="0.25"/>
    <row r="39" spans="2:16" s="518" customFormat="1" x14ac:dyDescent="0.25"/>
    <row r="40" spans="2:16" s="518" customFormat="1" x14ac:dyDescent="0.25"/>
    <row r="41" spans="2:16" s="518" customFormat="1" x14ac:dyDescent="0.25">
      <c r="F41" s="562"/>
    </row>
    <row r="42" spans="2:16" s="518" customFormat="1" x14ac:dyDescent="0.25">
      <c r="B42" s="562"/>
      <c r="C42" s="42"/>
      <c r="D42" s="42"/>
      <c r="E42" s="44"/>
      <c r="F42" s="29"/>
      <c r="G42" s="29"/>
      <c r="H42" s="29"/>
      <c r="I42" s="29"/>
      <c r="J42" s="29"/>
      <c r="K42" s="790"/>
      <c r="L42" s="790"/>
      <c r="M42" s="790"/>
      <c r="N42" s="790"/>
      <c r="O42" s="790"/>
      <c r="P42" s="790"/>
    </row>
    <row r="43" spans="2:16" x14ac:dyDescent="0.25">
      <c r="E43" s="2123"/>
    </row>
    <row r="44" spans="2:16" x14ac:dyDescent="0.25">
      <c r="B44" s="2124"/>
    </row>
  </sheetData>
  <mergeCells count="9">
    <mergeCell ref="S5:W5"/>
    <mergeCell ref="S6:T6"/>
    <mergeCell ref="V6:W6"/>
    <mergeCell ref="L15:M15"/>
    <mergeCell ref="B2:E2"/>
    <mergeCell ref="K2:P2"/>
    <mergeCell ref="C5:D5"/>
    <mergeCell ref="G5:H6"/>
    <mergeCell ref="L5:M5"/>
  </mergeCells>
  <dataValidations disablePrompts="1" count="1">
    <dataValidation type="list" allowBlank="1" showInputMessage="1" showErrorMessage="1" sqref="F23 K22" xr:uid="{22590F95-2056-4B08-81EF-482D73E932CE}">
      <formula1>$C$25:$C$26</formula1>
    </dataValidation>
  </dataValidations>
  <hyperlinks>
    <hyperlink ref="B37" r:id="rId1" xr:uid="{203E5A50-3E40-4107-90CC-B9C41076C3D6}"/>
  </hyperlinks>
  <pageMargins left="0.7" right="0.7" top="0.75" bottom="0.75" header="0.3" footer="0.3"/>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FB901-3BC9-439E-956F-A324423D5648}">
  <dimension ref="B1:BK130295"/>
  <sheetViews>
    <sheetView zoomScale="85" zoomScaleNormal="85" workbookViewId="0">
      <pane ySplit="1" topLeftCell="A2" activePane="bottomLeft" state="frozen"/>
      <selection pane="bottomLeft" activeCell="N74" sqref="N74"/>
    </sheetView>
  </sheetViews>
  <sheetFormatPr defaultColWidth="9.109375" defaultRowHeight="13.2" x14ac:dyDescent="0.3"/>
  <cols>
    <col min="1" max="1" width="3.6640625" style="1899" customWidth="1"/>
    <col min="2" max="2" width="7.109375" style="1899" customWidth="1"/>
    <col min="3" max="3" width="50.88671875" style="1899" bestFit="1" customWidth="1"/>
    <col min="4" max="4" width="19.33203125" style="1899" bestFit="1" customWidth="1"/>
    <col min="5" max="7" width="7.6640625" style="1900" customWidth="1"/>
    <col min="8" max="8" width="13" style="1900" customWidth="1"/>
    <col min="9" max="12" width="7.6640625" style="1900" customWidth="1"/>
    <col min="13" max="13" width="7.6640625" style="1902" customWidth="1"/>
    <col min="14" max="14" width="9.88671875" style="1900" bestFit="1" customWidth="1"/>
    <col min="15" max="15" width="7.6640625" style="1900" customWidth="1"/>
    <col min="16" max="16" width="10.33203125" style="1900" customWidth="1"/>
    <col min="17" max="17" width="9.109375" style="1900" bestFit="1"/>
    <col min="18" max="18" width="9" style="1900" customWidth="1"/>
    <col min="19" max="22" width="9.109375" style="1900"/>
    <col min="23" max="23" width="23" style="1900" customWidth="1"/>
    <col min="24" max="52" width="11.5546875" style="1900" customWidth="1"/>
    <col min="53" max="53" width="14.6640625" style="1900" customWidth="1"/>
    <col min="54" max="54" width="9.109375" style="1900"/>
    <col min="55" max="55" width="6.88671875" style="1900" customWidth="1"/>
    <col min="56" max="58" width="9.109375" style="1900"/>
    <col min="59" max="59" width="12.88671875" style="1900" customWidth="1"/>
    <col min="60" max="60" width="12.88671875" style="1899" customWidth="1"/>
    <col min="61" max="16384" width="9.109375" style="1899"/>
  </cols>
  <sheetData>
    <row r="1" spans="2:61" x14ac:dyDescent="0.3">
      <c r="G1" s="2125">
        <f>G9</f>
        <v>42369</v>
      </c>
      <c r="H1" s="2125">
        <f t="shared" ref="H1:W1" si="0">H9</f>
        <v>42735</v>
      </c>
      <c r="I1" s="2125">
        <f t="shared" si="0"/>
        <v>43100</v>
      </c>
      <c r="J1" s="2125">
        <f t="shared" si="0"/>
        <v>43465</v>
      </c>
      <c r="K1" s="2125">
        <f t="shared" si="0"/>
        <v>43830</v>
      </c>
      <c r="L1" s="2125">
        <f t="shared" si="0"/>
        <v>44196</v>
      </c>
      <c r="M1" s="2125">
        <f t="shared" si="0"/>
        <v>44561</v>
      </c>
      <c r="N1" s="2125">
        <f t="shared" si="0"/>
        <v>44926</v>
      </c>
      <c r="O1" s="2125">
        <f t="shared" si="0"/>
        <v>45291</v>
      </c>
      <c r="P1" s="2125">
        <f t="shared" si="0"/>
        <v>45657</v>
      </c>
      <c r="Q1" s="2125">
        <f t="shared" si="0"/>
        <v>46022</v>
      </c>
      <c r="R1" s="2125">
        <f t="shared" si="0"/>
        <v>46387</v>
      </c>
      <c r="S1" s="2125">
        <f t="shared" si="0"/>
        <v>46752</v>
      </c>
      <c r="T1" s="2125">
        <f t="shared" si="0"/>
        <v>47118</v>
      </c>
      <c r="U1" s="2125">
        <f t="shared" si="0"/>
        <v>47483</v>
      </c>
      <c r="V1" s="2125">
        <f t="shared" si="0"/>
        <v>47848</v>
      </c>
      <c r="W1" s="2125">
        <f t="shared" si="0"/>
        <v>48213</v>
      </c>
    </row>
    <row r="2" spans="2:61" x14ac:dyDescent="0.3">
      <c r="B2" s="1898" t="s">
        <v>1749</v>
      </c>
      <c r="L2" s="1901"/>
    </row>
    <row r="3" spans="2:61" x14ac:dyDescent="0.3">
      <c r="B3" s="1898"/>
      <c r="L3" s="1901"/>
    </row>
    <row r="4" spans="2:61" x14ac:dyDescent="0.25">
      <c r="C4" s="1903" t="s">
        <v>1750</v>
      </c>
      <c r="D4" s="1904">
        <v>44613</v>
      </c>
      <c r="E4" s="1905"/>
      <c r="F4" s="1905"/>
      <c r="G4" s="1905"/>
      <c r="H4" s="1905"/>
      <c r="I4" s="1905"/>
      <c r="J4" s="1905"/>
      <c r="K4" s="1905"/>
      <c r="L4" s="1905"/>
      <c r="M4" s="1906"/>
      <c r="N4" s="1905"/>
      <c r="O4" s="1905"/>
      <c r="P4" s="1905"/>
      <c r="Q4" s="1905"/>
      <c r="R4" s="1905"/>
      <c r="S4" s="1905"/>
      <c r="T4" s="1905"/>
      <c r="U4" s="1905"/>
      <c r="V4" s="1905"/>
      <c r="W4" s="1905"/>
      <c r="X4" s="1905"/>
      <c r="Y4" s="1905"/>
      <c r="Z4" s="1905"/>
      <c r="AA4" s="1905"/>
      <c r="AB4" s="1905"/>
      <c r="AC4" s="1905"/>
      <c r="AD4" s="1905"/>
      <c r="AE4" s="1905"/>
      <c r="AF4" s="1905"/>
      <c r="AG4" s="1905"/>
      <c r="AH4" s="1905"/>
      <c r="AI4" s="1905"/>
      <c r="AJ4" s="1905"/>
      <c r="AK4" s="1905"/>
      <c r="AL4" s="1905"/>
      <c r="AM4" s="1905"/>
      <c r="AN4" s="1905"/>
      <c r="AO4" s="1905"/>
      <c r="AP4" s="1905"/>
      <c r="AQ4" s="1905"/>
      <c r="AR4" s="1905"/>
      <c r="AS4" s="1905"/>
      <c r="AT4" s="1905"/>
      <c r="AU4" s="1905"/>
      <c r="AV4" s="1905"/>
      <c r="AW4" s="1905"/>
      <c r="AX4" s="1905"/>
      <c r="AY4" s="1905"/>
      <c r="AZ4" s="1905"/>
      <c r="BA4" s="1905"/>
      <c r="BB4" s="1899"/>
      <c r="BC4" s="1899"/>
      <c r="BD4" s="1899"/>
      <c r="BE4" s="1899"/>
      <c r="BF4" s="1899"/>
      <c r="BG4" s="1899"/>
    </row>
    <row r="5" spans="2:61" x14ac:dyDescent="0.3">
      <c r="C5" s="1907" t="s">
        <v>1751</v>
      </c>
      <c r="D5" s="1908">
        <f>DAYS360(D4,N9)/360</f>
        <v>0.86111111111111116</v>
      </c>
      <c r="E5" s="1905"/>
      <c r="F5" s="1905"/>
      <c r="G5" s="1905"/>
      <c r="H5" s="1905"/>
      <c r="I5" s="1905"/>
      <c r="J5" s="1905"/>
      <c r="K5" s="1905"/>
      <c r="L5" s="1905"/>
      <c r="M5" s="1906"/>
      <c r="N5" s="1905"/>
      <c r="O5" s="1905"/>
      <c r="P5" s="1905"/>
      <c r="Q5" s="1905"/>
      <c r="R5" s="1905"/>
      <c r="S5" s="1905"/>
      <c r="T5" s="1905"/>
      <c r="U5" s="1905"/>
      <c r="V5" s="1905"/>
      <c r="W5" s="1905"/>
      <c r="X5" s="1905"/>
      <c r="Y5" s="1905"/>
      <c r="Z5" s="1905"/>
      <c r="AA5" s="1905"/>
      <c r="AB5" s="1905"/>
      <c r="AC5" s="1905"/>
      <c r="AD5" s="1905"/>
      <c r="AE5" s="1905"/>
      <c r="AF5" s="1905"/>
      <c r="AG5" s="1905"/>
      <c r="AH5" s="1905"/>
      <c r="AI5" s="1905"/>
      <c r="AJ5" s="1905"/>
      <c r="AK5" s="1905"/>
      <c r="AL5" s="1905"/>
      <c r="AM5" s="1905"/>
      <c r="AN5" s="1905"/>
      <c r="AO5" s="1905"/>
      <c r="AP5" s="1905"/>
      <c r="AQ5" s="1905"/>
      <c r="AR5" s="1905"/>
      <c r="AS5" s="1905"/>
      <c r="AT5" s="1905"/>
      <c r="AU5" s="1905"/>
      <c r="AV5" s="1905"/>
      <c r="AW5" s="1905"/>
      <c r="AX5" s="1905"/>
      <c r="AY5" s="1905"/>
      <c r="AZ5" s="1905"/>
      <c r="BA5" s="1905"/>
      <c r="BB5" s="1899"/>
      <c r="BC5" s="1899"/>
      <c r="BD5" s="1899"/>
      <c r="BE5" s="1899"/>
      <c r="BF5" s="1899"/>
      <c r="BG5" s="1899"/>
    </row>
    <row r="6" spans="2:61" ht="11.25" customHeight="1" x14ac:dyDescent="0.3">
      <c r="C6" s="1907"/>
      <c r="D6" s="1908"/>
      <c r="E6" s="1905"/>
      <c r="F6" s="1905"/>
      <c r="G6" s="1905"/>
      <c r="H6" s="1905"/>
      <c r="I6" s="1905"/>
      <c r="J6" s="1905"/>
      <c r="K6" s="1905"/>
      <c r="L6" s="1905"/>
      <c r="M6" s="1906"/>
      <c r="N6" s="1905"/>
      <c r="O6" s="1905"/>
      <c r="P6" s="1905"/>
      <c r="Q6" s="1905"/>
      <c r="R6" s="1905"/>
      <c r="S6" s="1905"/>
      <c r="T6" s="1905"/>
      <c r="U6" s="1905"/>
      <c r="V6" s="1905"/>
      <c r="W6" s="1905"/>
      <c r="X6" s="1905"/>
      <c r="Y6" s="1905"/>
      <c r="Z6" s="1905"/>
      <c r="AA6" s="1905"/>
      <c r="AB6" s="1905"/>
      <c r="AC6" s="1905"/>
      <c r="AD6" s="1905"/>
      <c r="AE6" s="1905"/>
      <c r="AF6" s="1905"/>
      <c r="AG6" s="1905"/>
      <c r="AH6" s="1905"/>
      <c r="AI6" s="1905"/>
      <c r="AJ6" s="1905"/>
      <c r="AK6" s="1905"/>
      <c r="AL6" s="1905"/>
      <c r="AM6" s="1905"/>
      <c r="AN6" s="1905"/>
      <c r="AO6" s="1905"/>
      <c r="AP6" s="1905"/>
      <c r="AQ6" s="1905"/>
      <c r="AR6" s="1905"/>
      <c r="AS6" s="1905"/>
      <c r="AT6" s="1905"/>
      <c r="AU6" s="1905"/>
      <c r="AV6" s="1905"/>
      <c r="AW6" s="1905"/>
      <c r="AX6" s="1905"/>
      <c r="AY6" s="1905"/>
      <c r="AZ6" s="1905"/>
      <c r="BA6" s="1905"/>
      <c r="BB6" s="1899"/>
      <c r="BC6" s="1899"/>
      <c r="BD6" s="1899"/>
      <c r="BE6" s="1899"/>
      <c r="BF6" s="1899"/>
      <c r="BG6" s="1899"/>
    </row>
    <row r="7" spans="2:61" ht="18" customHeight="1" x14ac:dyDescent="0.3">
      <c r="C7" s="1909" t="s">
        <v>1752</v>
      </c>
      <c r="D7" s="1910"/>
      <c r="E7" s="1911"/>
      <c r="F7" s="1911"/>
      <c r="G7" s="1911"/>
      <c r="H7" s="1911"/>
      <c r="I7" s="1911"/>
      <c r="J7" s="1911"/>
      <c r="K7" s="1911"/>
      <c r="L7" s="1911"/>
      <c r="M7" s="1912"/>
      <c r="N7" s="1913">
        <v>1</v>
      </c>
      <c r="O7" s="1913">
        <v>2</v>
      </c>
      <c r="P7" s="1913">
        <v>3</v>
      </c>
      <c r="Q7" s="1913">
        <v>4</v>
      </c>
      <c r="R7" s="1913">
        <v>5</v>
      </c>
      <c r="S7" s="1913">
        <v>6</v>
      </c>
      <c r="T7" s="1913">
        <v>7</v>
      </c>
      <c r="U7" s="1913">
        <v>8</v>
      </c>
      <c r="V7" s="1913">
        <v>9</v>
      </c>
      <c r="W7" s="1913">
        <v>10</v>
      </c>
      <c r="X7" s="1913">
        <v>11</v>
      </c>
      <c r="Y7" s="1913">
        <v>12</v>
      </c>
      <c r="Z7" s="1913">
        <v>13</v>
      </c>
      <c r="AA7" s="1913">
        <v>14</v>
      </c>
      <c r="AB7" s="1913">
        <v>15</v>
      </c>
      <c r="AC7" s="1913">
        <v>16</v>
      </c>
      <c r="AD7" s="1913">
        <v>17</v>
      </c>
      <c r="AE7" s="1913">
        <v>18</v>
      </c>
      <c r="AF7" s="1913">
        <v>19</v>
      </c>
      <c r="AG7" s="1913">
        <v>20</v>
      </c>
      <c r="AH7" s="1913">
        <v>21</v>
      </c>
      <c r="AI7" s="1913">
        <v>22</v>
      </c>
      <c r="AJ7" s="1913">
        <v>23</v>
      </c>
      <c r="AK7" s="1913">
        <v>24</v>
      </c>
      <c r="AL7" s="1913">
        <v>25</v>
      </c>
      <c r="AM7" s="1913">
        <v>26</v>
      </c>
      <c r="AN7" s="1913">
        <v>27</v>
      </c>
      <c r="AO7" s="1913">
        <v>28</v>
      </c>
      <c r="AP7" s="1913">
        <v>29</v>
      </c>
      <c r="AQ7" s="1913">
        <v>30</v>
      </c>
      <c r="AR7" s="1913">
        <v>31</v>
      </c>
      <c r="AS7" s="1913">
        <v>32</v>
      </c>
      <c r="AT7" s="1913">
        <v>33</v>
      </c>
      <c r="AU7" s="1913">
        <v>34</v>
      </c>
      <c r="AV7" s="1913">
        <v>35</v>
      </c>
      <c r="AW7" s="1913">
        <v>36</v>
      </c>
      <c r="AX7" s="1913">
        <v>37</v>
      </c>
      <c r="AY7" s="1913">
        <v>38</v>
      </c>
      <c r="AZ7" s="1913">
        <v>39</v>
      </c>
      <c r="BA7" s="1913">
        <v>40</v>
      </c>
      <c r="BB7" s="1899"/>
      <c r="BC7" s="1899"/>
      <c r="BD7" s="1899"/>
      <c r="BE7" s="1899"/>
      <c r="BF7" s="1899"/>
      <c r="BG7" s="1899"/>
    </row>
    <row r="8" spans="2:61" ht="18" customHeight="1" x14ac:dyDescent="0.3">
      <c r="C8" s="1909"/>
      <c r="D8" s="1910"/>
      <c r="E8" s="1911"/>
      <c r="F8" s="1911"/>
      <c r="G8" s="1911"/>
      <c r="H8" s="1911"/>
      <c r="I8" s="1911"/>
      <c r="J8" s="1911"/>
      <c r="K8" s="1911"/>
      <c r="L8" s="1911"/>
      <c r="M8" s="1912"/>
      <c r="N8" s="1914" t="str">
        <f t="shared" ref="N8:BA8" ca="1" si="1">IF(TODAY()&lt;N9,"Proj","")</f>
        <v/>
      </c>
      <c r="O8" s="1914" t="str">
        <f t="shared" ca="1" si="1"/>
        <v/>
      </c>
      <c r="P8" s="1914" t="str">
        <f t="shared" ca="1" si="1"/>
        <v/>
      </c>
      <c r="Q8" s="1914" t="str">
        <f t="shared" ca="1" si="1"/>
        <v>Proj</v>
      </c>
      <c r="R8" s="1914" t="str">
        <f t="shared" ca="1" si="1"/>
        <v>Proj</v>
      </c>
      <c r="S8" s="1914" t="str">
        <f t="shared" ca="1" si="1"/>
        <v>Proj</v>
      </c>
      <c r="T8" s="1914" t="str">
        <f t="shared" ca="1" si="1"/>
        <v>Proj</v>
      </c>
      <c r="U8" s="1914" t="str">
        <f t="shared" ca="1" si="1"/>
        <v>Proj</v>
      </c>
      <c r="V8" s="1914" t="str">
        <f t="shared" ca="1" si="1"/>
        <v>Proj</v>
      </c>
      <c r="W8" s="1914" t="str">
        <f t="shared" ca="1" si="1"/>
        <v>Proj</v>
      </c>
      <c r="X8" s="1914" t="str">
        <f t="shared" ca="1" si="1"/>
        <v>Proj</v>
      </c>
      <c r="Y8" s="1914" t="str">
        <f t="shared" ca="1" si="1"/>
        <v>Proj</v>
      </c>
      <c r="Z8" s="1914" t="str">
        <f t="shared" ca="1" si="1"/>
        <v>Proj</v>
      </c>
      <c r="AA8" s="1914" t="str">
        <f t="shared" ca="1" si="1"/>
        <v>Proj</v>
      </c>
      <c r="AB8" s="1914" t="str">
        <f t="shared" ca="1" si="1"/>
        <v>Proj</v>
      </c>
      <c r="AC8" s="1914" t="str">
        <f t="shared" ca="1" si="1"/>
        <v>Proj</v>
      </c>
      <c r="AD8" s="1914" t="str">
        <f t="shared" ca="1" si="1"/>
        <v>Proj</v>
      </c>
      <c r="AE8" s="1914" t="str">
        <f t="shared" ca="1" si="1"/>
        <v>Proj</v>
      </c>
      <c r="AF8" s="1914" t="str">
        <f t="shared" ca="1" si="1"/>
        <v>Proj</v>
      </c>
      <c r="AG8" s="1914" t="str">
        <f t="shared" ca="1" si="1"/>
        <v>Proj</v>
      </c>
      <c r="AH8" s="1914" t="str">
        <f t="shared" ca="1" si="1"/>
        <v>Proj</v>
      </c>
      <c r="AI8" s="1914" t="str">
        <f t="shared" ca="1" si="1"/>
        <v>Proj</v>
      </c>
      <c r="AJ8" s="1914" t="str">
        <f t="shared" ca="1" si="1"/>
        <v>Proj</v>
      </c>
      <c r="AK8" s="1914" t="str">
        <f t="shared" ca="1" si="1"/>
        <v>Proj</v>
      </c>
      <c r="AL8" s="1914" t="str">
        <f t="shared" ca="1" si="1"/>
        <v>Proj</v>
      </c>
      <c r="AM8" s="1914" t="str">
        <f t="shared" ca="1" si="1"/>
        <v>Proj</v>
      </c>
      <c r="AN8" s="1914" t="str">
        <f t="shared" ca="1" si="1"/>
        <v>Proj</v>
      </c>
      <c r="AO8" s="1914" t="str">
        <f t="shared" ca="1" si="1"/>
        <v>Proj</v>
      </c>
      <c r="AP8" s="1914" t="str">
        <f t="shared" ca="1" si="1"/>
        <v>Proj</v>
      </c>
      <c r="AQ8" s="1914" t="str">
        <f t="shared" ca="1" si="1"/>
        <v>Proj</v>
      </c>
      <c r="AR8" s="1914" t="str">
        <f t="shared" ca="1" si="1"/>
        <v>Proj</v>
      </c>
      <c r="AS8" s="1914" t="str">
        <f t="shared" ca="1" si="1"/>
        <v>Proj</v>
      </c>
      <c r="AT8" s="1914" t="str">
        <f t="shared" ca="1" si="1"/>
        <v>Proj</v>
      </c>
      <c r="AU8" s="1914" t="str">
        <f t="shared" ca="1" si="1"/>
        <v>Proj</v>
      </c>
      <c r="AV8" s="1914" t="str">
        <f t="shared" ca="1" si="1"/>
        <v>Proj</v>
      </c>
      <c r="AW8" s="1914" t="str">
        <f t="shared" ca="1" si="1"/>
        <v>Proj</v>
      </c>
      <c r="AX8" s="1914" t="str">
        <f t="shared" ca="1" si="1"/>
        <v>Proj</v>
      </c>
      <c r="AY8" s="1914" t="str">
        <f t="shared" ca="1" si="1"/>
        <v>Proj</v>
      </c>
      <c r="AZ8" s="1914" t="str">
        <f t="shared" ca="1" si="1"/>
        <v>Proj</v>
      </c>
      <c r="BA8" s="1914" t="str">
        <f t="shared" ca="1" si="1"/>
        <v>Proj</v>
      </c>
      <c r="BB8" s="1899"/>
      <c r="BC8" s="1899"/>
      <c r="BD8" s="1899"/>
      <c r="BE8" s="1899"/>
      <c r="BF8" s="1899"/>
      <c r="BG8" s="1899"/>
    </row>
    <row r="9" spans="2:61" ht="21.9" customHeight="1" thickBot="1" x14ac:dyDescent="0.35">
      <c r="B9" s="1915"/>
      <c r="C9" s="1916" t="s">
        <v>1753</v>
      </c>
      <c r="D9" s="1917">
        <v>41274</v>
      </c>
      <c r="E9" s="1918">
        <f>DATE(YEAR(D9),MONTH(D9)+13,0)</f>
        <v>41639</v>
      </c>
      <c r="F9" s="1918">
        <f t="shared" ref="F9:BA9" si="2">DATE(YEAR(E9),MONTH(E9)+13,0)</f>
        <v>42004</v>
      </c>
      <c r="G9" s="1918">
        <f t="shared" si="2"/>
        <v>42369</v>
      </c>
      <c r="H9" s="1918">
        <f t="shared" si="2"/>
        <v>42735</v>
      </c>
      <c r="I9" s="1918">
        <f t="shared" si="2"/>
        <v>43100</v>
      </c>
      <c r="J9" s="1918">
        <f t="shared" si="2"/>
        <v>43465</v>
      </c>
      <c r="K9" s="1918">
        <f t="shared" si="2"/>
        <v>43830</v>
      </c>
      <c r="L9" s="1918">
        <f t="shared" si="2"/>
        <v>44196</v>
      </c>
      <c r="M9" s="1919">
        <f t="shared" si="2"/>
        <v>44561</v>
      </c>
      <c r="N9" s="1920">
        <f t="shared" si="2"/>
        <v>44926</v>
      </c>
      <c r="O9" s="1920">
        <f t="shared" si="2"/>
        <v>45291</v>
      </c>
      <c r="P9" s="1920">
        <f t="shared" si="2"/>
        <v>45657</v>
      </c>
      <c r="Q9" s="1920">
        <f t="shared" si="2"/>
        <v>46022</v>
      </c>
      <c r="R9" s="1920">
        <f t="shared" si="2"/>
        <v>46387</v>
      </c>
      <c r="S9" s="1920">
        <f t="shared" si="2"/>
        <v>46752</v>
      </c>
      <c r="T9" s="1920">
        <f t="shared" si="2"/>
        <v>47118</v>
      </c>
      <c r="U9" s="1920">
        <f t="shared" si="2"/>
        <v>47483</v>
      </c>
      <c r="V9" s="1920">
        <f t="shared" si="2"/>
        <v>47848</v>
      </c>
      <c r="W9" s="1920">
        <f t="shared" si="2"/>
        <v>48213</v>
      </c>
      <c r="X9" s="1920">
        <f t="shared" si="2"/>
        <v>48579</v>
      </c>
      <c r="Y9" s="1920">
        <f t="shared" si="2"/>
        <v>48944</v>
      </c>
      <c r="Z9" s="1920">
        <f t="shared" si="2"/>
        <v>49309</v>
      </c>
      <c r="AA9" s="1920">
        <f t="shared" si="2"/>
        <v>49674</v>
      </c>
      <c r="AB9" s="1920">
        <f t="shared" si="2"/>
        <v>50040</v>
      </c>
      <c r="AC9" s="1920">
        <f t="shared" si="2"/>
        <v>50405</v>
      </c>
      <c r="AD9" s="1920">
        <f t="shared" si="2"/>
        <v>50770</v>
      </c>
      <c r="AE9" s="1920">
        <f t="shared" si="2"/>
        <v>51135</v>
      </c>
      <c r="AF9" s="1920">
        <f t="shared" si="2"/>
        <v>51501</v>
      </c>
      <c r="AG9" s="1920">
        <f t="shared" si="2"/>
        <v>51866</v>
      </c>
      <c r="AH9" s="1920">
        <f t="shared" si="2"/>
        <v>52231</v>
      </c>
      <c r="AI9" s="1920">
        <f t="shared" si="2"/>
        <v>52596</v>
      </c>
      <c r="AJ9" s="1920">
        <f t="shared" si="2"/>
        <v>52962</v>
      </c>
      <c r="AK9" s="1920">
        <f t="shared" si="2"/>
        <v>53327</v>
      </c>
      <c r="AL9" s="1920">
        <f t="shared" si="2"/>
        <v>53692</v>
      </c>
      <c r="AM9" s="1920">
        <f t="shared" si="2"/>
        <v>54057</v>
      </c>
      <c r="AN9" s="1920">
        <f t="shared" si="2"/>
        <v>54423</v>
      </c>
      <c r="AO9" s="1920">
        <f t="shared" si="2"/>
        <v>54788</v>
      </c>
      <c r="AP9" s="1920">
        <f t="shared" si="2"/>
        <v>55153</v>
      </c>
      <c r="AQ9" s="1920">
        <f t="shared" si="2"/>
        <v>55518</v>
      </c>
      <c r="AR9" s="1920">
        <f t="shared" si="2"/>
        <v>55884</v>
      </c>
      <c r="AS9" s="1920">
        <f t="shared" si="2"/>
        <v>56249</v>
      </c>
      <c r="AT9" s="1920">
        <f t="shared" si="2"/>
        <v>56614</v>
      </c>
      <c r="AU9" s="1920">
        <f t="shared" si="2"/>
        <v>56979</v>
      </c>
      <c r="AV9" s="1920">
        <f t="shared" si="2"/>
        <v>57345</v>
      </c>
      <c r="AW9" s="1920">
        <f t="shared" si="2"/>
        <v>57710</v>
      </c>
      <c r="AX9" s="1920">
        <f t="shared" si="2"/>
        <v>58075</v>
      </c>
      <c r="AY9" s="1920">
        <f t="shared" si="2"/>
        <v>58440</v>
      </c>
      <c r="AZ9" s="1920">
        <f t="shared" si="2"/>
        <v>58806</v>
      </c>
      <c r="BA9" s="1920">
        <f t="shared" si="2"/>
        <v>59171</v>
      </c>
      <c r="BB9" s="1899"/>
      <c r="BC9" s="1921"/>
      <c r="BD9" s="1921"/>
      <c r="BE9" s="1921"/>
      <c r="BF9" s="1921"/>
      <c r="BG9" s="1922"/>
      <c r="BH9" s="1922"/>
    </row>
    <row r="10" spans="2:61" s="1923" customFormat="1" ht="13.8" thickTop="1" x14ac:dyDescent="0.3">
      <c r="C10" s="1923" t="s">
        <v>491</v>
      </c>
      <c r="D10" s="1924"/>
      <c r="E10" s="1925"/>
      <c r="F10" s="1926"/>
      <c r="G10" s="1927">
        <f>'Output-FR (show)'!J40</f>
        <v>184.76550387699999</v>
      </c>
      <c r="H10" s="1927">
        <f>'Output-FR (show)'!K40</f>
        <v>122.39153793400001</v>
      </c>
      <c r="I10" s="1927">
        <f>'Output-FR (show)'!L40</f>
        <v>142.35280390200001</v>
      </c>
      <c r="J10" s="1927">
        <f>'Output-FR (show)'!M40</f>
        <v>140.18412423200002</v>
      </c>
      <c r="K10" s="1927">
        <f>'Output-FR (show)'!N40</f>
        <v>125.16012716899999</v>
      </c>
      <c r="L10" s="1927">
        <f>'Output-FR (show)'!O40</f>
        <v>138.91641703799999</v>
      </c>
      <c r="M10" s="1928">
        <f>'Output-FR (show)'!P40</f>
        <v>158.58410142747999</v>
      </c>
      <c r="N10" s="1927">
        <f ca="1">'Output-FR (show)'!Q40</f>
        <v>199.14699967576132</v>
      </c>
      <c r="O10" s="1927">
        <f ca="1">'Output-FR (show)'!R40</f>
        <v>196.93417316807199</v>
      </c>
      <c r="P10" s="1927">
        <f ca="1">'Output-FR (show)'!S40</f>
        <v>286.2740801613358</v>
      </c>
      <c r="Q10" s="1927">
        <f ca="1">'Output-FR (show)'!T40</f>
        <v>330.34513180438529</v>
      </c>
      <c r="R10" s="1927">
        <f ca="1">'Output-FR (show)'!U40</f>
        <v>381.74550574175225</v>
      </c>
      <c r="S10" s="1927">
        <f ca="1">'Output-FR (show)'!V40</f>
        <v>418.98450601289568</v>
      </c>
      <c r="T10" s="1927">
        <f ca="1">'Output-FR (show)'!W40</f>
        <v>463.48319567638538</v>
      </c>
      <c r="U10" s="1927">
        <f ca="1">'Output-FR (show)'!X40</f>
        <v>487.74006733071178</v>
      </c>
      <c r="V10" s="1927">
        <f ca="1">'Output-FR (show)'!Y40</f>
        <v>514.78378560234319</v>
      </c>
      <c r="W10" s="1927">
        <f ca="1">'Output-FR (show)'!Z40</f>
        <v>543.64142656040394</v>
      </c>
      <c r="X10" s="1929"/>
      <c r="Y10" s="1925"/>
      <c r="Z10" s="1925"/>
      <c r="AA10" s="1925"/>
      <c r="AB10" s="1925"/>
      <c r="AC10" s="1925"/>
      <c r="AD10" s="1925"/>
      <c r="AE10" s="1925"/>
      <c r="AF10" s="1925"/>
      <c r="AG10" s="1925"/>
      <c r="AH10" s="1925"/>
      <c r="AI10" s="1925"/>
      <c r="AJ10" s="1925"/>
      <c r="AK10" s="1925"/>
      <c r="AL10" s="1925"/>
      <c r="AM10" s="1925"/>
      <c r="AN10" s="1925"/>
      <c r="AO10" s="1925"/>
      <c r="AP10" s="1925"/>
      <c r="AQ10" s="1925"/>
      <c r="AR10" s="1925"/>
      <c r="AS10" s="1925"/>
      <c r="AT10" s="1925"/>
      <c r="AU10" s="1925"/>
      <c r="AV10" s="1925"/>
      <c r="AW10" s="1925"/>
      <c r="AX10" s="1925"/>
      <c r="AY10" s="1925"/>
      <c r="AZ10" s="1925"/>
      <c r="BA10" s="1925"/>
      <c r="BC10" s="1930"/>
      <c r="BD10" s="2391"/>
      <c r="BE10" s="2391"/>
      <c r="BF10" s="2391"/>
      <c r="BG10" s="2391"/>
      <c r="BH10" s="2391"/>
      <c r="BI10" s="2391"/>
    </row>
    <row r="11" spans="2:61" s="1923" customFormat="1" x14ac:dyDescent="0.3">
      <c r="C11" s="1923" t="s">
        <v>1754</v>
      </c>
      <c r="D11" s="1924"/>
      <c r="E11" s="1925"/>
      <c r="F11" s="1925"/>
      <c r="G11" s="1929">
        <f>+'Output-FR (show)'!J138</f>
        <v>0</v>
      </c>
      <c r="H11" s="1929">
        <f>+'Output-FR (show)'!K138</f>
        <v>0</v>
      </c>
      <c r="I11" s="1929">
        <f>+'Output-FR (show)'!L138</f>
        <v>0</v>
      </c>
      <c r="J11" s="1929">
        <f>+'Output-FR (show)'!M138</f>
        <v>0</v>
      </c>
      <c r="K11" s="1929">
        <f>+'Output-FR (show)'!N138</f>
        <v>0</v>
      </c>
      <c r="L11" s="1929">
        <f>+'Output-FR (show)'!O138</f>
        <v>0</v>
      </c>
      <c r="M11" s="1931">
        <f>+'Output-FR (show)'!P138</f>
        <v>0</v>
      </c>
      <c r="N11" s="1929">
        <f ca="1">+'Output-FR (show)'!Q138</f>
        <v>-0.49001040887241598</v>
      </c>
      <c r="O11" s="1929">
        <f ca="1">+'Output-FR (show)'!R138</f>
        <v>-0.68284456770133584</v>
      </c>
      <c r="P11" s="1929">
        <f ca="1">+'Output-FR (show)'!S138</f>
        <v>-0.24740198902860497</v>
      </c>
      <c r="Q11" s="1929">
        <f ca="1">+'Output-FR (show)'!T138</f>
        <v>-0.17648897314760989</v>
      </c>
      <c r="R11" s="1929">
        <f ca="1">+'Output-FR (show)'!U138</f>
        <v>-0.22905285447382595</v>
      </c>
      <c r="S11" s="1929">
        <f ca="1">+'Output-FR (show)'!V138</f>
        <v>-0.11276057762400907</v>
      </c>
      <c r="T11" s="1929">
        <f ca="1">+'Output-FR (show)'!W138</f>
        <v>-0.14724957193282245</v>
      </c>
      <c r="U11" s="1929">
        <f ca="1">+'Output-FR (show)'!X138</f>
        <v>-0.36627085280907962</v>
      </c>
      <c r="V11" s="1929">
        <f ca="1">+'Output-FR (show)'!Y138</f>
        <v>-0.37929094513214262</v>
      </c>
      <c r="W11" s="1929">
        <f ca="1">+'Output-FR (show)'!Z138</f>
        <v>-0.39059683601589607</v>
      </c>
      <c r="X11" s="1929"/>
      <c r="Y11" s="1925"/>
      <c r="Z11" s="1925"/>
      <c r="AA11" s="1925"/>
      <c r="AB11" s="1925"/>
      <c r="AC11" s="1925"/>
      <c r="AD11" s="1925"/>
      <c r="AE11" s="1925"/>
      <c r="AF11" s="1925"/>
      <c r="AG11" s="1925"/>
      <c r="AH11" s="1925"/>
      <c r="AI11" s="1925"/>
      <c r="AJ11" s="1925"/>
      <c r="AK11" s="1925"/>
      <c r="AL11" s="1925"/>
      <c r="AM11" s="1925"/>
      <c r="AN11" s="1925"/>
      <c r="AO11" s="1925"/>
      <c r="AP11" s="1925"/>
      <c r="AQ11" s="1925"/>
      <c r="AR11" s="1925"/>
      <c r="AS11" s="1925"/>
      <c r="AT11" s="1925"/>
      <c r="AU11" s="1925"/>
      <c r="AV11" s="1925"/>
      <c r="AW11" s="1925"/>
      <c r="AX11" s="1925"/>
      <c r="AY11" s="1925"/>
      <c r="AZ11" s="1925"/>
      <c r="BA11" s="1925"/>
      <c r="BD11" s="1176"/>
      <c r="BE11" s="2385" t="s">
        <v>467</v>
      </c>
      <c r="BF11" s="2386"/>
      <c r="BG11" s="2386"/>
      <c r="BH11" s="2386"/>
      <c r="BI11" s="2385"/>
    </row>
    <row r="12" spans="2:61" s="1923" customFormat="1" x14ac:dyDescent="0.3">
      <c r="C12" s="1923" t="s">
        <v>1755</v>
      </c>
      <c r="D12" s="1924"/>
      <c r="E12" s="1925"/>
      <c r="F12" s="1925"/>
      <c r="G12" s="1929">
        <f>-'Output-FR (show)'!J24</f>
        <v>0</v>
      </c>
      <c r="H12" s="1929">
        <f>-'Output-FR (show)'!K24</f>
        <v>-10.724382085</v>
      </c>
      <c r="I12" s="1929">
        <f>-'Output-FR (show)'!L24</f>
        <v>-8.0301361270000005</v>
      </c>
      <c r="J12" s="1929">
        <f>-'Output-FR (show)'!M24</f>
        <v>-10.57976874</v>
      </c>
      <c r="K12" s="1929">
        <f>-'Output-FR (show)'!N24</f>
        <v>-14.439489521</v>
      </c>
      <c r="L12" s="1929">
        <f>-'Output-FR (show)'!O24</f>
        <v>-15.238404243</v>
      </c>
      <c r="M12" s="1931">
        <f>-'Output-FR (show)'!P24</f>
        <v>-16.083128633000001</v>
      </c>
      <c r="N12" s="1929">
        <f>-'Output-FR (show)'!Q24</f>
        <v>-18.916049658050063</v>
      </c>
      <c r="O12" s="1929">
        <f>-'Output-FR (show)'!R24</f>
        <v>-19.734300586747469</v>
      </c>
      <c r="P12" s="1929">
        <f>-'Output-FR (show)'!S24</f>
        <v>-24.914672387804931</v>
      </c>
      <c r="Q12" s="1929">
        <f>-'Output-FR (show)'!T24</f>
        <v>-26.574965223304741</v>
      </c>
      <c r="R12" s="1929">
        <f>-'Output-FR (show)'!U24</f>
        <v>-28.241606771429087</v>
      </c>
      <c r="S12" s="1929">
        <f>-'Output-FR (show)'!V24</f>
        <v>-29.616590580384958</v>
      </c>
      <c r="T12" s="1929">
        <f>-'Output-FR (show)'!W24</f>
        <v>-31.332243041009249</v>
      </c>
      <c r="U12" s="1929">
        <f>-'Output-FR (show)'!X24</f>
        <v>-32.542428450111565</v>
      </c>
      <c r="V12" s="1929">
        <f>-'Output-FR (show)'!Y24</f>
        <v>-33.852506563385894</v>
      </c>
      <c r="W12" s="1929">
        <f>-'Output-FR (show)'!Z24</f>
        <v>-35.272330768297039</v>
      </c>
      <c r="X12" s="1929"/>
      <c r="Y12" s="1925"/>
      <c r="Z12" s="1925"/>
      <c r="AA12" s="1925"/>
      <c r="AB12" s="1925"/>
      <c r="AC12" s="1925"/>
      <c r="AD12" s="1925"/>
      <c r="AE12" s="1925"/>
      <c r="AF12" s="1925"/>
      <c r="AG12" s="1925"/>
      <c r="AH12" s="1925"/>
      <c r="AI12" s="1925"/>
      <c r="AJ12" s="1925"/>
      <c r="AK12" s="1925"/>
      <c r="AL12" s="1925"/>
      <c r="AM12" s="1925"/>
      <c r="AN12" s="1925"/>
      <c r="AO12" s="1925"/>
      <c r="AP12" s="1925"/>
      <c r="AQ12" s="1925"/>
      <c r="AR12" s="1925"/>
      <c r="AS12" s="1925"/>
      <c r="AT12" s="1925"/>
      <c r="AU12" s="1925"/>
      <c r="AV12" s="1925"/>
      <c r="AW12" s="1925"/>
      <c r="AX12" s="1925"/>
      <c r="AY12" s="1925"/>
      <c r="AZ12" s="1925"/>
      <c r="BA12" s="1925"/>
      <c r="BD12" s="1932">
        <f ca="1">D37</f>
        <v>53912.64770258707</v>
      </c>
      <c r="BE12" s="1933">
        <v>0</v>
      </c>
      <c r="BF12" s="1934">
        <f>+BE12+1%</f>
        <v>0.01</v>
      </c>
      <c r="BG12" s="1934">
        <f t="shared" ref="BG12:BI12" si="3">+BF12+1%</f>
        <v>0.02</v>
      </c>
      <c r="BH12" s="1934">
        <f t="shared" si="3"/>
        <v>0.03</v>
      </c>
      <c r="BI12" s="1934">
        <f t="shared" si="3"/>
        <v>0.04</v>
      </c>
    </row>
    <row r="13" spans="2:61" s="1923" customFormat="1" x14ac:dyDescent="0.3">
      <c r="C13" s="1923" t="s">
        <v>1756</v>
      </c>
      <c r="D13" s="1924"/>
      <c r="E13" s="1925"/>
      <c r="F13" s="1925"/>
      <c r="G13" s="1929">
        <f>'Output-FR (show)'!J15</f>
        <v>39.216981767999997</v>
      </c>
      <c r="H13" s="1929">
        <f>'Output-FR (show)'!K15</f>
        <v>33.793831392000001</v>
      </c>
      <c r="I13" s="1929">
        <f>'Output-FR (show)'!L15</f>
        <v>36.81384233</v>
      </c>
      <c r="J13" s="1929">
        <f>'Output-FR (show)'!M15</f>
        <v>36.516915462</v>
      </c>
      <c r="K13" s="1929">
        <f>'Output-FR (show)'!N15</f>
        <v>27.945021708999999</v>
      </c>
      <c r="L13" s="1929">
        <f>'Output-FR (show)'!O15</f>
        <v>31.808990529999999</v>
      </c>
      <c r="M13" s="1931">
        <f>'Output-FR (show)'!P15</f>
        <v>40.674128404000001</v>
      </c>
      <c r="N13" s="1929">
        <f>'Output-FR (show)'!Q15</f>
        <v>101.71289197524426</v>
      </c>
      <c r="O13" s="1929">
        <f>'Output-FR (show)'!R15</f>
        <v>133.59326505145162</v>
      </c>
      <c r="P13" s="1929">
        <f>'Output-FR (show)'!S15</f>
        <v>140.73852797752977</v>
      </c>
      <c r="Q13" s="1929">
        <f>'Output-FR (show)'!T15</f>
        <v>99.91127477701157</v>
      </c>
      <c r="R13" s="1929">
        <f>'Output-FR (show)'!U15</f>
        <v>98.416263781680655</v>
      </c>
      <c r="S13" s="1929">
        <f>'Output-FR (show)'!V15</f>
        <v>107.27935621901526</v>
      </c>
      <c r="T13" s="1929">
        <f>'Output-FR (show)'!W15</f>
        <v>116.95323100091025</v>
      </c>
      <c r="U13" s="1929">
        <f>'Output-FR (show)'!X15</f>
        <v>125.34044754634992</v>
      </c>
      <c r="V13" s="1929">
        <f>'Output-FR (show)'!Y15</f>
        <v>134.08280931157887</v>
      </c>
      <c r="W13" s="1929">
        <f>'Output-FR (show)'!Z15</f>
        <v>143.21281857534004</v>
      </c>
      <c r="X13" s="1929"/>
      <c r="Y13" s="1925"/>
      <c r="Z13" s="1925"/>
      <c r="AA13" s="1925"/>
      <c r="AB13" s="1925"/>
      <c r="AC13" s="1925"/>
      <c r="AD13" s="1925"/>
      <c r="AE13" s="1925"/>
      <c r="AF13" s="1925"/>
      <c r="AG13" s="1925"/>
      <c r="AH13" s="1925"/>
      <c r="AI13" s="1925"/>
      <c r="AJ13" s="1925"/>
      <c r="AK13" s="1925"/>
      <c r="AL13" s="1925"/>
      <c r="AM13" s="1925"/>
      <c r="AN13" s="1925"/>
      <c r="AO13" s="1925"/>
      <c r="AP13" s="1925"/>
      <c r="AQ13" s="1925"/>
      <c r="AR13" s="1925"/>
      <c r="AS13" s="1925"/>
      <c r="AT13" s="1925"/>
      <c r="AU13" s="1925"/>
      <c r="AV13" s="1925"/>
      <c r="AW13" s="1925"/>
      <c r="AX13" s="1925"/>
      <c r="AY13" s="1925"/>
      <c r="AZ13" s="1925"/>
      <c r="BA13" s="1925"/>
      <c r="BC13" s="2387" t="s">
        <v>1757</v>
      </c>
      <c r="BD13" s="1935">
        <f t="shared" ref="BD13:BD14" si="4">+BD14-1%</f>
        <v>8.1731846885732887E-2</v>
      </c>
      <c r="BE13" s="1936">
        <v>78914.140079915334</v>
      </c>
      <c r="BF13" s="1936">
        <v>86536.657197401044</v>
      </c>
      <c r="BG13" s="1937">
        <v>96628.731764413591</v>
      </c>
      <c r="BH13" s="1936">
        <v>110622.49365734139</v>
      </c>
      <c r="BI13" s="1936">
        <v>131322.77008879156</v>
      </c>
    </row>
    <row r="14" spans="2:61" s="1923" customFormat="1" x14ac:dyDescent="0.3">
      <c r="C14" s="1923" t="s">
        <v>1758</v>
      </c>
      <c r="D14" s="1924"/>
      <c r="E14" s="1925"/>
      <c r="F14" s="1925"/>
      <c r="G14" s="1925"/>
      <c r="H14" s="1925"/>
      <c r="I14" s="1925"/>
      <c r="J14" s="1925"/>
      <c r="K14" s="1925"/>
      <c r="L14" s="1925"/>
      <c r="M14" s="1924"/>
      <c r="N14" s="1929"/>
      <c r="O14" s="1929"/>
      <c r="P14" s="1929"/>
      <c r="Q14" s="1929"/>
      <c r="R14" s="1929"/>
      <c r="S14" s="1929"/>
      <c r="T14" s="1929"/>
      <c r="U14" s="1929"/>
      <c r="V14" s="1929"/>
      <c r="W14" s="1929"/>
      <c r="X14" s="1929"/>
      <c r="Y14" s="1925"/>
      <c r="Z14" s="1925"/>
      <c r="AA14" s="1925"/>
      <c r="AB14" s="1925"/>
      <c r="AC14" s="1925"/>
      <c r="AD14" s="1925"/>
      <c r="AE14" s="1925"/>
      <c r="AF14" s="1925"/>
      <c r="AG14" s="1925"/>
      <c r="AH14" s="1925"/>
      <c r="AI14" s="1925"/>
      <c r="AJ14" s="1925"/>
      <c r="AK14" s="1925"/>
      <c r="AL14" s="1925"/>
      <c r="AM14" s="1925"/>
      <c r="AN14" s="1925"/>
      <c r="AO14" s="1925"/>
      <c r="AP14" s="1925"/>
      <c r="AQ14" s="1925"/>
      <c r="AR14" s="1925"/>
      <c r="AS14" s="1925"/>
      <c r="AT14" s="1925"/>
      <c r="AU14" s="1925"/>
      <c r="AV14" s="1925"/>
      <c r="AW14" s="1925"/>
      <c r="AX14" s="1925"/>
      <c r="AY14" s="1925"/>
      <c r="AZ14" s="1925"/>
      <c r="BA14" s="1925"/>
      <c r="BC14" s="2387"/>
      <c r="BD14" s="1935">
        <f t="shared" si="4"/>
        <v>9.1731846885732882E-2</v>
      </c>
      <c r="BE14" s="1938">
        <v>73403.898141910962</v>
      </c>
      <c r="BF14" s="1938">
        <v>79419.604749675695</v>
      </c>
      <c r="BG14" s="1939">
        <v>87112.58773298045</v>
      </c>
      <c r="BH14" s="1938">
        <v>97297.957829712963</v>
      </c>
      <c r="BI14" s="1938">
        <v>111421.08414815173</v>
      </c>
    </row>
    <row r="15" spans="2:61" s="1923" customFormat="1" x14ac:dyDescent="0.3">
      <c r="C15" s="1923" t="s">
        <v>1759</v>
      </c>
      <c r="D15" s="1924"/>
      <c r="E15" s="1925"/>
      <c r="F15" s="1925"/>
      <c r="G15" s="1929">
        <f>'Output-FR (show)'!J158</f>
        <v>-40.701219500999997</v>
      </c>
      <c r="H15" s="1929">
        <f>'Output-FR (show)'!K158</f>
        <v>-115.31445511699999</v>
      </c>
      <c r="I15" s="1929">
        <f>'Output-FR (show)'!L158</f>
        <v>-49.726230184000002</v>
      </c>
      <c r="J15" s="1929">
        <f>'Output-FR (show)'!M158</f>
        <v>-44.080067954999997</v>
      </c>
      <c r="K15" s="1929">
        <f>'Output-FR (show)'!N158</f>
        <v>-149.62789548699999</v>
      </c>
      <c r="L15" s="1929">
        <f>'Output-FR (show)'!O158</f>
        <v>-55.734319657999997</v>
      </c>
      <c r="M15" s="1931">
        <f>'Output-FR (show)'!P158</f>
        <v>0</v>
      </c>
      <c r="N15" s="1929">
        <f>'Output-FR (show)'!Q158</f>
        <v>-451.02885356693275</v>
      </c>
      <c r="O15" s="1929">
        <f>'Output-FR (show)'!R158</f>
        <v>-354.63249581806161</v>
      </c>
      <c r="P15" s="1929">
        <f>'Output-FR (show)'!S158</f>
        <v>-79.482834742685924</v>
      </c>
      <c r="Q15" s="1929">
        <f>'Output-FR (show)'!T158</f>
        <v>-89.864940627648025</v>
      </c>
      <c r="R15" s="1929">
        <f>'Output-FR (show)'!U158</f>
        <v>-91.651435783446118</v>
      </c>
      <c r="S15" s="1929">
        <f>'Output-FR (show)'!V158</f>
        <v>-98.591712970382872</v>
      </c>
      <c r="T15" s="1929">
        <f>'Output-FR (show)'!W158</f>
        <v>-107.61073435163705</v>
      </c>
      <c r="U15" s="1929">
        <f>'Output-FR (show)'!X158</f>
        <v>-93.298140814281055</v>
      </c>
      <c r="V15" s="1929">
        <f>'Output-FR (show)'!Y158</f>
        <v>-97.248723054039104</v>
      </c>
      <c r="W15" s="1929">
        <f>'Output-FR (show)'!Z158</f>
        <v>-101.56085577511773</v>
      </c>
      <c r="X15" s="1929"/>
      <c r="Y15" s="1925"/>
      <c r="Z15" s="1925"/>
      <c r="AA15" s="1925"/>
      <c r="AB15" s="1925"/>
      <c r="AC15" s="1925"/>
      <c r="AD15" s="1925"/>
      <c r="AE15" s="1925"/>
      <c r="AF15" s="1925"/>
      <c r="AG15" s="1925"/>
      <c r="AH15" s="1925"/>
      <c r="AI15" s="1925"/>
      <c r="AJ15" s="1925"/>
      <c r="AK15" s="1925"/>
      <c r="AL15" s="1925"/>
      <c r="AM15" s="1925"/>
      <c r="AN15" s="1925"/>
      <c r="AO15" s="1925"/>
      <c r="AP15" s="1925"/>
      <c r="AQ15" s="1925"/>
      <c r="AR15" s="1925"/>
      <c r="AS15" s="1925"/>
      <c r="AT15" s="1925"/>
      <c r="AU15" s="1925"/>
      <c r="AV15" s="1925"/>
      <c r="AW15" s="1925"/>
      <c r="AX15" s="1925"/>
      <c r="AY15" s="1925"/>
      <c r="AZ15" s="1925"/>
      <c r="BA15" s="1925"/>
      <c r="BC15" s="2387"/>
      <c r="BD15" s="1935">
        <f>+BD16-2%</f>
        <v>0.10173184688573288</v>
      </c>
      <c r="BE15" s="1938">
        <v>68976.94371055995</v>
      </c>
      <c r="BF15" s="1938">
        <v>73854.260392291282</v>
      </c>
      <c r="BG15" s="1939">
        <v>79925.069419436055</v>
      </c>
      <c r="BH15" s="1938">
        <v>87688.518268559899</v>
      </c>
      <c r="BI15" s="1938">
        <v>97967.183895012335</v>
      </c>
    </row>
    <row r="16" spans="2:61" s="1923" customFormat="1" x14ac:dyDescent="0.3">
      <c r="C16" s="1923" t="s">
        <v>1760</v>
      </c>
      <c r="D16" s="1924"/>
      <c r="E16" s="1925"/>
      <c r="F16" s="1925"/>
      <c r="G16" s="1929">
        <f>('Output-FR (show)'!I61+'Output-FR (show)'!I63+'Output-FR (show)'!I64+'Output-FR (show)'!I65)-('Output-FR (show)'!J61+'Output-FR (show)'!J63+'Output-FR (show)'!J64+'Output-FR (show)'!J65)+('Output-FR (show)'!J85+'Output-FR (show)'!J86+'Output-FR (show)'!J87)-('Output-FR (show)'!I85+'Output-FR (show)'!I86+'Output-FR (show)'!I87)</f>
        <v>295.32854866499986</v>
      </c>
      <c r="H16" s="1929">
        <f>('Output-FR (show)'!J61+'Output-FR (show)'!J63+'Output-FR (show)'!J64+'Output-FR (show)'!J65)-('Output-FR (show)'!K61+'Output-FR (show)'!K63+'Output-FR (show)'!K64+'Output-FR (show)'!K65)+('Output-FR (show)'!K85+'Output-FR (show)'!K86+'Output-FR (show)'!K87)-('Output-FR (show)'!J85+'Output-FR (show)'!J86+'Output-FR (show)'!J87)</f>
        <v>55.572382480000101</v>
      </c>
      <c r="I16" s="1929">
        <f>('Output-FR (show)'!K61+'Output-FR (show)'!K63+'Output-FR (show)'!K64+'Output-FR (show)'!K65)-('Output-FR (show)'!L61+'Output-FR (show)'!L63+'Output-FR (show)'!L64+'Output-FR (show)'!L65)+('Output-FR (show)'!L85+'Output-FR (show)'!L86+'Output-FR (show)'!L87)-('Output-FR (show)'!K85+'Output-FR (show)'!K86+'Output-FR (show)'!K87)</f>
        <v>-129.91235881799992</v>
      </c>
      <c r="J16" s="1929">
        <f>('Output-FR (show)'!L61+'Output-FR (show)'!L63+'Output-FR (show)'!L64+'Output-FR (show)'!L65)-('Output-FR (show)'!M61+'Output-FR (show)'!M63+'Output-FR (show)'!M64+'Output-FR (show)'!M65)+('Output-FR (show)'!M85+'Output-FR (show)'!M86+'Output-FR (show)'!M87)-('Output-FR (show)'!L85+'Output-FR (show)'!L86+'Output-FR (show)'!L87)</f>
        <v>-55.697109795000131</v>
      </c>
      <c r="K16" s="1929">
        <f>('Output-FR (show)'!M61+'Output-FR (show)'!M63+'Output-FR (show)'!M64+'Output-FR (show)'!M65)-('Output-FR (show)'!N61+'Output-FR (show)'!N63+'Output-FR (show)'!N64+'Output-FR (show)'!N65)+('Output-FR (show)'!N85+'Output-FR (show)'!N86+'Output-FR (show)'!N87)-('Output-FR (show)'!M85+'Output-FR (show)'!M86+'Output-FR (show)'!M87)</f>
        <v>-113.74345900999998</v>
      </c>
      <c r="L16" s="1929">
        <f>('Output-FR (show)'!N61+'Output-FR (show)'!N63+'Output-FR (show)'!N64+'Output-FR (show)'!N65)-('Output-FR (show)'!O61+'Output-FR (show)'!O63+'Output-FR (show)'!O64+'Output-FR (show)'!O65)+('Output-FR (show)'!O85+'Output-FR (show)'!O86+'Output-FR (show)'!O87)-('Output-FR (show)'!N85+'Output-FR (show)'!N86+'Output-FR (show)'!N87)</f>
        <v>96.219304960000159</v>
      </c>
      <c r="M16" s="1931">
        <f>('Output-FR (show)'!O61+'Output-FR (show)'!O63+'Output-FR (show)'!O64+'Output-FR (show)'!O65)-('Output-FR (show)'!P61+'Output-FR (show)'!P63+'Output-FR (show)'!P64+'Output-FR (show)'!P65)+('Output-FR (show)'!P85+'Output-FR (show)'!P86+'Output-FR (show)'!P87)-('Output-FR (show)'!O85+'Output-FR (show)'!O86+'Output-FR (show)'!O87)</f>
        <v>-146.15067430300007</v>
      </c>
      <c r="N16" s="1929">
        <f>('Output-FR (show)'!P61+'Output-FR (show)'!P63+'Output-FR (show)'!P64+'Output-FR (show)'!P65)-('Output-FR (show)'!Q61+'Output-FR (show)'!Q63+'Output-FR (show)'!Q64+'Output-FR (show)'!Q65)+('Output-FR (show)'!Q85+'Output-FR (show)'!Q86+'Output-FR (show)'!Q87)-('Output-FR (show)'!P85+'Output-FR (show)'!P86+'Output-FR (show)'!P87)</f>
        <v>-18.522000717817548</v>
      </c>
      <c r="O16" s="1929">
        <f>('Output-FR (show)'!Q61+'Output-FR (show)'!Q63+'Output-FR (show)'!Q64+'Output-FR (show)'!Q65)-('Output-FR (show)'!R61+'Output-FR (show)'!R63+'Output-FR (show)'!R64+'Output-FR (show)'!R65)+('Output-FR (show)'!R85+'Output-FR (show)'!R86+'Output-FR (show)'!R87)-('Output-FR (show)'!Q85+'Output-FR (show)'!Q86+'Output-FR (show)'!Q87)</f>
        <v>-36.474947043703821</v>
      </c>
      <c r="P16" s="1929">
        <f>('Output-FR (show)'!R61+'Output-FR (show)'!R63+'Output-FR (show)'!R64+'Output-FR (show)'!R65)-('Output-FR (show)'!S61+'Output-FR (show)'!S63+'Output-FR (show)'!S64+'Output-FR (show)'!S65)+('Output-FR (show)'!S85+'Output-FR (show)'!S86+'Output-FR (show)'!S87)-('Output-FR (show)'!R85+'Output-FR (show)'!R86+'Output-FR (show)'!R87)</f>
        <v>-162.35135711808584</v>
      </c>
      <c r="Q16" s="1929">
        <f>('Output-FR (show)'!S61+'Output-FR (show)'!S63+'Output-FR (show)'!S64+'Output-FR (show)'!S65)-('Output-FR (show)'!T61+'Output-FR (show)'!T63+'Output-FR (show)'!T64+'Output-FR (show)'!T65)+('Output-FR (show)'!T85+'Output-FR (show)'!T86+'Output-FR (show)'!T87)-('Output-FR (show)'!S85+'Output-FR (show)'!S86+'Output-FR (show)'!S87)</f>
        <v>-60.012537940326069</v>
      </c>
      <c r="R16" s="1929">
        <f>('Output-FR (show)'!T61+'Output-FR (show)'!T63+'Output-FR (show)'!T64+'Output-FR (show)'!T65)-('Output-FR (show)'!U61+'Output-FR (show)'!U63+'Output-FR (show)'!U64+'Output-FR (show)'!U65)+('Output-FR (show)'!U85+'Output-FR (show)'!U86+'Output-FR (show)'!U87)-('Output-FR (show)'!T85+'Output-FR (show)'!T86+'Output-FR (show)'!T87)</f>
        <v>-155.54386414219914</v>
      </c>
      <c r="S16" s="1929">
        <f>('Output-FR (show)'!U61+'Output-FR (show)'!U63+'Output-FR (show)'!U64+'Output-FR (show)'!U65)-('Output-FR (show)'!V61+'Output-FR (show)'!V63+'Output-FR (show)'!V64+'Output-FR (show)'!V65)+('Output-FR (show)'!V85+'Output-FR (show)'!V86+'Output-FR (show)'!V87)-('Output-FR (show)'!U85+'Output-FR (show)'!U86+'Output-FR (show)'!U87)</f>
        <v>-56.215878632847421</v>
      </c>
      <c r="T16" s="1929">
        <f>('Output-FR (show)'!V61+'Output-FR (show)'!V63+'Output-FR (show)'!V64+'Output-FR (show)'!V65)-('Output-FR (show)'!W61+'Output-FR (show)'!W63+'Output-FR (show)'!W64+'Output-FR (show)'!W65)+('Output-FR (show)'!W85+'Output-FR (show)'!W86+'Output-FR (show)'!W87)-('Output-FR (show)'!V85+'Output-FR (show)'!V86+'Output-FR (show)'!V87)</f>
        <v>-217.78329050434911</v>
      </c>
      <c r="U16" s="1929">
        <f>('Output-FR (show)'!W61+'Output-FR (show)'!W63+'Output-FR (show)'!W64+'Output-FR (show)'!W65)-('Output-FR (show)'!X61+'Output-FR (show)'!X63+'Output-FR (show)'!X64+'Output-FR (show)'!X65)+('Output-FR (show)'!X85+'Output-FR (show)'!X86+'Output-FR (show)'!X87)-('Output-FR (show)'!W85+'Output-FR (show)'!W86+'Output-FR (show)'!W87)</f>
        <v>-239.45948094152197</v>
      </c>
      <c r="V16" s="1929">
        <f>('Output-FR (show)'!X61+'Output-FR (show)'!X63+'Output-FR (show)'!X64+'Output-FR (show)'!X65)-('Output-FR (show)'!Y61+'Output-FR (show)'!Y63+'Output-FR (show)'!Y64+'Output-FR (show)'!Y65)+('Output-FR (show)'!Y85+'Output-FR (show)'!Y86+'Output-FR (show)'!Y87)-('Output-FR (show)'!X85+'Output-FR (show)'!X86+'Output-FR (show)'!X87)</f>
        <v>-114.69990547327268</v>
      </c>
      <c r="W16" s="1929">
        <f>('Output-FR (show)'!Y61+'Output-FR (show)'!Y63+'Output-FR (show)'!Y64+'Output-FR (show)'!Y65)-('Output-FR (show)'!Z61+'Output-FR (show)'!Z63+'Output-FR (show)'!Z64+'Output-FR (show)'!Z65)+('Output-FR (show)'!Z85+'Output-FR (show)'!Z86+'Output-FR (show)'!Z87)-('Output-FR (show)'!Y85+'Output-FR (show)'!Y86+'Output-FR (show)'!Y87)</f>
        <v>-185.52858670503508</v>
      </c>
      <c r="X16" s="1929"/>
      <c r="Y16" s="1925"/>
      <c r="Z16" s="1925"/>
      <c r="AA16" s="1925"/>
      <c r="AB16" s="1925"/>
      <c r="AC16" s="1925"/>
      <c r="AD16" s="1925"/>
      <c r="AE16" s="1925"/>
      <c r="AF16" s="1925"/>
      <c r="AG16" s="1925"/>
      <c r="AH16" s="1925"/>
      <c r="AI16" s="1925"/>
      <c r="AJ16" s="1925"/>
      <c r="AK16" s="1925"/>
      <c r="AL16" s="1925"/>
      <c r="AM16" s="1925"/>
      <c r="AN16" s="1925"/>
      <c r="AO16" s="1925"/>
      <c r="AP16" s="1925"/>
      <c r="AQ16" s="1925"/>
      <c r="AR16" s="1925"/>
      <c r="AS16" s="1925"/>
      <c r="AT16" s="1925"/>
      <c r="AU16" s="1925"/>
      <c r="AV16" s="1925"/>
      <c r="AW16" s="1925"/>
      <c r="AX16" s="1925"/>
      <c r="AY16" s="1925"/>
      <c r="AZ16" s="1925"/>
      <c r="BA16" s="1925"/>
      <c r="BC16" s="2387"/>
      <c r="BD16" s="1935">
        <v>0.12173184688573288</v>
      </c>
      <c r="BE16" s="1940">
        <v>62305.021506865836</v>
      </c>
      <c r="BF16" s="1940">
        <v>65712.161508894002</v>
      </c>
      <c r="BG16" s="1941">
        <v>69789.129122693572</v>
      </c>
      <c r="BH16" s="1940">
        <v>74754.984893051907</v>
      </c>
      <c r="BI16" s="1940">
        <v>80935.99875895679</v>
      </c>
    </row>
    <row r="17" spans="3:63" s="1923" customFormat="1" x14ac:dyDescent="0.3">
      <c r="C17" s="1923" t="s">
        <v>1761</v>
      </c>
      <c r="D17" s="1924"/>
      <c r="E17" s="1925"/>
      <c r="F17" s="1925"/>
      <c r="G17" s="1929">
        <f>+'Output-FR (show)'!J166+'Output-FR (show)'!J167+'Output-FR (show)'!J171</f>
        <v>-28.558979695000005</v>
      </c>
      <c r="H17" s="1929">
        <f>+'Output-FR (show)'!K166+'Output-FR (show)'!K167+'Output-FR (show)'!K171</f>
        <v>-11.967708891000001</v>
      </c>
      <c r="I17" s="1929">
        <f>+'Output-FR (show)'!L166+'Output-FR (show)'!L167+'Output-FR (show)'!L171</f>
        <v>119.34790403199997</v>
      </c>
      <c r="J17" s="1929">
        <f>+'Output-FR (show)'!M166+'Output-FR (show)'!M167+'Output-FR (show)'!M171</f>
        <v>-101.93763064299998</v>
      </c>
      <c r="K17" s="1929">
        <f>+'Output-FR (show)'!N166+'Output-FR (show)'!N167+'Output-FR (show)'!N171</f>
        <v>144.42526952499998</v>
      </c>
      <c r="L17" s="1929">
        <f>+'Output-FR (show)'!O166+'Output-FR (show)'!O167+'Output-FR (show)'!O171</f>
        <v>-159.698652998</v>
      </c>
      <c r="M17" s="1931">
        <f>+'Output-FR (show)'!P166+'Output-FR (show)'!P167+'Output-FR (show)'!P171</f>
        <v>0.93</v>
      </c>
      <c r="N17" s="1929">
        <f ca="1">+'Output-FR (show)'!Q166+'Output-FR (show)'!Q167+'Output-FR (show)'!Q171</f>
        <v>212.94587039615118</v>
      </c>
      <c r="O17" s="1929">
        <f ca="1">+'Output-FR (show)'!R166+'Output-FR (show)'!R167+'Output-FR (show)'!R171</f>
        <v>93.622062432706073</v>
      </c>
      <c r="P17" s="1929">
        <f ca="1">+'Output-FR (show)'!S166+'Output-FR (show)'!S167+'Output-FR (show)'!S171</f>
        <v>-41.448296561061667</v>
      </c>
      <c r="Q17" s="1929">
        <f ca="1">+'Output-FR (show)'!T166+'Output-FR (show)'!T167+'Output-FR (show)'!T171</f>
        <v>-81.397019598186674</v>
      </c>
      <c r="R17" s="1929">
        <f ca="1">+'Output-FR (show)'!U166+'Output-FR (show)'!U167+'Output-FR (show)'!U171</f>
        <v>-52.887153743431327</v>
      </c>
      <c r="S17" s="1929">
        <f ca="1">+'Output-FR (show)'!V166+'Output-FR (show)'!V167+'Output-FR (show)'!V171</f>
        <v>-69.026541023640348</v>
      </c>
      <c r="T17" s="1929">
        <f ca="1">+'Output-FR (show)'!W166+'Output-FR (show)'!W167+'Output-FR (show)'!W171</f>
        <v>-19.234319185649944</v>
      </c>
      <c r="U17" s="1929">
        <f ca="1">+'Output-FR (show)'!X166+'Output-FR (show)'!X167+'Output-FR (show)'!X171</f>
        <v>9.2819257317798431</v>
      </c>
      <c r="V17" s="1929">
        <f ca="1">+'Output-FR (show)'!Y166+'Output-FR (show)'!Y167+'Output-FR (show)'!Y171</f>
        <v>0.93287382800045293</v>
      </c>
      <c r="W17" s="1929">
        <f ca="1">+'Output-FR (show)'!Z166+'Output-FR (show)'!Z167+'Output-FR (show)'!Z171</f>
        <v>9.0633061116563738</v>
      </c>
      <c r="X17" s="1929"/>
      <c r="Y17" s="1925"/>
      <c r="Z17" s="1925"/>
      <c r="AA17" s="1925"/>
      <c r="AB17" s="1925"/>
      <c r="AC17" s="1925"/>
      <c r="AD17" s="1925"/>
      <c r="AE17" s="1925"/>
      <c r="AF17" s="1925"/>
      <c r="AG17" s="1925"/>
      <c r="AH17" s="1925"/>
      <c r="AI17" s="1925"/>
      <c r="AJ17" s="1925"/>
      <c r="AK17" s="1925"/>
      <c r="AL17" s="1925"/>
      <c r="AM17" s="1925"/>
      <c r="AN17" s="1925"/>
      <c r="AO17" s="1925"/>
      <c r="AP17" s="1925"/>
      <c r="AQ17" s="1925"/>
      <c r="AR17" s="1925"/>
      <c r="AS17" s="1925"/>
      <c r="AT17" s="1925"/>
      <c r="AU17" s="1925"/>
      <c r="AV17" s="1925"/>
      <c r="AW17" s="1925"/>
      <c r="AX17" s="1925"/>
      <c r="AY17" s="1925"/>
      <c r="AZ17" s="1925"/>
      <c r="BA17" s="1925"/>
      <c r="BC17" s="2387"/>
      <c r="BD17" s="1935">
        <f>+BD16+2%</f>
        <v>0.14173184688573287</v>
      </c>
      <c r="BE17" s="1938">
        <v>57516.069814117822</v>
      </c>
      <c r="BF17" s="1938">
        <v>60042.387754426229</v>
      </c>
      <c r="BG17" s="1939">
        <v>62983.768474925571</v>
      </c>
      <c r="BH17" s="1938">
        <v>66451.656328795289</v>
      </c>
      <c r="BI17" s="1938">
        <v>70601.314534827194</v>
      </c>
      <c r="BJ17" s="1943"/>
      <c r="BK17" s="1944"/>
    </row>
    <row r="18" spans="3:63" s="1923" customFormat="1" x14ac:dyDescent="0.3">
      <c r="C18" s="1945" t="s">
        <v>1762</v>
      </c>
      <c r="D18" s="1946"/>
      <c r="E18" s="1947"/>
      <c r="F18" s="1947"/>
      <c r="G18" s="1948">
        <f>SUM(G10:G17)</f>
        <v>450.05083511399988</v>
      </c>
      <c r="H18" s="1948">
        <f t="shared" ref="H18:W18" si="5">SUM(H10:H17)</f>
        <v>73.751205713000104</v>
      </c>
      <c r="I18" s="1948">
        <f t="shared" si="5"/>
        <v>110.84582513500007</v>
      </c>
      <c r="J18" s="1948">
        <f t="shared" si="5"/>
        <v>-35.593537439000102</v>
      </c>
      <c r="K18" s="1948">
        <f t="shared" si="5"/>
        <v>19.719574384999987</v>
      </c>
      <c r="L18" s="1948">
        <f t="shared" si="5"/>
        <v>36.273335629000144</v>
      </c>
      <c r="M18" s="1949">
        <f t="shared" si="5"/>
        <v>37.954426895479905</v>
      </c>
      <c r="N18" s="1948">
        <f t="shared" ca="1" si="5"/>
        <v>24.848847695483983</v>
      </c>
      <c r="O18" s="1948">
        <f t="shared" ca="1" si="5"/>
        <v>12.624912636015452</v>
      </c>
      <c r="P18" s="1948">
        <f t="shared" ca="1" si="5"/>
        <v>118.56804534019859</v>
      </c>
      <c r="Q18" s="1948">
        <f t="shared" ca="1" si="5"/>
        <v>172.23045421878373</v>
      </c>
      <c r="R18" s="1948">
        <f t="shared" ca="1" si="5"/>
        <v>151.60865622845341</v>
      </c>
      <c r="S18" s="1948">
        <f t="shared" ca="1" si="5"/>
        <v>272.70037844703131</v>
      </c>
      <c r="T18" s="1948">
        <f t="shared" ca="1" si="5"/>
        <v>204.32859002271749</v>
      </c>
      <c r="U18" s="1948">
        <f t="shared" ca="1" si="5"/>
        <v>256.69611955011788</v>
      </c>
      <c r="V18" s="1948">
        <f t="shared" ca="1" si="5"/>
        <v>403.61904270609261</v>
      </c>
      <c r="W18" s="1948">
        <f t="shared" ca="1" si="5"/>
        <v>373.16518116293469</v>
      </c>
      <c r="X18" s="1948"/>
      <c r="Y18" s="1947"/>
      <c r="Z18" s="1947"/>
      <c r="AA18" s="1947"/>
      <c r="AB18" s="1947"/>
      <c r="AC18" s="1947"/>
      <c r="AD18" s="1947"/>
      <c r="AE18" s="1947"/>
      <c r="AF18" s="1947"/>
      <c r="AG18" s="1947"/>
      <c r="AH18" s="1947"/>
      <c r="AI18" s="1947"/>
      <c r="AJ18" s="1947"/>
      <c r="AK18" s="1947"/>
      <c r="AL18" s="1947"/>
      <c r="AM18" s="1947"/>
      <c r="AN18" s="1947"/>
      <c r="AO18" s="1947"/>
      <c r="AP18" s="1947"/>
      <c r="AQ18" s="1947"/>
      <c r="AR18" s="1947"/>
      <c r="AS18" s="1947"/>
      <c r="AT18" s="1947"/>
      <c r="AU18" s="1947"/>
      <c r="AV18" s="1947"/>
      <c r="AW18" s="1947"/>
      <c r="AX18" s="1947"/>
      <c r="AY18" s="1947"/>
      <c r="AZ18" s="1947"/>
      <c r="BA18" s="1947"/>
      <c r="BC18" s="2387"/>
      <c r="BD18" s="1935">
        <f t="shared" ref="BD18:BD19" si="6">+BD17+2%</f>
        <v>0.16173184688573286</v>
      </c>
      <c r="BE18" s="1938">
        <v>53911.535856024529</v>
      </c>
      <c r="BF18" s="1938">
        <v>55867.296591870137</v>
      </c>
      <c r="BG18" s="1939">
        <v>58099.037748322589</v>
      </c>
      <c r="BH18" s="1938">
        <v>60669.609826714302</v>
      </c>
      <c r="BI18" s="1938">
        <v>63662.515442985306</v>
      </c>
    </row>
    <row r="19" spans="3:63" s="1923" customFormat="1" x14ac:dyDescent="0.3">
      <c r="C19" s="1923" t="s">
        <v>1763</v>
      </c>
      <c r="D19" s="1924"/>
      <c r="E19" s="1925"/>
      <c r="F19" s="1950"/>
      <c r="G19" s="1951">
        <f>IF(G26&lt;0,G18,IF(G26&lt;1,G18*(1-G26),0))</f>
        <v>450.05083511399988</v>
      </c>
      <c r="H19" s="1951">
        <f t="shared" ref="H19:W19" si="7">IF(H26&lt;0,H18,IF(H26&lt;1,H18*(1-H26),0))</f>
        <v>73.751205713000104</v>
      </c>
      <c r="I19" s="1951">
        <f t="shared" si="7"/>
        <v>110.84582513500007</v>
      </c>
      <c r="J19" s="1951">
        <f t="shared" si="7"/>
        <v>-35.593537439000102</v>
      </c>
      <c r="K19" s="1951">
        <f t="shared" si="7"/>
        <v>19.719574384999987</v>
      </c>
      <c r="L19" s="1951">
        <f t="shared" si="7"/>
        <v>36.273335629000144</v>
      </c>
      <c r="M19" s="1942">
        <f t="shared" si="7"/>
        <v>37.954426895479905</v>
      </c>
      <c r="N19" s="1951">
        <f t="shared" ca="1" si="7"/>
        <v>3.4512288465949963</v>
      </c>
      <c r="O19" s="1951">
        <f t="shared" si="7"/>
        <v>0</v>
      </c>
      <c r="P19" s="1951">
        <f t="shared" si="7"/>
        <v>0</v>
      </c>
      <c r="Q19" s="1951">
        <f t="shared" si="7"/>
        <v>0</v>
      </c>
      <c r="R19" s="1951">
        <f t="shared" si="7"/>
        <v>0</v>
      </c>
      <c r="S19" s="1951">
        <f t="shared" si="7"/>
        <v>0</v>
      </c>
      <c r="T19" s="1951">
        <f t="shared" si="7"/>
        <v>0</v>
      </c>
      <c r="U19" s="1951">
        <f t="shared" si="7"/>
        <v>0</v>
      </c>
      <c r="V19" s="1951">
        <f t="shared" si="7"/>
        <v>0</v>
      </c>
      <c r="W19" s="1951">
        <f t="shared" si="7"/>
        <v>0</v>
      </c>
      <c r="X19" s="1929"/>
      <c r="Y19" s="1925"/>
      <c r="Z19" s="1925"/>
      <c r="AA19" s="1925"/>
      <c r="AB19" s="1925"/>
      <c r="AC19" s="1925"/>
      <c r="AD19" s="1925"/>
      <c r="AE19" s="1925"/>
      <c r="AF19" s="1925"/>
      <c r="AG19" s="1925"/>
      <c r="AH19" s="1925"/>
      <c r="AI19" s="1925"/>
      <c r="AJ19" s="1925"/>
      <c r="AK19" s="1925"/>
      <c r="AL19" s="1925"/>
      <c r="AM19" s="1925"/>
      <c r="AN19" s="1925"/>
      <c r="AO19" s="1925"/>
      <c r="AP19" s="1925"/>
      <c r="AQ19" s="1925"/>
      <c r="AR19" s="1925"/>
      <c r="AS19" s="1925"/>
      <c r="AT19" s="1925"/>
      <c r="AU19" s="1925"/>
      <c r="AV19" s="1925"/>
      <c r="AW19" s="1925"/>
      <c r="AX19" s="1925"/>
      <c r="AY19" s="1925"/>
      <c r="AZ19" s="1925"/>
      <c r="BA19" s="1925"/>
      <c r="BC19" s="2387"/>
      <c r="BD19" s="1935">
        <f t="shared" si="6"/>
        <v>0.18173184688573285</v>
      </c>
      <c r="BE19" s="1938">
        <v>51100.376096204716</v>
      </c>
      <c r="BF19" s="1938">
        <v>52664.672968275307</v>
      </c>
      <c r="BG19" s="1939">
        <v>54422.413111067428</v>
      </c>
      <c r="BH19" s="1938">
        <v>56411.843591632329</v>
      </c>
      <c r="BI19" s="1938">
        <v>58682.005682527379</v>
      </c>
    </row>
    <row r="20" spans="3:63" s="1923" customFormat="1" x14ac:dyDescent="0.3">
      <c r="C20" s="1945" t="s">
        <v>1764</v>
      </c>
      <c r="D20" s="1947"/>
      <c r="E20" s="1947"/>
      <c r="F20" s="1947"/>
      <c r="G20" s="1947"/>
      <c r="H20" s="1947"/>
      <c r="I20" s="1947"/>
      <c r="J20" s="1947"/>
      <c r="K20" s="1947"/>
      <c r="L20" s="1947"/>
      <c r="M20" s="1946"/>
      <c r="N20" s="1948">
        <f ca="1">N18-N19</f>
        <v>21.397618848888985</v>
      </c>
      <c r="O20" s="1948">
        <f t="shared" ref="O20:W20" ca="1" si="8">O18-O19</f>
        <v>12.624912636015452</v>
      </c>
      <c r="P20" s="1948">
        <f t="shared" ca="1" si="8"/>
        <v>118.56804534019859</v>
      </c>
      <c r="Q20" s="1948">
        <f t="shared" ca="1" si="8"/>
        <v>172.23045421878373</v>
      </c>
      <c r="R20" s="1948">
        <f t="shared" ca="1" si="8"/>
        <v>151.60865622845341</v>
      </c>
      <c r="S20" s="1948">
        <f t="shared" ca="1" si="8"/>
        <v>272.70037844703131</v>
      </c>
      <c r="T20" s="1948">
        <f t="shared" ca="1" si="8"/>
        <v>204.32859002271749</v>
      </c>
      <c r="U20" s="1948">
        <f t="shared" ca="1" si="8"/>
        <v>256.69611955011788</v>
      </c>
      <c r="V20" s="1948">
        <f t="shared" ca="1" si="8"/>
        <v>403.61904270609261</v>
      </c>
      <c r="W20" s="1948">
        <f t="shared" ca="1" si="8"/>
        <v>373.16518116293469</v>
      </c>
      <c r="X20" s="1948"/>
      <c r="Y20" s="1947"/>
      <c r="Z20" s="1947"/>
      <c r="AA20" s="1947"/>
      <c r="AB20" s="1947"/>
      <c r="AC20" s="1947"/>
      <c r="AD20" s="1947"/>
      <c r="AE20" s="1947"/>
      <c r="AF20" s="1947"/>
      <c r="AG20" s="1947"/>
      <c r="AH20" s="1947"/>
      <c r="AI20" s="1947"/>
      <c r="AJ20" s="1947"/>
      <c r="AK20" s="1947"/>
      <c r="AL20" s="1947"/>
      <c r="AM20" s="1947"/>
      <c r="AN20" s="1947"/>
      <c r="AO20" s="1947"/>
      <c r="AP20" s="1947"/>
      <c r="AQ20" s="1947"/>
      <c r="AR20" s="1947"/>
      <c r="AS20" s="1947"/>
      <c r="AT20" s="1947"/>
      <c r="AU20" s="1947"/>
      <c r="AV20" s="1947"/>
      <c r="AW20" s="1947"/>
      <c r="AX20" s="1947"/>
      <c r="AY20" s="1947"/>
      <c r="AZ20" s="1947"/>
      <c r="BA20" s="1947"/>
      <c r="BC20" s="1930"/>
      <c r="BD20" s="1930"/>
      <c r="BE20" s="1930"/>
      <c r="BF20" s="1930"/>
      <c r="BG20" s="1952"/>
      <c r="BH20" s="1952"/>
    </row>
    <row r="21" spans="3:63" s="1923" customFormat="1" x14ac:dyDescent="0.3">
      <c r="C21" s="1930"/>
      <c r="D21" s="1953"/>
      <c r="E21" s="1953"/>
      <c r="F21" s="1953"/>
      <c r="G21" s="1953"/>
      <c r="H21" s="1953"/>
      <c r="I21" s="1953"/>
      <c r="J21" s="1953"/>
      <c r="K21" s="1953"/>
      <c r="L21" s="1953"/>
      <c r="M21" s="1954"/>
      <c r="N21" s="1955"/>
      <c r="O21" s="1956"/>
      <c r="P21" s="1956"/>
      <c r="Q21" s="1956"/>
      <c r="R21" s="1956"/>
      <c r="S21" s="1956"/>
      <c r="T21" s="1956"/>
      <c r="U21" s="1956"/>
      <c r="V21" s="1956"/>
      <c r="W21" s="1956"/>
      <c r="X21" s="1955"/>
      <c r="Y21" s="1955"/>
      <c r="Z21" s="1955"/>
      <c r="AA21" s="1955"/>
      <c r="AB21" s="1955"/>
      <c r="AC21" s="1955"/>
      <c r="AD21" s="1955"/>
      <c r="AE21" s="1955"/>
      <c r="AF21" s="1955"/>
      <c r="AG21" s="1955"/>
      <c r="AH21" s="1955"/>
      <c r="AI21" s="1955"/>
      <c r="AJ21" s="1955"/>
      <c r="AK21" s="1955"/>
      <c r="AL21" s="1955"/>
      <c r="AM21" s="1955"/>
      <c r="AN21" s="1955"/>
      <c r="AO21" s="1955"/>
      <c r="AP21" s="1955"/>
      <c r="AQ21" s="1955"/>
      <c r="AR21" s="1955"/>
      <c r="AS21" s="1955"/>
      <c r="AT21" s="1955"/>
      <c r="AU21" s="1955"/>
      <c r="AV21" s="1955"/>
      <c r="AW21" s="1955"/>
      <c r="AX21" s="1955"/>
      <c r="AY21" s="1955"/>
      <c r="AZ21" s="1955"/>
      <c r="BA21" s="1955"/>
      <c r="BB21" s="1957"/>
      <c r="BC21" s="1930"/>
      <c r="BD21" s="1930"/>
      <c r="BE21" s="1930"/>
      <c r="BF21" s="1930"/>
      <c r="BG21" s="1958"/>
      <c r="BH21" s="1958"/>
    </row>
    <row r="22" spans="3:63" s="1923" customFormat="1" x14ac:dyDescent="0.3">
      <c r="C22" s="1930" t="s">
        <v>1765</v>
      </c>
      <c r="D22" s="1953">
        <f>'Assumption &amp; Result'!D8</f>
        <v>10</v>
      </c>
      <c r="E22" s="1953" t="str">
        <f>"&lt;"&amp;D22+1</f>
        <v>&lt;11</v>
      </c>
      <c r="F22" s="1953"/>
      <c r="G22" s="1953"/>
      <c r="H22" s="1953"/>
      <c r="I22" s="1953"/>
      <c r="J22" s="1953"/>
      <c r="K22" s="1953"/>
      <c r="L22" s="1959"/>
      <c r="M22" s="1960"/>
      <c r="N22" s="1929"/>
      <c r="O22" s="1929"/>
      <c r="P22" s="1929"/>
      <c r="Q22" s="1929"/>
      <c r="R22" s="1929"/>
      <c r="S22" s="1929"/>
      <c r="T22" s="1929"/>
      <c r="U22" s="1929"/>
      <c r="V22" s="1929"/>
      <c r="W22" s="1929"/>
      <c r="X22" s="1925"/>
      <c r="Y22" s="1925"/>
      <c r="Z22" s="1925"/>
      <c r="AA22" s="1925"/>
      <c r="AB22" s="1925"/>
      <c r="AC22" s="1925"/>
      <c r="AD22" s="1925"/>
      <c r="AE22" s="1925"/>
      <c r="AF22" s="1925"/>
      <c r="AG22" s="1925"/>
      <c r="AH22" s="1925"/>
      <c r="AI22" s="1925"/>
      <c r="AJ22" s="1925"/>
      <c r="AK22" s="1925"/>
      <c r="AL22" s="1925"/>
      <c r="AM22" s="1925"/>
      <c r="AN22" s="1925"/>
      <c r="AO22" s="1925"/>
      <c r="AP22" s="1925"/>
      <c r="AQ22" s="1925"/>
      <c r="AR22" s="1925"/>
      <c r="AS22" s="1925"/>
      <c r="AT22" s="1925"/>
      <c r="AU22" s="1925"/>
      <c r="AV22" s="1925"/>
      <c r="AW22" s="1925"/>
      <c r="AX22" s="1925"/>
      <c r="AY22" s="1925"/>
      <c r="AZ22" s="1925"/>
      <c r="BA22" s="1925"/>
      <c r="BB22" s="1957"/>
      <c r="BG22" s="1961"/>
      <c r="BH22" s="1961"/>
    </row>
    <row r="23" spans="3:63" s="1923" customFormat="1" x14ac:dyDescent="0.3">
      <c r="C23" s="1930" t="s">
        <v>1766</v>
      </c>
      <c r="D23" s="1962">
        <f>'Assumption &amp; Result'!D28</f>
        <v>3.0285714285714284E-2</v>
      </c>
      <c r="E23" s="1953"/>
      <c r="F23" s="1953"/>
      <c r="G23" s="1953"/>
      <c r="H23" s="1953"/>
      <c r="I23" s="1953"/>
      <c r="J23" s="1953"/>
      <c r="K23" s="1953"/>
      <c r="L23" s="1959"/>
      <c r="M23" s="1960"/>
      <c r="N23" s="1925"/>
      <c r="O23" s="1925"/>
      <c r="P23" s="1925"/>
      <c r="Q23" s="1925"/>
      <c r="R23" s="1925"/>
      <c r="S23" s="1925"/>
      <c r="T23" s="1925"/>
      <c r="U23" s="1925"/>
      <c r="V23" s="1925"/>
      <c r="W23" s="1925"/>
      <c r="X23" s="1925"/>
      <c r="Y23" s="1925"/>
      <c r="Z23" s="1925"/>
      <c r="AA23" s="1925"/>
      <c r="AB23" s="1925"/>
      <c r="AC23" s="1925"/>
      <c r="AD23" s="1925"/>
      <c r="AE23" s="1925"/>
      <c r="AF23" s="1925"/>
      <c r="AG23" s="1925"/>
      <c r="AH23" s="1925"/>
      <c r="AI23" s="1925"/>
      <c r="AJ23" s="1925"/>
      <c r="AK23" s="1925"/>
      <c r="AL23" s="1925"/>
      <c r="AM23" s="1925"/>
      <c r="AN23" s="1925"/>
      <c r="AO23" s="1925"/>
      <c r="AP23" s="1925"/>
      <c r="AQ23" s="1925"/>
      <c r="AR23" s="1925"/>
      <c r="AS23" s="1925"/>
      <c r="AT23" s="1925"/>
      <c r="AU23" s="1925"/>
      <c r="AV23" s="1925"/>
      <c r="AW23" s="1925"/>
      <c r="AX23" s="1925"/>
      <c r="AY23" s="1925"/>
      <c r="AZ23" s="1925"/>
      <c r="BA23" s="1925"/>
      <c r="BC23" s="1957"/>
      <c r="BD23" s="1957"/>
      <c r="BE23" s="1957"/>
      <c r="BF23" s="1957"/>
      <c r="BG23" s="1957"/>
    </row>
    <row r="24" spans="3:63" s="1923" customFormat="1" x14ac:dyDescent="0.3">
      <c r="C24" s="1930" t="s">
        <v>1767</v>
      </c>
      <c r="D24" s="1962">
        <f ca="1">'Assumption &amp; Result'!D18</f>
        <v>0.11366944167518404</v>
      </c>
      <c r="E24" s="1953"/>
      <c r="F24" s="1953"/>
      <c r="G24" s="1953"/>
      <c r="H24" s="1953"/>
      <c r="I24" s="1953"/>
      <c r="J24" s="1953"/>
      <c r="K24" s="1953"/>
      <c r="L24" s="1959"/>
      <c r="M24" s="1960"/>
      <c r="N24" s="1929"/>
      <c r="O24" s="1929"/>
      <c r="P24" s="1929"/>
      <c r="Q24" s="1929"/>
      <c r="R24" s="1929"/>
      <c r="S24" s="1929"/>
      <c r="T24" s="1929"/>
      <c r="U24" s="1929"/>
      <c r="V24" s="1929"/>
      <c r="W24" s="1929"/>
      <c r="X24" s="1929"/>
      <c r="Y24" s="1925"/>
      <c r="Z24" s="1925"/>
      <c r="AA24" s="1925"/>
      <c r="AB24" s="1925"/>
      <c r="AC24" s="1925"/>
      <c r="AD24" s="1925"/>
      <c r="AE24" s="1925"/>
      <c r="AF24" s="1925"/>
      <c r="AG24" s="1925"/>
      <c r="AH24" s="1925"/>
      <c r="AI24" s="1925"/>
      <c r="AJ24" s="1925"/>
      <c r="AK24" s="1925"/>
      <c r="AL24" s="1925"/>
      <c r="AM24" s="1925"/>
      <c r="AN24" s="1925"/>
      <c r="AO24" s="1925"/>
      <c r="AP24" s="1925"/>
      <c r="AQ24" s="1925"/>
      <c r="AR24" s="1925"/>
      <c r="AS24" s="1925"/>
      <c r="AT24" s="1925"/>
      <c r="AU24" s="1925"/>
      <c r="AV24" s="1925"/>
      <c r="AW24" s="1925"/>
      <c r="AX24" s="1925"/>
      <c r="AY24" s="1925"/>
      <c r="AZ24" s="1925"/>
      <c r="BA24" s="1925"/>
      <c r="BC24" s="1957"/>
      <c r="BD24" s="1957"/>
      <c r="BE24" s="1957"/>
      <c r="BF24" s="1957"/>
      <c r="BG24" s="1957"/>
    </row>
    <row r="25" spans="3:63" s="1923" customFormat="1" x14ac:dyDescent="0.3">
      <c r="C25" s="1930"/>
      <c r="D25" s="1962"/>
      <c r="E25" s="1953"/>
      <c r="F25" s="1953"/>
      <c r="G25" s="1953"/>
      <c r="H25" s="1953"/>
      <c r="I25" s="1953"/>
      <c r="J25" s="1953"/>
      <c r="K25" s="1953"/>
      <c r="L25" s="1953"/>
      <c r="M25" s="1954"/>
      <c r="N25" s="1956"/>
      <c r="O25" s="1956"/>
      <c r="P25" s="1956"/>
      <c r="Q25" s="1956"/>
      <c r="R25" s="1956"/>
      <c r="S25" s="1956"/>
      <c r="T25" s="1956"/>
      <c r="U25" s="1956"/>
      <c r="V25" s="1956"/>
      <c r="W25" s="1956"/>
      <c r="X25" s="1956"/>
      <c r="Y25" s="1955"/>
      <c r="Z25" s="1955"/>
      <c r="AA25" s="1955"/>
      <c r="AB25" s="1955"/>
      <c r="AC25" s="1955"/>
      <c r="AD25" s="1955"/>
      <c r="AE25" s="1955"/>
      <c r="AF25" s="1955"/>
      <c r="AG25" s="1955"/>
      <c r="AH25" s="1955"/>
      <c r="AI25" s="1955"/>
      <c r="AJ25" s="1955"/>
      <c r="AK25" s="1955"/>
      <c r="AL25" s="1955"/>
      <c r="AM25" s="1955"/>
      <c r="AN25" s="1955"/>
      <c r="AO25" s="1955"/>
      <c r="AP25" s="1955"/>
      <c r="AQ25" s="1955"/>
      <c r="AR25" s="1955"/>
      <c r="AS25" s="1955"/>
      <c r="AT25" s="1955"/>
      <c r="AU25" s="1955"/>
      <c r="AV25" s="1955"/>
      <c r="AW25" s="1955"/>
      <c r="AX25" s="1955"/>
      <c r="AY25" s="1955"/>
      <c r="AZ25" s="1955"/>
      <c r="BA25" s="1955"/>
      <c r="BC25" s="1957"/>
      <c r="BD25" s="1957"/>
      <c r="BE25" s="1957"/>
      <c r="BF25" s="1957"/>
      <c r="BG25" s="1957"/>
    </row>
    <row r="26" spans="3:63" s="1923" customFormat="1" x14ac:dyDescent="0.3">
      <c r="C26" s="1923" t="s">
        <v>1751</v>
      </c>
      <c r="D26" s="1959"/>
      <c r="E26" s="1959"/>
      <c r="F26" s="1959"/>
      <c r="G26" s="1959"/>
      <c r="H26" s="1959"/>
      <c r="I26" s="1959"/>
      <c r="J26" s="1959"/>
      <c r="K26" s="1959"/>
      <c r="L26" s="1963"/>
      <c r="M26" s="1964"/>
      <c r="N26" s="1965">
        <f>D5</f>
        <v>0.86111111111111116</v>
      </c>
      <c r="O26" s="1965">
        <f>+N26+1</f>
        <v>1.8611111111111112</v>
      </c>
      <c r="P26" s="1965">
        <f t="shared" ref="P26:W26" si="9">+O26+1</f>
        <v>2.8611111111111112</v>
      </c>
      <c r="Q26" s="1965">
        <f t="shared" si="9"/>
        <v>3.8611111111111112</v>
      </c>
      <c r="R26" s="1965">
        <f t="shared" si="9"/>
        <v>4.8611111111111107</v>
      </c>
      <c r="S26" s="1965">
        <f t="shared" si="9"/>
        <v>5.8611111111111107</v>
      </c>
      <c r="T26" s="1965">
        <f t="shared" si="9"/>
        <v>6.8611111111111107</v>
      </c>
      <c r="U26" s="1965">
        <f t="shared" si="9"/>
        <v>7.8611111111111107</v>
      </c>
      <c r="V26" s="1965">
        <f t="shared" si="9"/>
        <v>8.8611111111111107</v>
      </c>
      <c r="W26" s="1965">
        <f t="shared" si="9"/>
        <v>9.8611111111111107</v>
      </c>
      <c r="X26" s="1965"/>
      <c r="Y26" s="1966"/>
      <c r="Z26" s="1966"/>
      <c r="AA26" s="1966"/>
      <c r="AB26" s="1966"/>
      <c r="AC26" s="1966"/>
      <c r="AD26" s="1966"/>
      <c r="AE26" s="1966"/>
      <c r="AF26" s="1966"/>
      <c r="AG26" s="1966"/>
      <c r="AH26" s="1966"/>
      <c r="AI26" s="1966"/>
      <c r="AJ26" s="1966"/>
      <c r="AK26" s="1966"/>
      <c r="AL26" s="1966"/>
      <c r="AM26" s="1966"/>
      <c r="AN26" s="1966"/>
      <c r="AO26" s="1966"/>
      <c r="AP26" s="1966"/>
      <c r="AQ26" s="1966"/>
      <c r="AR26" s="1966"/>
      <c r="AS26" s="1966"/>
      <c r="AT26" s="1966"/>
      <c r="AU26" s="1966"/>
      <c r="AV26" s="1966"/>
      <c r="AW26" s="1966"/>
      <c r="AX26" s="1966"/>
      <c r="AY26" s="1966"/>
      <c r="AZ26" s="1966"/>
      <c r="BA26" s="1966"/>
      <c r="BC26" s="1957"/>
      <c r="BD26" s="1957"/>
      <c r="BE26" s="1957"/>
      <c r="BF26" s="1957"/>
      <c r="BG26" s="1955"/>
    </row>
    <row r="27" spans="3:63" s="1923" customFormat="1" x14ac:dyDescent="0.3">
      <c r="C27" s="1923" t="s">
        <v>1768</v>
      </c>
      <c r="D27" s="1925"/>
      <c r="E27" s="1925"/>
      <c r="F27" s="1925"/>
      <c r="G27" s="1925"/>
      <c r="H27" s="1925"/>
      <c r="I27" s="1925"/>
      <c r="J27" s="1925"/>
      <c r="K27" s="1925"/>
      <c r="L27" s="1929"/>
      <c r="M27" s="1931"/>
      <c r="N27" s="1929">
        <f ca="1">(1+N48)^N26</f>
        <v>1.1022317386743876</v>
      </c>
      <c r="O27" s="1929">
        <f t="shared" ref="O27:W27" ca="1" si="10">(1+O48)^O26</f>
        <v>1.2431291082117069</v>
      </c>
      <c r="P27" s="1929">
        <f t="shared" ca="1" si="10"/>
        <v>1.3939171290833317</v>
      </c>
      <c r="Q27" s="1929">
        <f t="shared" ca="1" si="10"/>
        <v>1.5482799706053241</v>
      </c>
      <c r="R27" s="1929">
        <f t="shared" ca="1" si="10"/>
        <v>1.7146540374720314</v>
      </c>
      <c r="S27" s="1929">
        <f t="shared" ca="1" si="10"/>
        <v>1.8966669463965706</v>
      </c>
      <c r="T27" s="1929">
        <f t="shared" ca="1" si="10"/>
        <v>2.1000455010498573</v>
      </c>
      <c r="U27" s="1929">
        <f t="shared" ca="1" si="10"/>
        <v>2.3343222174684044</v>
      </c>
      <c r="V27" s="1929">
        <f t="shared" ca="1" si="10"/>
        <v>2.5977504993205693</v>
      </c>
      <c r="W27" s="1929">
        <f t="shared" ca="1" si="10"/>
        <v>2.8911398499794729</v>
      </c>
      <c r="X27" s="1929"/>
      <c r="Y27" s="1967"/>
      <c r="Z27" s="1967"/>
      <c r="AA27" s="1967"/>
      <c r="AB27" s="1967"/>
      <c r="AC27" s="1967"/>
      <c r="AD27" s="1967"/>
      <c r="AE27" s="1967"/>
      <c r="AF27" s="1967"/>
      <c r="AG27" s="1967"/>
      <c r="AH27" s="1967"/>
      <c r="AI27" s="1967"/>
      <c r="AJ27" s="1967"/>
      <c r="AK27" s="1967"/>
      <c r="AL27" s="1967"/>
      <c r="AM27" s="1967"/>
      <c r="AN27" s="1967"/>
      <c r="AO27" s="1967"/>
      <c r="AP27" s="1967"/>
      <c r="AQ27" s="1967"/>
      <c r="AR27" s="1967"/>
      <c r="AS27" s="1967"/>
      <c r="AT27" s="1967"/>
      <c r="AU27" s="1967"/>
      <c r="AV27" s="1967"/>
      <c r="AW27" s="1967"/>
      <c r="AX27" s="1967"/>
      <c r="AY27" s="1967"/>
      <c r="AZ27" s="1967"/>
      <c r="BA27" s="1967"/>
    </row>
    <row r="28" spans="3:63" s="1923" customFormat="1" x14ac:dyDescent="0.3">
      <c r="C28" s="1945" t="s">
        <v>1769</v>
      </c>
      <c r="D28" s="1947"/>
      <c r="E28" s="1968"/>
      <c r="F28" s="1968"/>
      <c r="G28" s="1968"/>
      <c r="H28" s="1968"/>
      <c r="I28" s="1968"/>
      <c r="J28" s="1968"/>
      <c r="K28" s="1968"/>
      <c r="L28" s="1968"/>
      <c r="M28" s="1969"/>
      <c r="N28" s="1948">
        <f ca="1">IF(N26&lt;0,0,N20/N27)</f>
        <v>19.412994652669948</v>
      </c>
      <c r="O28" s="1948">
        <f t="shared" ref="O28:W28" ca="1" si="11">IF(O26&lt;0,0,O20/O27)</f>
        <v>10.155753374785759</v>
      </c>
      <c r="P28" s="1948">
        <f t="shared" ca="1" si="11"/>
        <v>85.061043347800279</v>
      </c>
      <c r="Q28" s="1948">
        <f t="shared" ca="1" si="11"/>
        <v>111.23986455204711</v>
      </c>
      <c r="R28" s="1948">
        <f t="shared" ca="1" si="11"/>
        <v>88.419385435895194</v>
      </c>
      <c r="S28" s="1948">
        <f t="shared" ca="1" si="11"/>
        <v>143.77873720271651</v>
      </c>
      <c r="T28" s="1948">
        <f t="shared" ca="1" si="11"/>
        <v>97.297220427161832</v>
      </c>
      <c r="U28" s="1948">
        <f t="shared" ca="1" si="11"/>
        <v>109.96601824254896</v>
      </c>
      <c r="V28" s="1948">
        <f t="shared" ca="1" si="11"/>
        <v>155.37252049866123</v>
      </c>
      <c r="W28" s="1948">
        <f t="shared" ca="1" si="11"/>
        <v>129.07199254494179</v>
      </c>
      <c r="X28" s="1948"/>
      <c r="Y28" s="1947"/>
      <c r="Z28" s="1947"/>
      <c r="AA28" s="1947"/>
      <c r="AB28" s="1947"/>
      <c r="AC28" s="1947"/>
      <c r="AD28" s="1947"/>
      <c r="AE28" s="1947"/>
      <c r="AF28" s="1947"/>
      <c r="AG28" s="1947"/>
      <c r="AH28" s="1947"/>
      <c r="AI28" s="1947"/>
      <c r="AJ28" s="1947"/>
      <c r="AK28" s="1947"/>
      <c r="AL28" s="1947"/>
      <c r="AM28" s="1947"/>
      <c r="AN28" s="1947"/>
      <c r="AO28" s="1947"/>
      <c r="AP28" s="1947"/>
      <c r="AQ28" s="1947"/>
      <c r="AR28" s="1947"/>
      <c r="AS28" s="1947"/>
      <c r="AT28" s="1947"/>
      <c r="AU28" s="1947"/>
      <c r="AV28" s="1947"/>
      <c r="AW28" s="1947"/>
      <c r="AX28" s="1947"/>
      <c r="AY28" s="1947"/>
      <c r="AZ28" s="1947"/>
      <c r="BA28" s="1947"/>
    </row>
    <row r="29" spans="3:63" s="1923" customFormat="1" x14ac:dyDescent="0.3">
      <c r="C29" s="1923" t="s">
        <v>1770</v>
      </c>
      <c r="D29" s="1970">
        <f ca="1">SUMIF(N7:AY7,E22,DCF!N28:W28)</f>
        <v>949.77553027922863</v>
      </c>
      <c r="E29" s="1971"/>
      <c r="F29" s="1971"/>
      <c r="G29" s="1971"/>
      <c r="H29" s="1971"/>
      <c r="I29" s="1971"/>
      <c r="J29" s="1971"/>
      <c r="K29" s="1971"/>
      <c r="L29" s="1971"/>
      <c r="M29" s="1972"/>
      <c r="N29" s="1973"/>
      <c r="O29" s="1973"/>
      <c r="P29" s="1973"/>
      <c r="Q29" s="1973"/>
      <c r="R29" s="1973"/>
      <c r="S29" s="1973"/>
      <c r="T29" s="1973"/>
      <c r="U29" s="1973"/>
      <c r="V29" s="1973"/>
      <c r="W29" s="1973"/>
      <c r="X29" s="1973"/>
      <c r="Y29" s="1974"/>
      <c r="Z29" s="1974"/>
      <c r="AA29" s="1974"/>
      <c r="AB29" s="1974"/>
      <c r="AC29" s="1974"/>
      <c r="AD29" s="1974"/>
      <c r="AE29" s="1974"/>
      <c r="AF29" s="1974"/>
      <c r="AG29" s="1974"/>
      <c r="AH29" s="1974"/>
      <c r="AI29" s="1974"/>
      <c r="AJ29" s="1974"/>
      <c r="AK29" s="1974"/>
      <c r="AL29" s="1974"/>
      <c r="AM29" s="1974"/>
      <c r="AN29" s="1974"/>
      <c r="AO29" s="1974"/>
      <c r="AP29" s="1974"/>
      <c r="AQ29" s="1974"/>
      <c r="AR29" s="1974"/>
      <c r="AS29" s="1974"/>
      <c r="AT29" s="1974"/>
      <c r="AU29" s="1974"/>
      <c r="AV29" s="1974"/>
      <c r="AW29" s="1974"/>
      <c r="AX29" s="1974"/>
      <c r="AY29" s="1974"/>
      <c r="AZ29" s="1974"/>
      <c r="BA29" s="1974"/>
      <c r="BB29" s="103"/>
      <c r="BC29" s="2392"/>
      <c r="BD29" s="2392"/>
      <c r="BE29" s="2392"/>
      <c r="BF29" s="2392"/>
      <c r="BG29" s="2392"/>
      <c r="BH29" s="2392"/>
    </row>
    <row r="30" spans="3:63" s="1923" customFormat="1" x14ac:dyDescent="0.3">
      <c r="C30" s="1923" t="s">
        <v>1771</v>
      </c>
      <c r="D30" s="1970">
        <f ca="1">(CELL("contents",OFFSET(M28,0,D22)))*(1+D23)/(D24-D23)</f>
        <v>1594.807934314525</v>
      </c>
      <c r="E30" s="1975"/>
      <c r="G30" s="1975"/>
      <c r="H30" s="1975"/>
      <c r="I30" s="1975"/>
      <c r="J30" s="1975"/>
      <c r="K30" s="1975"/>
      <c r="L30" s="1975"/>
      <c r="M30" s="1976"/>
      <c r="N30" s="1957"/>
      <c r="O30" s="1957"/>
      <c r="P30" s="1957"/>
      <c r="Q30" s="1957"/>
      <c r="R30" s="1957"/>
      <c r="S30" s="1957"/>
      <c r="T30" s="1957"/>
      <c r="U30" s="1957"/>
      <c r="V30" s="1957"/>
      <c r="W30" s="1957"/>
      <c r="X30" s="1957"/>
      <c r="Y30" s="1957"/>
      <c r="Z30" s="1957"/>
      <c r="AA30" s="1957"/>
      <c r="AB30" s="1957"/>
      <c r="AC30" s="1957"/>
      <c r="AD30" s="1957"/>
      <c r="AE30" s="1957"/>
      <c r="AF30" s="1957"/>
      <c r="AG30" s="1957"/>
      <c r="AH30" s="1957"/>
      <c r="AI30" s="1957"/>
      <c r="AJ30" s="1957"/>
      <c r="AK30" s="1957"/>
      <c r="AL30" s="1957"/>
      <c r="AM30" s="1957"/>
      <c r="AN30" s="1957"/>
      <c r="AO30" s="1957"/>
      <c r="AP30" s="1957"/>
      <c r="AQ30" s="1957"/>
      <c r="AR30" s="1957"/>
      <c r="AS30" s="1957"/>
      <c r="AT30" s="1957"/>
      <c r="AU30" s="1957"/>
      <c r="AV30" s="1957"/>
      <c r="AW30" s="1957"/>
      <c r="AX30" s="1957"/>
      <c r="AY30" s="1957"/>
      <c r="AZ30" s="1957"/>
      <c r="BA30" s="1957"/>
      <c r="BB30" s="1977"/>
      <c r="BC30" s="170"/>
      <c r="BD30" s="2388"/>
      <c r="BE30" s="2388"/>
      <c r="BF30" s="2388"/>
      <c r="BG30" s="2388"/>
      <c r="BH30" s="2388"/>
      <c r="BI30" s="2388"/>
    </row>
    <row r="31" spans="3:63" s="1983" customFormat="1" ht="15" customHeight="1" x14ac:dyDescent="0.3">
      <c r="C31" s="1978" t="s">
        <v>1772</v>
      </c>
      <c r="D31" s="1979">
        <f ca="1">+D29+D30</f>
        <v>2544.5834645937539</v>
      </c>
      <c r="E31" s="1980"/>
      <c r="F31" s="1980"/>
      <c r="G31" s="2207"/>
      <c r="H31" s="1980"/>
      <c r="I31" s="1980"/>
      <c r="J31" s="1980"/>
      <c r="K31" s="1980"/>
      <c r="L31" s="1975"/>
      <c r="M31" s="1976"/>
      <c r="N31" s="1900"/>
      <c r="O31" s="1900"/>
      <c r="P31" s="1981"/>
      <c r="Q31" s="1900"/>
      <c r="R31" s="1900"/>
      <c r="S31" s="1900"/>
      <c r="T31" s="1900"/>
      <c r="U31" s="1900"/>
      <c r="V31" s="1900"/>
      <c r="W31" s="1900"/>
      <c r="X31" s="1900"/>
      <c r="Y31" s="1900"/>
      <c r="Z31" s="1900"/>
      <c r="AA31" s="1900"/>
      <c r="AB31" s="1900"/>
      <c r="AC31" s="1900"/>
      <c r="AD31" s="1900"/>
      <c r="AE31" s="1900"/>
      <c r="AF31" s="1900"/>
      <c r="AG31" s="1900"/>
      <c r="AH31" s="1900"/>
      <c r="AI31" s="1900"/>
      <c r="AJ31" s="1900"/>
      <c r="AK31" s="1900"/>
      <c r="AL31" s="1900"/>
      <c r="AM31" s="1900"/>
      <c r="AN31" s="1900"/>
      <c r="AO31" s="1900"/>
      <c r="AP31" s="1900"/>
      <c r="AQ31" s="1900"/>
      <c r="AR31" s="1900"/>
      <c r="AS31" s="1900"/>
      <c r="AT31" s="1900"/>
      <c r="AU31" s="1900"/>
      <c r="AV31" s="1900"/>
      <c r="AW31" s="1900"/>
      <c r="AX31" s="1900"/>
      <c r="AY31" s="1900"/>
      <c r="AZ31" s="1900"/>
      <c r="BA31" s="1900"/>
      <c r="BB31" s="2390"/>
      <c r="BC31" s="1982"/>
      <c r="BD31" s="1176"/>
      <c r="BE31" s="2389"/>
      <c r="BF31" s="2389"/>
      <c r="BG31" s="2389"/>
      <c r="BH31" s="2389"/>
      <c r="BI31" s="2389"/>
      <c r="BJ31" s="1899"/>
      <c r="BK31" s="1899"/>
    </row>
    <row r="32" spans="3:63" s="1923" customFormat="1" x14ac:dyDescent="0.3">
      <c r="C32" s="1984" t="s">
        <v>1773</v>
      </c>
      <c r="D32" s="1985">
        <f>Input!P158</f>
        <v>0</v>
      </c>
      <c r="E32" s="1986"/>
      <c r="F32" s="1986"/>
      <c r="G32" s="1986"/>
      <c r="H32" s="1986"/>
      <c r="I32" s="1986"/>
      <c r="J32" s="1986"/>
      <c r="K32" s="1986"/>
      <c r="L32" s="1987"/>
      <c r="M32" s="1988"/>
      <c r="N32" s="1930"/>
      <c r="O32" s="1930"/>
      <c r="P32" s="1930"/>
      <c r="Q32" s="1930"/>
      <c r="R32" s="1930"/>
      <c r="S32" s="1930"/>
      <c r="T32" s="1930"/>
      <c r="U32" s="1930"/>
      <c r="V32" s="1930"/>
      <c r="W32" s="1930"/>
      <c r="X32" s="1930"/>
      <c r="Y32" s="1930"/>
      <c r="Z32" s="1930"/>
      <c r="AA32" s="1930"/>
      <c r="AB32" s="1930"/>
      <c r="AC32" s="1930"/>
      <c r="AD32" s="1930"/>
      <c r="AE32" s="1930"/>
      <c r="AF32" s="1930"/>
      <c r="AG32" s="1930"/>
      <c r="AH32" s="1930"/>
      <c r="AI32" s="1930"/>
      <c r="AJ32" s="1930"/>
      <c r="AK32" s="1930"/>
      <c r="AL32" s="1930"/>
      <c r="AM32" s="1930"/>
      <c r="AN32" s="1930"/>
      <c r="AO32" s="1930"/>
      <c r="AP32" s="1930"/>
      <c r="AQ32" s="1930"/>
      <c r="AR32" s="1930"/>
      <c r="AS32" s="1930"/>
      <c r="AT32" s="1930"/>
      <c r="AU32" s="1930"/>
      <c r="AV32" s="1930"/>
      <c r="AW32" s="1930"/>
      <c r="AX32" s="1930"/>
      <c r="AY32" s="1930"/>
      <c r="AZ32" s="1930"/>
      <c r="BA32" s="1930"/>
      <c r="BB32" s="2390"/>
      <c r="BC32" s="1982"/>
      <c r="BD32" s="1989"/>
      <c r="BE32" s="1933"/>
      <c r="BF32" s="1933"/>
      <c r="BG32" s="1933"/>
      <c r="BH32" s="1933"/>
      <c r="BI32" s="1933"/>
    </row>
    <row r="33" spans="3:61" s="1923" customFormat="1" x14ac:dyDescent="0.3">
      <c r="C33" s="1984" t="s">
        <v>1774</v>
      </c>
      <c r="D33" s="1985">
        <f>+Input!P176</f>
        <v>139.20139330000001</v>
      </c>
      <c r="E33" s="1986"/>
      <c r="F33" s="1986"/>
      <c r="G33" s="1986"/>
      <c r="H33" s="1986"/>
      <c r="I33" s="1986"/>
      <c r="J33" s="1986"/>
      <c r="K33" s="1986"/>
      <c r="L33" s="1987"/>
      <c r="M33" s="1988"/>
      <c r="N33" s="1930"/>
      <c r="O33" s="1930"/>
      <c r="P33" s="1930"/>
      <c r="Q33" s="1930"/>
      <c r="R33" s="1930"/>
      <c r="S33" s="1930"/>
      <c r="T33" s="1930"/>
      <c r="U33" s="1930"/>
      <c r="V33" s="1930"/>
      <c r="W33" s="1930"/>
      <c r="X33" s="1930"/>
      <c r="Y33" s="1930"/>
      <c r="Z33" s="1930"/>
      <c r="AA33" s="1930"/>
      <c r="AB33" s="1930"/>
      <c r="AC33" s="1930"/>
      <c r="AD33" s="1930"/>
      <c r="AE33" s="1930"/>
      <c r="AF33" s="1930"/>
      <c r="AG33" s="1930"/>
      <c r="AH33" s="1930"/>
      <c r="AI33" s="1930"/>
      <c r="AJ33" s="1930"/>
      <c r="AK33" s="1930"/>
      <c r="AL33" s="1930"/>
      <c r="AM33" s="1930"/>
      <c r="AN33" s="1930"/>
      <c r="AO33" s="1930"/>
      <c r="AP33" s="1930"/>
      <c r="AQ33" s="1930"/>
      <c r="AR33" s="1930"/>
      <c r="AS33" s="1930"/>
      <c r="AT33" s="1930"/>
      <c r="AU33" s="1930"/>
      <c r="AV33" s="1930"/>
      <c r="AW33" s="1930"/>
      <c r="AX33" s="1930"/>
      <c r="AY33" s="1930"/>
      <c r="AZ33" s="1930"/>
      <c r="BA33" s="1930"/>
      <c r="BB33" s="2390"/>
      <c r="BC33" s="2390"/>
      <c r="BD33" s="1990"/>
      <c r="BE33" s="1991"/>
      <c r="BF33" s="1991"/>
      <c r="BG33" s="1991"/>
      <c r="BH33" s="1991"/>
      <c r="BI33" s="1991"/>
    </row>
    <row r="34" spans="3:61" s="1923" customFormat="1" x14ac:dyDescent="0.3">
      <c r="C34" s="1984" t="s">
        <v>1775</v>
      </c>
      <c r="D34" s="1985">
        <f>Input!P254</f>
        <v>140.10113354500001</v>
      </c>
      <c r="E34" s="1975"/>
      <c r="F34" s="1975"/>
      <c r="G34" s="1975"/>
      <c r="H34" s="1975"/>
      <c r="I34" s="1975"/>
      <c r="J34" s="1975"/>
      <c r="K34" s="1975"/>
      <c r="L34" s="1975"/>
      <c r="M34" s="1976"/>
      <c r="N34" s="1957"/>
      <c r="O34" s="1957"/>
      <c r="P34" s="1992"/>
      <c r="Q34" s="1957"/>
      <c r="R34" s="1957"/>
      <c r="S34" s="1957"/>
      <c r="T34" s="1957"/>
      <c r="U34" s="1957"/>
      <c r="V34" s="1957"/>
      <c r="W34" s="1957"/>
      <c r="X34" s="1957"/>
      <c r="Y34" s="1957"/>
      <c r="Z34" s="1957"/>
      <c r="AA34" s="1957"/>
      <c r="AB34" s="1957"/>
      <c r="AC34" s="1957"/>
      <c r="AD34" s="1957"/>
      <c r="AE34" s="1957"/>
      <c r="AF34" s="1957"/>
      <c r="AG34" s="1957"/>
      <c r="AH34" s="1957"/>
      <c r="AI34" s="1957"/>
      <c r="AJ34" s="1957"/>
      <c r="AK34" s="1957"/>
      <c r="AL34" s="1957"/>
      <c r="AM34" s="1957"/>
      <c r="AN34" s="1957"/>
      <c r="AO34" s="1957"/>
      <c r="AP34" s="1957"/>
      <c r="AQ34" s="1957"/>
      <c r="AR34" s="1957"/>
      <c r="AS34" s="1957"/>
      <c r="AT34" s="1957"/>
      <c r="AU34" s="1957"/>
      <c r="AV34" s="1957"/>
      <c r="AW34" s="1957"/>
      <c r="AX34" s="1957"/>
      <c r="AY34" s="1957"/>
      <c r="AZ34" s="1957"/>
      <c r="BA34" s="1957"/>
      <c r="BB34" s="2390"/>
      <c r="BC34" s="2390"/>
      <c r="BD34" s="1990"/>
      <c r="BE34" s="1938"/>
      <c r="BF34" s="1938"/>
      <c r="BG34" s="1938"/>
      <c r="BH34" s="1938"/>
      <c r="BI34" s="1938"/>
    </row>
    <row r="35" spans="3:61" x14ac:dyDescent="0.3">
      <c r="C35" s="1978" t="s">
        <v>1776</v>
      </c>
      <c r="D35" s="1979">
        <f ca="1">SUM(D31:D34)</f>
        <v>2823.8859914387535</v>
      </c>
      <c r="E35" s="1980"/>
      <c r="F35" s="1980"/>
      <c r="G35" s="1980"/>
      <c r="H35" s="1980"/>
      <c r="I35" s="1980"/>
      <c r="J35" s="1980"/>
      <c r="K35" s="1980"/>
      <c r="L35" s="1975"/>
      <c r="M35" s="1976"/>
      <c r="BB35" s="2390"/>
      <c r="BC35" s="2390"/>
      <c r="BD35" s="1990"/>
      <c r="BE35" s="1993"/>
      <c r="BF35" s="1993"/>
      <c r="BG35" s="1993"/>
      <c r="BH35" s="1993"/>
      <c r="BI35" s="1993"/>
    </row>
    <row r="36" spans="3:61" s="1923" customFormat="1" x14ac:dyDescent="0.3">
      <c r="C36" s="1923" t="s">
        <v>1777</v>
      </c>
      <c r="D36" s="1994">
        <f>'Assumption &amp; Result'!D31</f>
        <v>52.378914999999999</v>
      </c>
      <c r="E36" s="1995"/>
      <c r="F36" s="1995"/>
      <c r="G36" s="1995"/>
      <c r="H36" s="1995"/>
      <c r="I36" s="2208"/>
      <c r="J36" s="1995"/>
      <c r="K36" s="1995"/>
      <c r="L36" s="1975"/>
      <c r="M36" s="1976"/>
      <c r="N36" s="1957"/>
      <c r="O36" s="1957"/>
      <c r="P36" s="1957"/>
      <c r="Q36" s="1957"/>
      <c r="R36" s="1957"/>
      <c r="S36" s="1957"/>
      <c r="T36" s="1957"/>
      <c r="U36" s="1957"/>
      <c r="V36" s="1957"/>
      <c r="W36" s="1957"/>
      <c r="X36" s="1957"/>
      <c r="Y36" s="1957"/>
      <c r="Z36" s="1957"/>
      <c r="AA36" s="1957"/>
      <c r="AB36" s="1957"/>
      <c r="AC36" s="1957"/>
      <c r="AD36" s="1957"/>
      <c r="AE36" s="1957"/>
      <c r="AF36" s="1957"/>
      <c r="AG36" s="1957"/>
      <c r="AH36" s="1957"/>
      <c r="AI36" s="1957"/>
      <c r="AJ36" s="1957"/>
      <c r="AK36" s="1957"/>
      <c r="AL36" s="1957"/>
      <c r="AM36" s="1957"/>
      <c r="AN36" s="1957"/>
      <c r="AO36" s="1957"/>
      <c r="AP36" s="1957"/>
      <c r="AQ36" s="1957"/>
      <c r="AR36" s="1957"/>
      <c r="AS36" s="1957"/>
      <c r="AT36" s="1957"/>
      <c r="AU36" s="1957"/>
      <c r="AV36" s="1957"/>
      <c r="AW36" s="1957"/>
      <c r="AX36" s="1957"/>
      <c r="AY36" s="1957"/>
      <c r="AZ36" s="1957"/>
      <c r="BA36" s="1957"/>
      <c r="BB36" s="2390"/>
      <c r="BC36" s="2390"/>
      <c r="BD36" s="1935"/>
      <c r="BE36" s="1938"/>
      <c r="BF36" s="1938"/>
      <c r="BG36" s="1938"/>
      <c r="BH36" s="1938"/>
      <c r="BI36" s="1938"/>
    </row>
    <row r="37" spans="3:61" x14ac:dyDescent="0.3">
      <c r="C37" s="1996" t="s">
        <v>1778</v>
      </c>
      <c r="D37" s="1997">
        <f ca="1">D35*1000/D36</f>
        <v>53912.64770258707</v>
      </c>
      <c r="E37" s="1998"/>
      <c r="F37" s="1998"/>
      <c r="G37" s="1998"/>
      <c r="H37" s="1998"/>
      <c r="I37" s="1998"/>
      <c r="J37" s="1998"/>
      <c r="K37" s="1998"/>
      <c r="L37" s="1975"/>
      <c r="M37" s="1976"/>
      <c r="BC37" s="2390"/>
      <c r="BD37" s="1990"/>
      <c r="BE37" s="1993"/>
      <c r="BF37" s="1993"/>
      <c r="BG37" s="1993"/>
      <c r="BH37" s="1993"/>
      <c r="BI37" s="1993"/>
    </row>
    <row r="38" spans="3:61" x14ac:dyDescent="0.3">
      <c r="D38" s="1999"/>
      <c r="E38" s="1971"/>
      <c r="F38" s="1971"/>
      <c r="G38" s="1971"/>
      <c r="H38" s="1971"/>
      <c r="I38" s="1971"/>
      <c r="J38" s="1971"/>
      <c r="K38" s="1971"/>
      <c r="L38" s="1971"/>
      <c r="M38" s="1972"/>
      <c r="N38" s="2000"/>
      <c r="O38" s="2000"/>
      <c r="P38" s="2000"/>
      <c r="Q38" s="2000"/>
      <c r="R38" s="2000"/>
      <c r="S38" s="2000"/>
      <c r="T38" s="2000"/>
      <c r="U38" s="2000"/>
      <c r="V38" s="2000"/>
      <c r="W38" s="2000"/>
      <c r="X38" s="2000"/>
      <c r="Y38" s="2000"/>
      <c r="Z38" s="2000"/>
      <c r="AA38" s="2000"/>
      <c r="AB38" s="2000"/>
      <c r="AC38" s="2000"/>
      <c r="AD38" s="2000"/>
      <c r="AE38" s="2000"/>
      <c r="AF38" s="2000"/>
      <c r="AG38" s="2000"/>
      <c r="AH38" s="2000"/>
      <c r="AI38" s="2000"/>
      <c r="AJ38" s="2000"/>
      <c r="AK38" s="2000"/>
      <c r="AL38" s="2000"/>
      <c r="AM38" s="2000"/>
      <c r="AN38" s="2000"/>
      <c r="AO38" s="2000"/>
      <c r="AP38" s="2000"/>
      <c r="AQ38" s="2000"/>
      <c r="AR38" s="2000"/>
      <c r="AS38" s="2000"/>
      <c r="AT38" s="2000"/>
      <c r="AU38" s="2000"/>
      <c r="AV38" s="2000"/>
      <c r="AW38" s="2000"/>
      <c r="AX38" s="2000"/>
      <c r="AY38" s="2000"/>
      <c r="AZ38" s="2000"/>
      <c r="BA38" s="2000"/>
      <c r="BC38" s="2390"/>
      <c r="BD38" s="1990"/>
      <c r="BE38" s="1993"/>
      <c r="BF38" s="1993"/>
      <c r="BG38" s="1993"/>
      <c r="BH38" s="1993"/>
      <c r="BI38" s="1993"/>
    </row>
    <row r="39" spans="3:61" x14ac:dyDescent="0.3">
      <c r="D39" s="2000"/>
      <c r="E39" s="1971"/>
      <c r="F39" s="1971"/>
      <c r="G39" s="1971"/>
      <c r="H39" s="1971"/>
      <c r="I39" s="1971"/>
      <c r="J39" s="1971"/>
      <c r="K39" s="1971"/>
      <c r="L39" s="1971"/>
      <c r="M39" s="1972"/>
      <c r="N39" s="2000"/>
      <c r="O39" s="2000"/>
      <c r="P39" s="2000"/>
      <c r="Q39" s="2000"/>
      <c r="R39" s="2000"/>
      <c r="S39" s="2000"/>
      <c r="T39" s="2000"/>
      <c r="U39" s="2000"/>
      <c r="V39" s="2000"/>
      <c r="W39" s="2000"/>
      <c r="X39" s="2000"/>
      <c r="Y39" s="2000"/>
      <c r="Z39" s="2000"/>
      <c r="AA39" s="2000"/>
      <c r="AB39" s="2000"/>
      <c r="AC39" s="2000"/>
      <c r="AD39" s="2000"/>
      <c r="AE39" s="2000"/>
      <c r="AF39" s="2000"/>
      <c r="AG39" s="2000"/>
      <c r="AH39" s="2000"/>
      <c r="AI39" s="2000"/>
      <c r="AJ39" s="2000"/>
      <c r="AK39" s="2000"/>
      <c r="AL39" s="2000"/>
      <c r="AM39" s="2000"/>
      <c r="AN39" s="2000"/>
      <c r="AO39" s="2000"/>
      <c r="AP39" s="2000"/>
      <c r="AQ39" s="2000"/>
      <c r="AR39" s="2000"/>
      <c r="AS39" s="2000"/>
      <c r="AT39" s="2000"/>
      <c r="AU39" s="2000"/>
      <c r="AV39" s="2000"/>
      <c r="AW39" s="2000"/>
      <c r="AX39" s="2000"/>
      <c r="AY39" s="2000"/>
      <c r="AZ39" s="2000"/>
      <c r="BA39" s="2000"/>
      <c r="BC39" s="2390"/>
      <c r="BD39" s="1990"/>
      <c r="BE39" s="1993"/>
      <c r="BF39" s="1993"/>
      <c r="BG39" s="1993"/>
      <c r="BH39" s="1993"/>
      <c r="BI39" s="1993"/>
    </row>
    <row r="40" spans="3:61" s="1983" customFormat="1" ht="14.4" customHeight="1" thickBot="1" x14ac:dyDescent="0.35">
      <c r="C40" s="1899"/>
      <c r="D40" s="1899"/>
      <c r="E40" s="1975"/>
      <c r="F40" s="1975"/>
      <c r="G40" s="1975"/>
      <c r="H40" s="1975"/>
      <c r="I40" s="1975"/>
      <c r="J40" s="1975"/>
      <c r="K40" s="1975"/>
      <c r="L40" s="1975"/>
      <c r="M40" s="1976"/>
      <c r="N40" s="1901"/>
      <c r="O40" s="1900"/>
      <c r="P40" s="1900"/>
      <c r="Q40" s="1900"/>
      <c r="R40" s="1900"/>
      <c r="S40" s="1900"/>
      <c r="T40" s="1900"/>
      <c r="U40" s="1900"/>
      <c r="V40" s="1900"/>
      <c r="W40" s="1900"/>
      <c r="X40" s="1900"/>
      <c r="Y40" s="1900"/>
      <c r="Z40" s="1900"/>
      <c r="AA40" s="1900"/>
      <c r="AB40" s="1900"/>
      <c r="AC40" s="1900"/>
      <c r="AD40" s="1900"/>
      <c r="AE40" s="1900"/>
      <c r="AF40" s="1900"/>
      <c r="AG40" s="1900"/>
      <c r="AH40" s="1900"/>
      <c r="AI40" s="1900"/>
      <c r="AJ40" s="1900"/>
      <c r="AK40" s="1900"/>
      <c r="AL40" s="1900"/>
      <c r="AM40" s="1900"/>
      <c r="AN40" s="1900"/>
      <c r="AO40" s="1900"/>
      <c r="AP40" s="1900"/>
      <c r="AQ40" s="1900"/>
      <c r="AR40" s="1900"/>
      <c r="AS40" s="1900"/>
      <c r="AT40" s="1900"/>
      <c r="AU40" s="1900"/>
      <c r="AV40" s="1900"/>
      <c r="AW40" s="1900"/>
      <c r="AX40" s="1900"/>
      <c r="AY40" s="1900"/>
      <c r="AZ40" s="1900"/>
      <c r="BA40" s="1900"/>
    </row>
    <row r="41" spans="3:61" ht="15.75" customHeight="1" x14ac:dyDescent="0.3">
      <c r="C41" s="2001" t="s">
        <v>1779</v>
      </c>
      <c r="D41" s="2002"/>
      <c r="E41" s="2003"/>
      <c r="F41" s="2003"/>
      <c r="G41" s="2003"/>
      <c r="H41" s="2003"/>
      <c r="I41" s="2003"/>
      <c r="J41" s="2003"/>
      <c r="K41" s="2003"/>
      <c r="L41" s="2003"/>
      <c r="M41" s="2004"/>
      <c r="N41" s="2003"/>
      <c r="O41" s="2003"/>
      <c r="P41" s="2003"/>
      <c r="Q41" s="2003"/>
      <c r="R41" s="2003"/>
      <c r="S41" s="2003"/>
      <c r="T41" s="2003"/>
      <c r="U41" s="2003"/>
      <c r="V41" s="2003"/>
      <c r="W41" s="2003"/>
      <c r="X41" s="2003"/>
      <c r="Y41" s="2003"/>
      <c r="Z41" s="2003"/>
      <c r="AA41" s="2003"/>
      <c r="AB41" s="2003"/>
      <c r="AC41" s="2003"/>
      <c r="AD41" s="2003"/>
      <c r="AE41" s="2003"/>
      <c r="AF41" s="2003"/>
      <c r="AG41" s="2003"/>
      <c r="AH41" s="2003"/>
      <c r="AI41" s="2003"/>
      <c r="AJ41" s="2003"/>
      <c r="AK41" s="2003"/>
      <c r="AL41" s="2003"/>
      <c r="AM41" s="2003"/>
      <c r="AN41" s="2003"/>
      <c r="AO41" s="2003"/>
      <c r="AP41" s="2003"/>
      <c r="AQ41" s="2003"/>
      <c r="AR41" s="2003"/>
      <c r="AS41" s="2003"/>
      <c r="AT41" s="2003"/>
      <c r="AU41" s="2003"/>
      <c r="AV41" s="2003"/>
      <c r="AW41" s="2003"/>
      <c r="AX41" s="2003"/>
      <c r="AY41" s="2003"/>
      <c r="AZ41" s="2003"/>
      <c r="BA41" s="2003"/>
    </row>
    <row r="42" spans="3:61" s="1923" customFormat="1" x14ac:dyDescent="0.3">
      <c r="C42" s="2005" t="s">
        <v>1780</v>
      </c>
      <c r="D42" s="2006">
        <f>'Assumption &amp; Result'!D9</f>
        <v>0.05</v>
      </c>
      <c r="E42" s="1957"/>
      <c r="F42" s="1957"/>
      <c r="G42" s="1957"/>
      <c r="H42" s="1957"/>
      <c r="I42" s="1957"/>
      <c r="J42" s="1957"/>
      <c r="K42" s="1957"/>
      <c r="L42" s="1957"/>
      <c r="M42" s="2007"/>
      <c r="N42" s="1957"/>
      <c r="O42" s="1957"/>
      <c r="P42" s="1957"/>
      <c r="Q42" s="1957"/>
      <c r="R42" s="1957"/>
      <c r="S42" s="1957"/>
      <c r="T42" s="1957"/>
      <c r="U42" s="1957"/>
      <c r="V42" s="1957"/>
      <c r="W42" s="1957"/>
      <c r="X42" s="1957"/>
      <c r="Y42" s="1957"/>
      <c r="Z42" s="1957"/>
      <c r="AA42" s="1957"/>
      <c r="AB42" s="1957"/>
      <c r="AC42" s="1957"/>
      <c r="AD42" s="1957"/>
      <c r="AE42" s="1957"/>
      <c r="AF42" s="1957"/>
      <c r="AG42" s="1957"/>
      <c r="AH42" s="1957"/>
      <c r="AI42" s="1957"/>
      <c r="AJ42" s="1957"/>
      <c r="AK42" s="1957"/>
      <c r="AL42" s="1957"/>
      <c r="AM42" s="1957"/>
      <c r="AN42" s="1957"/>
      <c r="AO42" s="1957"/>
      <c r="AP42" s="1957"/>
      <c r="AQ42" s="1957"/>
      <c r="AR42" s="1957"/>
      <c r="AS42" s="1957"/>
      <c r="AT42" s="1957"/>
      <c r="AU42" s="1957"/>
      <c r="AV42" s="1957"/>
      <c r="AW42" s="1957"/>
      <c r="AX42" s="1957"/>
      <c r="AY42" s="1957"/>
      <c r="AZ42" s="1957"/>
      <c r="BA42" s="1957"/>
      <c r="BB42" s="1957"/>
      <c r="BC42" s="2008"/>
      <c r="BD42" s="1957"/>
      <c r="BE42" s="1957"/>
      <c r="BF42" s="1957"/>
      <c r="BG42" s="1957"/>
    </row>
    <row r="43" spans="3:61" s="1930" customFormat="1" x14ac:dyDescent="0.3">
      <c r="C43" s="2005" t="s">
        <v>1742</v>
      </c>
      <c r="D43" s="2009">
        <f>'Assumption &amp; Result'!D10</f>
        <v>0.56199214499073358</v>
      </c>
      <c r="E43" s="1957"/>
      <c r="F43" s="1957"/>
      <c r="G43" s="1957"/>
      <c r="H43" s="1957"/>
      <c r="I43" s="1957"/>
      <c r="J43" s="1957"/>
      <c r="K43" s="1957"/>
      <c r="L43" s="1957"/>
      <c r="M43" s="2007"/>
      <c r="N43" s="1957"/>
      <c r="O43" s="1957"/>
      <c r="P43" s="1957"/>
      <c r="Q43" s="1957"/>
      <c r="R43" s="1957"/>
      <c r="S43" s="1957"/>
      <c r="T43" s="1957"/>
      <c r="U43" s="1957"/>
      <c r="V43" s="1957"/>
      <c r="W43" s="1957"/>
      <c r="X43" s="1957"/>
      <c r="Y43" s="1957"/>
      <c r="Z43" s="1957"/>
      <c r="AA43" s="1957"/>
      <c r="AB43" s="1957"/>
      <c r="AC43" s="1957"/>
      <c r="AD43" s="1957"/>
      <c r="AE43" s="1957"/>
      <c r="AF43" s="1957"/>
      <c r="AG43" s="1957"/>
      <c r="AH43" s="1957"/>
      <c r="AI43" s="1957"/>
      <c r="AJ43" s="1957"/>
      <c r="AK43" s="1957"/>
      <c r="AL43" s="1957"/>
      <c r="AM43" s="1957"/>
      <c r="AN43" s="1957"/>
      <c r="AO43" s="1957"/>
      <c r="AP43" s="1957"/>
      <c r="AQ43" s="1957"/>
      <c r="AR43" s="1957"/>
      <c r="AS43" s="1957"/>
      <c r="AT43" s="1957"/>
      <c r="AU43" s="1957"/>
      <c r="AV43" s="1957"/>
      <c r="AW43" s="1957"/>
      <c r="AX43" s="1957"/>
      <c r="AY43" s="1957"/>
      <c r="AZ43" s="1957"/>
      <c r="BA43" s="1957"/>
    </row>
    <row r="44" spans="3:61" s="1930" customFormat="1" x14ac:dyDescent="0.3">
      <c r="C44" s="2005" t="s">
        <v>1781</v>
      </c>
      <c r="D44" s="2010">
        <f>'Assumption &amp; Result'!D11</f>
        <v>0.109538</v>
      </c>
      <c r="E44" s="1957"/>
      <c r="F44" s="1957"/>
      <c r="G44" s="1957"/>
      <c r="H44" s="1957"/>
      <c r="I44" s="1957"/>
      <c r="J44" s="1957"/>
      <c r="K44" s="1957"/>
      <c r="L44" s="1957"/>
      <c r="M44" s="2007"/>
      <c r="N44" s="1957"/>
      <c r="O44" s="1957"/>
      <c r="P44" s="1957"/>
      <c r="Q44" s="1957"/>
      <c r="R44" s="1957"/>
      <c r="S44" s="1957"/>
      <c r="T44" s="1957"/>
      <c r="U44" s="1957"/>
      <c r="V44" s="1957"/>
      <c r="W44" s="1957"/>
      <c r="X44" s="1957"/>
      <c r="Y44" s="1957"/>
      <c r="Z44" s="1957"/>
      <c r="AA44" s="1957"/>
      <c r="AB44" s="1957"/>
      <c r="AC44" s="1957"/>
      <c r="AD44" s="1957"/>
      <c r="AE44" s="1957"/>
      <c r="AF44" s="1957"/>
      <c r="AG44" s="1957"/>
      <c r="AH44" s="1957"/>
      <c r="AI44" s="1957"/>
      <c r="AJ44" s="1957"/>
      <c r="AK44" s="1957"/>
      <c r="AL44" s="1957"/>
      <c r="AM44" s="1957"/>
      <c r="AN44" s="1957"/>
      <c r="AO44" s="1957"/>
      <c r="AP44" s="1957"/>
      <c r="AQ44" s="1957"/>
      <c r="AR44" s="1957"/>
      <c r="AS44" s="1957"/>
      <c r="AT44" s="1957"/>
      <c r="AU44" s="1957"/>
      <c r="AV44" s="1957"/>
      <c r="AW44" s="1957"/>
      <c r="AX44" s="1957"/>
      <c r="AY44" s="1957"/>
      <c r="AZ44" s="1957"/>
      <c r="BA44" s="1957"/>
    </row>
    <row r="45" spans="3:61" s="1923" customFormat="1" x14ac:dyDescent="0.3">
      <c r="C45" s="2011" t="s">
        <v>1740</v>
      </c>
      <c r="E45" s="1957"/>
      <c r="F45" s="1957"/>
      <c r="G45" s="1957"/>
      <c r="H45" s="1957"/>
      <c r="I45" s="1957"/>
      <c r="J45" s="1957"/>
      <c r="K45" s="1957"/>
      <c r="L45" s="2012"/>
      <c r="M45" s="2013">
        <f>Ratio!P59</f>
        <v>8.547787212442573E-2</v>
      </c>
      <c r="N45" s="2014">
        <f ca="1">(('Output-FR (show)'!Q82+'Output-FR (show)'!P82+'Output-FR (show)'!Q92+'Output-FR (show)'!P92)/2)/(('Output-FR (show)'!Q103+'Output-FR (show)'!P103+'Output-FR (show)'!Q111+'Output-FR (show)'!P111)/2)</f>
        <v>0.16657611988622875</v>
      </c>
      <c r="O45" s="2014">
        <f ca="1">(('Output-FR (show)'!R82+'Output-FR (show)'!Q82+'Output-FR (show)'!R92+'Output-FR (show)'!Q92)/2)/(('Output-FR (show)'!R103+'Output-FR (show)'!Q103+'Output-FR (show)'!R111+'Output-FR (show)'!Q111)/2)</f>
        <v>0.25640393865978595</v>
      </c>
      <c r="P45" s="2014">
        <f ca="1">(('Output-FR (show)'!S82+'Output-FR (show)'!R82+'Output-FR (show)'!S92+'Output-FR (show)'!R92)/2)/(('Output-FR (show)'!S103+'Output-FR (show)'!R103+'Output-FR (show)'!S111+'Output-FR (show)'!R111)/2)</f>
        <v>0.23664845978398916</v>
      </c>
      <c r="Q45" s="2014">
        <f ca="1">(('Output-FR (show)'!T82+'Output-FR (show)'!S82+'Output-FR (show)'!T92+'Output-FR (show)'!S92)/2)/(('Output-FR (show)'!T103+'Output-FR (show)'!S103+'Output-FR (show)'!T111+'Output-FR (show)'!S111)/2)</f>
        <v>0.17073325858125116</v>
      </c>
      <c r="R45" s="2014">
        <f ca="1">(('Output-FR (show)'!U82+'Output-FR (show)'!T82+'Output-FR (show)'!U92+'Output-FR (show)'!T92)/2)/(('Output-FR (show)'!U103+'Output-FR (show)'!T103+'Output-FR (show)'!U111+'Output-FR (show)'!T111)/2)</f>
        <v>0.11805277584755647</v>
      </c>
      <c r="S45" s="2014">
        <f ca="1">(('Output-FR (show)'!V82+'Output-FR (show)'!U82+'Output-FR (show)'!V92+'Output-FR (show)'!U92)/2)/(('Output-FR (show)'!V103+'Output-FR (show)'!U103+'Output-FR (show)'!V111+'Output-FR (show)'!U111)/2)</f>
        <v>7.8803813050034394E-2</v>
      </c>
      <c r="T45" s="2014">
        <f ca="1">(('Output-FR (show)'!W82+'Output-FR (show)'!V82+'Output-FR (show)'!W92+'Output-FR (show)'!V92)/2)/(('Output-FR (show)'!W103+'Output-FR (show)'!V103+'Output-FR (show)'!W111+'Output-FR (show)'!V111)/2)</f>
        <v>5.42841643680127E-2</v>
      </c>
      <c r="U45" s="2014">
        <f ca="1">(('Output-FR (show)'!X82+'Output-FR (show)'!W82+'Output-FR (show)'!X92+'Output-FR (show)'!W92)/2)/(('Output-FR (show)'!X103+'Output-FR (show)'!W103+'Output-FR (show)'!X111+'Output-FR (show)'!W111)/2)</f>
        <v>4.7367483681827853E-2</v>
      </c>
      <c r="V45" s="2014">
        <f ca="1">(('Output-FR (show)'!Y82+'Output-FR (show)'!X82+'Output-FR (show)'!Y92+'Output-FR (show)'!X92)/2)/(('Output-FR (show)'!Y103+'Output-FR (show)'!X103+'Output-FR (show)'!Y111+'Output-FR (show)'!X111)/2)</f>
        <v>4.5011110128956609E-2</v>
      </c>
      <c r="W45" s="2014">
        <f ca="1">(('Output-FR (show)'!Z82+'Output-FR (show)'!Y82+'Output-FR (show)'!Z92+'Output-FR (show)'!Y92)/2)/(('Output-FR (show)'!Z103+'Output-FR (show)'!Y103+'Output-FR (show)'!Z111+'Output-FR (show)'!Y111)/2)</f>
        <v>4.3319845104697226E-2</v>
      </c>
      <c r="X45" s="2014"/>
      <c r="Y45" s="2014"/>
      <c r="Z45" s="2014"/>
      <c r="AA45" s="2014"/>
      <c r="AB45" s="2014"/>
      <c r="AC45" s="2014"/>
      <c r="AD45" s="2014"/>
      <c r="AE45" s="2014"/>
      <c r="AF45" s="2014"/>
      <c r="AG45" s="2014"/>
      <c r="AH45" s="2014"/>
      <c r="AI45" s="2014"/>
      <c r="AJ45" s="2014"/>
      <c r="AK45" s="2014"/>
      <c r="AL45" s="2014"/>
      <c r="AM45" s="2014"/>
      <c r="AN45" s="2014"/>
      <c r="AO45" s="2014"/>
      <c r="AP45" s="2014"/>
      <c r="AQ45" s="2014"/>
      <c r="AR45" s="2014"/>
      <c r="AS45" s="2014"/>
      <c r="AT45" s="2014"/>
      <c r="AU45" s="2014"/>
      <c r="AV45" s="2014"/>
      <c r="AW45" s="2014"/>
      <c r="AX45" s="2014"/>
      <c r="AY45" s="2014"/>
      <c r="AZ45" s="2014"/>
      <c r="BA45" s="2014"/>
      <c r="BB45" s="1957"/>
      <c r="BC45" s="1957"/>
      <c r="BD45" s="1957"/>
      <c r="BE45" s="1957"/>
      <c r="BF45" s="1957"/>
      <c r="BG45" s="1957"/>
    </row>
    <row r="46" spans="3:61" s="1923" customFormat="1" x14ac:dyDescent="0.3">
      <c r="C46" s="2011" t="s">
        <v>1782</v>
      </c>
      <c r="D46" s="2015"/>
      <c r="E46" s="2015"/>
      <c r="F46" s="2015"/>
      <c r="G46" s="2016">
        <f>Input!J89</f>
        <v>0.21577074438274513</v>
      </c>
      <c r="H46" s="2016">
        <f>Input!K89</f>
        <v>0.19552707624422352</v>
      </c>
      <c r="I46" s="2016">
        <f>Input!L89</f>
        <v>0.19256551267605224</v>
      </c>
      <c r="J46" s="2016">
        <f>Input!M89</f>
        <v>0.18913713013387215</v>
      </c>
      <c r="K46" s="2016">
        <f>Input!N89</f>
        <v>0.18266346247130955</v>
      </c>
      <c r="L46" s="2016">
        <f>Input!O89</f>
        <v>0.18288477672194917</v>
      </c>
      <c r="M46" s="2209">
        <f>Input!P89</f>
        <v>0.20879428989303009</v>
      </c>
      <c r="N46" s="2016">
        <f>Input!Q89</f>
        <v>0.20879428989303009</v>
      </c>
      <c r="O46" s="2016">
        <f>Input!R89</f>
        <v>0.20879428989303009</v>
      </c>
      <c r="P46" s="2016">
        <f>Input!S89</f>
        <v>0.20879428989303009</v>
      </c>
      <c r="Q46" s="2016">
        <f>Input!T89</f>
        <v>0.20879428989303009</v>
      </c>
      <c r="R46" s="2016">
        <f>Input!U89</f>
        <v>0.20879428989303009</v>
      </c>
      <c r="S46" s="2016">
        <f>Input!V89</f>
        <v>0.20879428989303009</v>
      </c>
      <c r="T46" s="2016">
        <f>Input!W89</f>
        <v>0.20879428989303009</v>
      </c>
      <c r="U46" s="2016">
        <f>Input!X89</f>
        <v>0.20879428989303009</v>
      </c>
      <c r="V46" s="2016">
        <f>Input!Y89</f>
        <v>0.20879428989303009</v>
      </c>
      <c r="W46" s="2016">
        <f>Input!Z89</f>
        <v>0.20879428989303009</v>
      </c>
      <c r="X46" s="2016"/>
      <c r="Y46" s="2015"/>
      <c r="Z46" s="2015"/>
      <c r="AA46" s="2015"/>
      <c r="AB46" s="2015"/>
      <c r="AC46" s="2015"/>
      <c r="AD46" s="2015"/>
      <c r="AE46" s="2015"/>
      <c r="AF46" s="2015"/>
      <c r="AG46" s="2015"/>
      <c r="AH46" s="2015"/>
      <c r="AI46" s="2015"/>
      <c r="AJ46" s="2015"/>
      <c r="AK46" s="2015"/>
      <c r="AL46" s="2015"/>
      <c r="AM46" s="2015"/>
      <c r="AN46" s="2015"/>
      <c r="AO46" s="2015"/>
      <c r="AP46" s="2015"/>
      <c r="AQ46" s="2015"/>
      <c r="AR46" s="2015"/>
      <c r="AS46" s="2015"/>
      <c r="AT46" s="2015"/>
      <c r="AU46" s="2015"/>
      <c r="AV46" s="2015"/>
      <c r="AW46" s="2015"/>
      <c r="AX46" s="2015"/>
      <c r="AY46" s="2015"/>
      <c r="AZ46" s="2015"/>
      <c r="BA46" s="2015"/>
      <c r="BB46" s="1957"/>
      <c r="BC46" s="1957"/>
      <c r="BD46" s="1957"/>
      <c r="BE46" s="1957"/>
      <c r="BF46" s="1957"/>
      <c r="BG46" s="1957"/>
    </row>
    <row r="47" spans="3:61" s="1923" customFormat="1" x14ac:dyDescent="0.3">
      <c r="C47" s="2011" t="s">
        <v>1739</v>
      </c>
      <c r="E47" s="1957"/>
      <c r="F47" s="1957"/>
      <c r="G47" s="1957"/>
      <c r="H47" s="1957"/>
      <c r="I47" s="1957"/>
      <c r="J47" s="1957"/>
      <c r="K47" s="1957"/>
      <c r="L47" s="2012"/>
      <c r="M47" s="2023"/>
      <c r="N47" s="2012">
        <f ca="1">$D$43*(1+N45*(1-N46))</f>
        <v>0.63606044893056468</v>
      </c>
      <c r="O47" s="2012">
        <f t="shared" ref="O47:W47" ca="1" si="12">$D$43*(1+O45*(1-O46))</f>
        <v>0.67600251378185405</v>
      </c>
      <c r="P47" s="2012">
        <f t="shared" ca="1" si="12"/>
        <v>0.66721821255759184</v>
      </c>
      <c r="Q47" s="2012">
        <f t="shared" ca="1" si="12"/>
        <v>0.63790892644698927</v>
      </c>
      <c r="R47" s="2012">
        <f t="shared" ca="1" si="12"/>
        <v>0.61448447635485515</v>
      </c>
      <c r="S47" s="2012">
        <f t="shared" ca="1" si="12"/>
        <v>0.59703237032791967</v>
      </c>
      <c r="T47" s="2012">
        <f t="shared" ca="1" si="12"/>
        <v>0.58612967435734309</v>
      </c>
      <c r="U47" s="2012">
        <f t="shared" ca="1" si="12"/>
        <v>0.58305416264732723</v>
      </c>
      <c r="V47" s="2012">
        <f t="shared" ca="1" si="12"/>
        <v>0.58200639786190034</v>
      </c>
      <c r="W47" s="2012">
        <f t="shared" ca="1" si="12"/>
        <v>0.58125437451098294</v>
      </c>
      <c r="X47" s="2012"/>
      <c r="Y47" s="2012"/>
      <c r="Z47" s="2012"/>
      <c r="AA47" s="2012"/>
      <c r="AB47" s="2012"/>
      <c r="AC47" s="2012"/>
      <c r="AD47" s="2012"/>
      <c r="AE47" s="2012"/>
      <c r="AF47" s="2012"/>
      <c r="AG47" s="2012"/>
      <c r="AH47" s="2012"/>
      <c r="AI47" s="2012"/>
      <c r="AJ47" s="2012"/>
      <c r="AK47" s="2012"/>
      <c r="AL47" s="2012"/>
      <c r="AM47" s="2012"/>
      <c r="AN47" s="2012"/>
      <c r="AO47" s="2012"/>
      <c r="AP47" s="2012"/>
      <c r="AQ47" s="2012"/>
      <c r="AR47" s="2012"/>
      <c r="AS47" s="2012"/>
      <c r="AT47" s="2012"/>
      <c r="AU47" s="2012"/>
      <c r="AV47" s="2012"/>
      <c r="AW47" s="2012"/>
      <c r="AX47" s="2012"/>
      <c r="AY47" s="2012"/>
      <c r="AZ47" s="2012"/>
      <c r="BA47" s="2012"/>
      <c r="BB47" s="1957"/>
      <c r="BC47" s="1957"/>
      <c r="BD47" s="1957"/>
      <c r="BE47" s="1957"/>
      <c r="BF47" s="1957"/>
      <c r="BG47" s="1957"/>
    </row>
    <row r="48" spans="3:61" s="1923" customFormat="1" ht="12.75" customHeight="1" x14ac:dyDescent="0.3">
      <c r="C48" s="2005" t="s">
        <v>1783</v>
      </c>
      <c r="D48" s="1930"/>
      <c r="E48" s="2008"/>
      <c r="F48" s="2008"/>
      <c r="G48" s="2008"/>
      <c r="H48" s="2008"/>
      <c r="I48" s="2008"/>
      <c r="J48" s="2008"/>
      <c r="K48" s="2008"/>
      <c r="L48" s="2017"/>
      <c r="M48" s="2018"/>
      <c r="N48" s="2017">
        <f ca="1">$D$42+N47*$D$44</f>
        <v>0.1196727894549562</v>
      </c>
      <c r="O48" s="2017">
        <f t="shared" ref="O48:W48" ca="1" si="13">$D$42+O47*$D$44</f>
        <v>0.12404796335463673</v>
      </c>
      <c r="P48" s="2017">
        <f t="shared" ca="1" si="13"/>
        <v>0.1230857485671335</v>
      </c>
      <c r="Q48" s="2017">
        <f t="shared" ca="1" si="13"/>
        <v>0.11987526798515032</v>
      </c>
      <c r="R48" s="2017">
        <f t="shared" ca="1" si="13"/>
        <v>0.11730940057095812</v>
      </c>
      <c r="S48" s="2017">
        <f t="shared" ca="1" si="13"/>
        <v>0.11539773178097966</v>
      </c>
      <c r="T48" s="2017">
        <f t="shared" ca="1" si="13"/>
        <v>0.11420347226975465</v>
      </c>
      <c r="U48" s="2017">
        <f t="shared" ca="1" si="13"/>
        <v>0.11386658686806293</v>
      </c>
      <c r="V48" s="2017">
        <f t="shared" ca="1" si="13"/>
        <v>0.11375181680899683</v>
      </c>
      <c r="W48" s="2017">
        <f t="shared" ca="1" si="13"/>
        <v>0.11366944167518404</v>
      </c>
      <c r="X48" s="2017"/>
      <c r="Y48" s="2019"/>
      <c r="Z48" s="2019"/>
      <c r="AA48" s="2019"/>
      <c r="AB48" s="2019"/>
      <c r="AC48" s="2019"/>
      <c r="AD48" s="2019"/>
      <c r="AE48" s="2019"/>
      <c r="AF48" s="2019"/>
      <c r="AG48" s="2019"/>
      <c r="AH48" s="2019"/>
      <c r="AI48" s="2019"/>
      <c r="AJ48" s="2019"/>
      <c r="AK48" s="2019"/>
      <c r="AL48" s="2019"/>
      <c r="AM48" s="2019"/>
      <c r="AN48" s="2019"/>
      <c r="AO48" s="2019"/>
      <c r="AP48" s="2019"/>
      <c r="AQ48" s="2019"/>
      <c r="AR48" s="2019"/>
      <c r="AS48" s="2019"/>
      <c r="AT48" s="2019"/>
      <c r="AU48" s="2019"/>
      <c r="AV48" s="2019"/>
      <c r="AW48" s="2019"/>
      <c r="AX48" s="2019"/>
      <c r="AY48" s="2019"/>
      <c r="AZ48" s="2019"/>
      <c r="BA48" s="2019"/>
      <c r="BB48" s="1957"/>
      <c r="BC48" s="1957"/>
      <c r="BD48" s="1957"/>
      <c r="BE48" s="1957"/>
      <c r="BF48" s="1957"/>
      <c r="BG48" s="1957"/>
    </row>
    <row r="49" spans="3:61" s="1923" customFormat="1" x14ac:dyDescent="0.3">
      <c r="C49" s="2011" t="s">
        <v>1784</v>
      </c>
      <c r="E49" s="1957"/>
      <c r="F49" s="1957"/>
      <c r="G49" s="1957"/>
      <c r="H49" s="1957"/>
      <c r="I49" s="1957"/>
      <c r="J49" s="1957"/>
      <c r="K49" s="1957"/>
      <c r="L49" s="2020"/>
      <c r="M49" s="2021"/>
      <c r="N49" s="2022">
        <f>AVERAGE(Debt!S17,Debt!S20)/((Debt!S17+Debt!S20+Debt!S24+Debt!S27)/2)*Debt!$R$47+AVERAGE(Debt!S24,Debt!S27)/((Debt!S17+Debt!S20+Debt!S24+Debt!S27)/2)*Debt!$R$114</f>
        <v>6.3467190679523097E-2</v>
      </c>
      <c r="O49" s="2022">
        <f>AVERAGE(Debt!T17,Debt!T20)/((Debt!T17+Debt!T20+Debt!T24+Debt!T27)/2)*Debt!$R$47+AVERAGE(Debt!T24,Debt!T27)/((Debt!T17+Debt!T20+Debt!T24+Debt!T27)/2)*Debt!$R$114</f>
        <v>6.408450096649787E-2</v>
      </c>
      <c r="P49" s="2022">
        <f>AVERAGE(Debt!U17,Debt!U20)/((Debt!U17+Debt!U20+Debt!U24+Debt!U27)/2)*Debt!$R$47+AVERAGE(Debt!U24,Debt!U27)/((Debt!U17+Debt!U20+Debt!U24+Debt!U27)/2)*Debt!$R$114</f>
        <v>6.3660456834677165E-2</v>
      </c>
      <c r="Q49" s="2022">
        <f>AVERAGE(Debt!V17,Debt!V20)/((Debt!V17+Debt!V20+Debt!V24+Debt!V27)/2)*Debt!$R$47+AVERAGE(Debt!V24,Debt!V27)/((Debt!V17+Debt!V20+Debt!V24+Debt!V27)/2)*Debt!$R$114</f>
        <v>6.1333666419608829E-2</v>
      </c>
      <c r="R49" s="2022">
        <f>AVERAGE(Debt!W17,Debt!W20)/((Debt!W17+Debt!W20+Debt!W24+Debt!W27)/2)*Debt!$R$47+AVERAGE(Debt!W24,Debt!W27)/((Debt!W17+Debt!W20+Debt!W24+Debt!W27)/2)*Debt!$R$114</f>
        <v>5.8344584218649159E-2</v>
      </c>
      <c r="S49" s="2022">
        <f>AVERAGE(Debt!X17,Debt!X20)/((Debt!X17+Debt!X20+Debt!X24+Debt!X27)/2)*Debt!$R$47+AVERAGE(Debt!X24,Debt!X27)/((Debt!X17+Debt!X20+Debt!X24+Debt!X27)/2)*Debt!$R$114</f>
        <v>5.3790991815953586E-2</v>
      </c>
      <c r="T49" s="2022">
        <f>AVERAGE(Debt!Y17,Debt!Y20)/((Debt!Y17+Debt!Y20+Debt!Y24+Debt!Y27)/2)*Debt!$R$47+AVERAGE(Debt!Y24,Debt!Y27)/((Debt!Y17+Debt!Y20+Debt!Y24+Debt!Y27)/2)*Debt!$R$114</f>
        <v>4.7699668950129788E-2</v>
      </c>
      <c r="U49" s="2022">
        <f>AVERAGE(Debt!Z17,Debt!Z20)/((Debt!Z17+Debt!Z20+Debt!Z24+Debt!Z27)/2)*Debt!$R$47+AVERAGE(Debt!Z24,Debt!Z27)/((Debt!Z17+Debt!Z20+Debt!Z24+Debt!Z27)/2)*Debt!$R$114</f>
        <v>4.437144303076556E-2</v>
      </c>
      <c r="V49" s="2022">
        <f>AVERAGE(Debt!AA17,Debt!AA20)/((Debt!AA17+Debt!AA20+Debt!AA24+Debt!AA27)/2)*Debt!$R$47+AVERAGE(Debt!AA24,Debt!AA27)/((Debt!AA17+Debt!AA20+Debt!AA24+Debt!AA27)/2)*Debt!$R$114</f>
        <v>4.2828358493906246E-2</v>
      </c>
      <c r="W49" s="2022">
        <f>AVERAGE(Debt!AB17,Debt!AB20)/((Debt!AB17+Debt!AB20+Debt!AB24+Debt!AB27)/2)*Debt!$R$47+AVERAGE(Debt!AB24,Debt!AB27)/((Debt!AB17+Debt!AB20+Debt!AB24+Debt!AB27)/2)*Debt!$R$114</f>
        <v>4.190961840927962E-2</v>
      </c>
      <c r="X49" s="2022"/>
      <c r="Y49" s="2020"/>
      <c r="Z49" s="2020"/>
      <c r="AA49" s="2020"/>
      <c r="AB49" s="2020"/>
      <c r="AC49" s="2020"/>
      <c r="AD49" s="2020"/>
      <c r="AE49" s="2020"/>
      <c r="AF49" s="2020"/>
      <c r="AG49" s="2020"/>
      <c r="AH49" s="2020"/>
      <c r="AI49" s="2020"/>
      <c r="AJ49" s="2020"/>
      <c r="AK49" s="2020"/>
      <c r="AL49" s="2020"/>
      <c r="AM49" s="2020"/>
      <c r="AN49" s="2020"/>
      <c r="AO49" s="2020"/>
      <c r="AP49" s="2020"/>
      <c r="AQ49" s="2020"/>
      <c r="AR49" s="2020"/>
      <c r="AS49" s="2020"/>
      <c r="AT49" s="2020"/>
      <c r="AU49" s="2020"/>
      <c r="AV49" s="2020"/>
      <c r="AW49" s="2020"/>
      <c r="AX49" s="2020"/>
      <c r="AY49" s="2020"/>
      <c r="AZ49" s="2020"/>
      <c r="BA49" s="2020"/>
      <c r="BB49" s="1957"/>
      <c r="BC49" s="1957"/>
      <c r="BD49" s="1957"/>
      <c r="BE49" s="1957"/>
      <c r="BF49" s="1957"/>
      <c r="BG49" s="1957"/>
    </row>
    <row r="50" spans="3:61" s="1923" customFormat="1" x14ac:dyDescent="0.3">
      <c r="C50" s="2011" t="s">
        <v>1785</v>
      </c>
      <c r="E50" s="1957"/>
      <c r="F50" s="1957"/>
      <c r="G50" s="1957"/>
      <c r="H50" s="1957"/>
      <c r="I50" s="1957"/>
      <c r="J50" s="1957"/>
      <c r="K50" s="1957"/>
      <c r="L50" s="2012"/>
      <c r="M50" s="2023"/>
      <c r="N50" s="2022">
        <f ca="1">N45/(1+N45)</f>
        <v>0.14279061352848044</v>
      </c>
      <c r="O50" s="2022">
        <f t="shared" ref="O50:W50" ca="1" si="14">O45/(1+O45)</f>
        <v>0.20407763042616187</v>
      </c>
      <c r="P50" s="2022">
        <f t="shared" ca="1" si="14"/>
        <v>0.19136275787326465</v>
      </c>
      <c r="Q50" s="2022">
        <f t="shared" ca="1" si="14"/>
        <v>0.14583446513525519</v>
      </c>
      <c r="R50" s="2022">
        <f t="shared" ca="1" si="14"/>
        <v>0.10558783842566359</v>
      </c>
      <c r="S50" s="2022">
        <f t="shared" ca="1" si="14"/>
        <v>7.3047399440716948E-2</v>
      </c>
      <c r="T50" s="2022">
        <f t="shared" ca="1" si="14"/>
        <v>5.1489120488263394E-2</v>
      </c>
      <c r="U50" s="2022">
        <f t="shared" ca="1" si="14"/>
        <v>4.5225276151705768E-2</v>
      </c>
      <c r="V50" s="2022">
        <f t="shared" ca="1" si="14"/>
        <v>4.3072374726620989E-2</v>
      </c>
      <c r="W50" s="2022">
        <f t="shared" ca="1" si="14"/>
        <v>4.1521155097313495E-2</v>
      </c>
      <c r="X50" s="2022"/>
      <c r="Y50" s="2024"/>
      <c r="Z50" s="2024"/>
      <c r="AA50" s="2024"/>
      <c r="AB50" s="2024"/>
      <c r="AC50" s="2024"/>
      <c r="AD50" s="2024"/>
      <c r="AE50" s="2024"/>
      <c r="AF50" s="2024"/>
      <c r="AG50" s="2024"/>
      <c r="AH50" s="2024"/>
      <c r="AI50" s="2024"/>
      <c r="AJ50" s="2024"/>
      <c r="AK50" s="2024"/>
      <c r="AL50" s="2024"/>
      <c r="AM50" s="2024"/>
      <c r="AN50" s="2024"/>
      <c r="AO50" s="2024"/>
      <c r="AP50" s="2024"/>
      <c r="AQ50" s="2024"/>
      <c r="AR50" s="2024"/>
      <c r="AS50" s="2024"/>
      <c r="AT50" s="2024"/>
      <c r="AU50" s="2024"/>
      <c r="AV50" s="2024"/>
      <c r="AW50" s="2024"/>
      <c r="AX50" s="2024"/>
      <c r="AY50" s="2024"/>
      <c r="AZ50" s="2024"/>
      <c r="BA50" s="2024"/>
      <c r="BC50" s="1957"/>
    </row>
    <row r="51" spans="3:61" s="1923" customFormat="1" ht="13.8" thickBot="1" x14ac:dyDescent="0.35">
      <c r="C51" s="2025" t="s">
        <v>1786</v>
      </c>
      <c r="D51" s="2026"/>
      <c r="E51" s="2027"/>
      <c r="F51" s="2027"/>
      <c r="G51" s="2027"/>
      <c r="H51" s="2027"/>
      <c r="I51" s="2027"/>
      <c r="J51" s="2027"/>
      <c r="K51" s="2027"/>
      <c r="L51" s="2028"/>
      <c r="M51" s="2029"/>
      <c r="N51" s="2030">
        <f ca="1">N48*(1-N50)+N49*N50*(1-N46)</f>
        <v>0.10975495528277301</v>
      </c>
      <c r="O51" s="2030">
        <f t="shared" ref="O51:W51" ca="1" si="15">O48*(1-O50)+O49*O50*(1-O46)</f>
        <v>0.10908010582013797</v>
      </c>
      <c r="P51" s="2030">
        <f t="shared" ca="1" si="15"/>
        <v>0.10917037858104435</v>
      </c>
      <c r="Q51" s="2030">
        <f t="shared" ca="1" si="15"/>
        <v>0.10947031127022273</v>
      </c>
      <c r="R51" s="2030">
        <f t="shared" ca="1" si="15"/>
        <v>0.10979716032876764</v>
      </c>
      <c r="S51" s="2030">
        <f t="shared" ca="1" si="15"/>
        <v>0.11007710589191724</v>
      </c>
      <c r="T51" s="2030">
        <f t="shared" ca="1" si="15"/>
        <v>0.11026644822822464</v>
      </c>
      <c r="U51" s="2030">
        <f t="shared" ca="1" si="15"/>
        <v>0.11030466004776258</v>
      </c>
      <c r="V51" s="2030">
        <f t="shared" ca="1" si="15"/>
        <v>0.1103118082197571</v>
      </c>
      <c r="W51" s="2030">
        <f t="shared" ca="1" si="15"/>
        <v>0.11032656051201664</v>
      </c>
      <c r="X51" s="2030"/>
      <c r="Y51" s="2028"/>
      <c r="Z51" s="2028"/>
      <c r="AA51" s="2028"/>
      <c r="AB51" s="2028"/>
      <c r="AC51" s="2028"/>
      <c r="AD51" s="2028"/>
      <c r="AE51" s="2028"/>
      <c r="AF51" s="2028"/>
      <c r="AG51" s="2028"/>
      <c r="AH51" s="2028"/>
      <c r="AI51" s="2028"/>
      <c r="AJ51" s="2028"/>
      <c r="AK51" s="2028"/>
      <c r="AL51" s="2028"/>
      <c r="AM51" s="2028"/>
      <c r="AN51" s="2028"/>
      <c r="AO51" s="2028"/>
      <c r="AP51" s="2028"/>
      <c r="AQ51" s="2028"/>
      <c r="AR51" s="2028"/>
      <c r="AS51" s="2028"/>
      <c r="AT51" s="2028"/>
      <c r="AU51" s="2028"/>
      <c r="AV51" s="2028"/>
      <c r="AW51" s="2028"/>
      <c r="AX51" s="2028"/>
      <c r="AY51" s="2028"/>
      <c r="AZ51" s="2028"/>
      <c r="BA51" s="2028"/>
    </row>
    <row r="52" spans="3:61" s="1923" customFormat="1" x14ac:dyDescent="0.3">
      <c r="C52" s="1930"/>
      <c r="D52" s="2006"/>
      <c r="E52" s="2008"/>
      <c r="F52" s="2008"/>
      <c r="G52" s="2008"/>
      <c r="H52" s="2008"/>
      <c r="I52" s="2008"/>
      <c r="J52" s="2008"/>
      <c r="K52" s="2008"/>
      <c r="L52" s="2031"/>
      <c r="M52" s="2032"/>
      <c r="N52" s="2008"/>
      <c r="O52" s="2008"/>
      <c r="P52" s="2008"/>
      <c r="Q52" s="2008"/>
      <c r="R52" s="2008"/>
      <c r="S52" s="2008"/>
      <c r="T52" s="2008"/>
      <c r="U52" s="2008"/>
      <c r="V52" s="2008"/>
      <c r="W52" s="2008"/>
      <c r="X52" s="2008"/>
      <c r="Y52" s="2008"/>
      <c r="Z52" s="2008"/>
      <c r="AA52" s="2008"/>
      <c r="AB52" s="2008"/>
      <c r="AC52" s="2008"/>
      <c r="AD52" s="2008"/>
      <c r="AE52" s="2008"/>
      <c r="AF52" s="2008"/>
      <c r="AG52" s="2008"/>
      <c r="AH52" s="2008"/>
      <c r="AI52" s="2008"/>
      <c r="AJ52" s="2008"/>
      <c r="AK52" s="2008"/>
      <c r="AL52" s="2008"/>
      <c r="AM52" s="2008"/>
      <c r="AN52" s="2008"/>
      <c r="AO52" s="2008"/>
      <c r="AP52" s="2008"/>
      <c r="AQ52" s="2008"/>
      <c r="AR52" s="2008"/>
      <c r="AS52" s="2008"/>
      <c r="AT52" s="2008"/>
      <c r="AU52" s="2008"/>
      <c r="AV52" s="2008"/>
      <c r="AW52" s="2008"/>
      <c r="AX52" s="2008"/>
      <c r="AY52" s="2008"/>
      <c r="AZ52" s="2008"/>
      <c r="BA52" s="2008"/>
    </row>
    <row r="53" spans="3:61" x14ac:dyDescent="0.3">
      <c r="C53" s="1983"/>
      <c r="D53" s="2033"/>
      <c r="E53" s="2034"/>
      <c r="F53" s="2034"/>
      <c r="G53" s="2034"/>
      <c r="H53" s="2034"/>
      <c r="I53" s="2034"/>
      <c r="J53" s="2034"/>
      <c r="K53" s="2034"/>
      <c r="L53" s="2035"/>
      <c r="M53" s="2036"/>
      <c r="N53" s="2034"/>
      <c r="O53" s="2034"/>
      <c r="P53" s="2034"/>
      <c r="Q53" s="2034"/>
      <c r="R53" s="2034"/>
      <c r="S53" s="2034"/>
      <c r="T53" s="2034"/>
      <c r="U53" s="2034"/>
      <c r="V53" s="2034"/>
      <c r="W53" s="2034"/>
      <c r="X53" s="2034"/>
      <c r="Y53" s="2034"/>
      <c r="Z53" s="2034"/>
      <c r="AA53" s="2034"/>
      <c r="AB53" s="2034"/>
      <c r="AC53" s="2034"/>
      <c r="AD53" s="2034"/>
      <c r="AE53" s="2034"/>
      <c r="AF53" s="2034"/>
      <c r="AG53" s="2034"/>
      <c r="AH53" s="2034"/>
      <c r="AI53" s="2034"/>
      <c r="AJ53" s="2034"/>
      <c r="AK53" s="2034"/>
      <c r="AL53" s="2034"/>
      <c r="AM53" s="2034"/>
      <c r="AN53" s="2034"/>
      <c r="AO53" s="2034"/>
      <c r="AP53" s="2034"/>
      <c r="AQ53" s="2034"/>
      <c r="AR53" s="2034"/>
      <c r="AS53" s="2034"/>
      <c r="AT53" s="2034"/>
      <c r="AU53" s="2034"/>
      <c r="AV53" s="2034"/>
      <c r="AW53" s="2034"/>
      <c r="AX53" s="2034"/>
      <c r="AY53" s="2034"/>
      <c r="AZ53" s="2034"/>
      <c r="BA53" s="2034"/>
      <c r="BB53" s="1899"/>
      <c r="BC53" s="1899"/>
      <c r="BD53" s="1899"/>
      <c r="BE53" s="1899"/>
      <c r="BF53" s="1899"/>
      <c r="BG53" s="1899"/>
    </row>
    <row r="54" spans="3:61" x14ac:dyDescent="0.3">
      <c r="C54" s="1983"/>
      <c r="D54" s="2033"/>
      <c r="E54" s="2034"/>
      <c r="F54" s="2034"/>
      <c r="G54" s="2034"/>
      <c r="H54" s="2034"/>
      <c r="I54" s="2034"/>
      <c r="J54" s="2034"/>
      <c r="K54" s="2034"/>
      <c r="L54" s="2035"/>
      <c r="M54" s="2036"/>
      <c r="N54" s="2034"/>
      <c r="O54" s="2034"/>
      <c r="P54" s="2034"/>
      <c r="Q54" s="2034"/>
      <c r="R54" s="2034"/>
      <c r="S54" s="2034"/>
      <c r="T54" s="2034"/>
      <c r="U54" s="2034"/>
      <c r="V54" s="2034"/>
      <c r="W54" s="2034"/>
      <c r="X54" s="2034"/>
      <c r="Y54" s="2034"/>
      <c r="Z54" s="2034"/>
      <c r="AA54" s="2034"/>
      <c r="AB54" s="2034"/>
      <c r="AC54" s="2034"/>
      <c r="AD54" s="2034"/>
      <c r="AE54" s="2034"/>
      <c r="AF54" s="2034"/>
      <c r="AG54" s="2034"/>
      <c r="AH54" s="2034"/>
      <c r="AI54" s="2034"/>
      <c r="AJ54" s="2034"/>
      <c r="AK54" s="2034"/>
      <c r="AL54" s="2034"/>
      <c r="AM54" s="2034"/>
      <c r="AN54" s="2034"/>
      <c r="AO54" s="2034"/>
      <c r="AP54" s="2034"/>
      <c r="AQ54" s="2034"/>
      <c r="AR54" s="2034"/>
      <c r="AS54" s="2034"/>
      <c r="AT54" s="2034"/>
      <c r="AU54" s="2034"/>
      <c r="AV54" s="2034"/>
      <c r="AW54" s="2034"/>
      <c r="AX54" s="2034"/>
      <c r="AY54" s="2034"/>
      <c r="AZ54" s="2034"/>
      <c r="BA54" s="2034"/>
      <c r="BB54" s="1899"/>
      <c r="BC54" s="1899"/>
      <c r="BD54" s="1899"/>
      <c r="BE54" s="1899"/>
      <c r="BF54" s="1899"/>
      <c r="BG54" s="1899"/>
    </row>
    <row r="55" spans="3:61" x14ac:dyDescent="0.3">
      <c r="BB55" s="1899"/>
      <c r="BC55" s="1899"/>
      <c r="BD55" s="1899"/>
      <c r="BE55" s="1899"/>
      <c r="BF55" s="1899"/>
      <c r="BG55" s="1899"/>
    </row>
    <row r="56" spans="3:61" ht="23.25" customHeight="1" x14ac:dyDescent="0.3">
      <c r="C56" s="2037" t="s">
        <v>1787</v>
      </c>
      <c r="D56" s="2038">
        <f t="shared" ref="D56:W56" si="16">D9</f>
        <v>41274</v>
      </c>
      <c r="E56" s="2038">
        <f t="shared" si="16"/>
        <v>41639</v>
      </c>
      <c r="F56" s="2038">
        <f t="shared" si="16"/>
        <v>42004</v>
      </c>
      <c r="G56" s="2038">
        <f t="shared" si="16"/>
        <v>42369</v>
      </c>
      <c r="H56" s="2038">
        <f t="shared" si="16"/>
        <v>42735</v>
      </c>
      <c r="I56" s="2038">
        <f t="shared" si="16"/>
        <v>43100</v>
      </c>
      <c r="J56" s="2038">
        <f t="shared" si="16"/>
        <v>43465</v>
      </c>
      <c r="K56" s="2038">
        <f t="shared" si="16"/>
        <v>43830</v>
      </c>
      <c r="L56" s="2038">
        <f t="shared" si="16"/>
        <v>44196</v>
      </c>
      <c r="M56" s="2039">
        <f t="shared" si="16"/>
        <v>44561</v>
      </c>
      <c r="N56" s="2038">
        <f t="shared" si="16"/>
        <v>44926</v>
      </c>
      <c r="O56" s="2038">
        <f t="shared" si="16"/>
        <v>45291</v>
      </c>
      <c r="P56" s="2038">
        <f t="shared" si="16"/>
        <v>45657</v>
      </c>
      <c r="Q56" s="2038">
        <f t="shared" si="16"/>
        <v>46022</v>
      </c>
      <c r="R56" s="2038">
        <f t="shared" si="16"/>
        <v>46387</v>
      </c>
      <c r="S56" s="2038">
        <f t="shared" si="16"/>
        <v>46752</v>
      </c>
      <c r="T56" s="2038">
        <f t="shared" si="16"/>
        <v>47118</v>
      </c>
      <c r="U56" s="2038">
        <f t="shared" si="16"/>
        <v>47483</v>
      </c>
      <c r="V56" s="2038">
        <f t="shared" si="16"/>
        <v>47848</v>
      </c>
      <c r="W56" s="2038">
        <f t="shared" si="16"/>
        <v>48213</v>
      </c>
      <c r="X56" s="2038"/>
      <c r="Y56" s="2038"/>
      <c r="Z56" s="2038"/>
      <c r="AA56" s="2038"/>
      <c r="AB56" s="2038"/>
      <c r="AC56" s="2038"/>
      <c r="AD56" s="2038"/>
      <c r="AE56" s="2038"/>
      <c r="AF56" s="2038"/>
      <c r="AG56" s="2038"/>
      <c r="AH56" s="2038"/>
      <c r="AI56" s="2038"/>
      <c r="AJ56" s="2038"/>
      <c r="AK56" s="2038"/>
      <c r="AL56" s="2038"/>
      <c r="AM56" s="2038"/>
      <c r="AN56" s="2038"/>
      <c r="AO56" s="2038"/>
      <c r="AP56" s="2038"/>
      <c r="AQ56" s="2038"/>
      <c r="AR56" s="2038"/>
      <c r="AS56" s="2038"/>
      <c r="AT56" s="2038"/>
      <c r="AU56" s="2038"/>
      <c r="AV56" s="2038"/>
      <c r="AW56" s="2038"/>
      <c r="AX56" s="2038"/>
      <c r="AY56" s="2038"/>
      <c r="AZ56" s="2038"/>
      <c r="BA56" s="2038"/>
      <c r="BB56" s="1899"/>
      <c r="BC56" s="2040"/>
      <c r="BD56" s="2040"/>
      <c r="BE56" s="2040"/>
      <c r="BF56" s="2040"/>
      <c r="BG56" s="2040"/>
      <c r="BH56" s="2040"/>
      <c r="BI56" s="2040"/>
    </row>
    <row r="57" spans="3:61" s="1923" customFormat="1" x14ac:dyDescent="0.3">
      <c r="C57" s="1923" t="s">
        <v>491</v>
      </c>
      <c r="D57" s="2041"/>
      <c r="E57" s="2041"/>
      <c r="F57" s="2041"/>
      <c r="G57" s="1973">
        <f t="shared" ref="G57:G63" si="17">G10</f>
        <v>184.76550387699999</v>
      </c>
      <c r="H57" s="1973">
        <f t="shared" ref="H57:W57" si="18">H10</f>
        <v>122.39153793400001</v>
      </c>
      <c r="I57" s="1973">
        <f t="shared" si="18"/>
        <v>142.35280390200001</v>
      </c>
      <c r="J57" s="1973">
        <f t="shared" si="18"/>
        <v>140.18412423200002</v>
      </c>
      <c r="K57" s="1973">
        <f t="shared" si="18"/>
        <v>125.16012716899999</v>
      </c>
      <c r="L57" s="1973">
        <f t="shared" si="18"/>
        <v>138.91641703799999</v>
      </c>
      <c r="M57" s="2042">
        <f t="shared" si="18"/>
        <v>158.58410142747999</v>
      </c>
      <c r="N57" s="1973">
        <f t="shared" ca="1" si="18"/>
        <v>199.14699967576132</v>
      </c>
      <c r="O57" s="1973">
        <f t="shared" ca="1" si="18"/>
        <v>196.93417316807199</v>
      </c>
      <c r="P57" s="1973">
        <f t="shared" ca="1" si="18"/>
        <v>286.2740801613358</v>
      </c>
      <c r="Q57" s="1973">
        <f t="shared" ca="1" si="18"/>
        <v>330.34513180438529</v>
      </c>
      <c r="R57" s="1973">
        <f t="shared" ca="1" si="18"/>
        <v>381.74550574175225</v>
      </c>
      <c r="S57" s="1973">
        <f t="shared" ca="1" si="18"/>
        <v>418.98450601289568</v>
      </c>
      <c r="T57" s="1973">
        <f t="shared" ca="1" si="18"/>
        <v>463.48319567638538</v>
      </c>
      <c r="U57" s="1973">
        <f t="shared" ca="1" si="18"/>
        <v>487.74006733071178</v>
      </c>
      <c r="V57" s="1973">
        <f t="shared" ca="1" si="18"/>
        <v>514.78378560234319</v>
      </c>
      <c r="W57" s="1973">
        <f t="shared" ca="1" si="18"/>
        <v>543.64142656040394</v>
      </c>
      <c r="X57" s="1973"/>
      <c r="Y57" s="2041"/>
      <c r="Z57" s="2041"/>
      <c r="AA57" s="2041"/>
      <c r="AB57" s="2041"/>
      <c r="AC57" s="2041"/>
      <c r="AD57" s="2041"/>
      <c r="AE57" s="2041"/>
      <c r="AF57" s="2041"/>
      <c r="AG57" s="2041"/>
      <c r="AH57" s="2041"/>
      <c r="AI57" s="2041"/>
      <c r="AJ57" s="2041"/>
      <c r="AK57" s="2041"/>
      <c r="AL57" s="2041"/>
      <c r="AM57" s="2041"/>
      <c r="AN57" s="2041"/>
      <c r="AO57" s="2041"/>
      <c r="AP57" s="2041"/>
      <c r="AQ57" s="2041"/>
      <c r="AR57" s="2041"/>
      <c r="AS57" s="2041"/>
      <c r="AT57" s="2041"/>
      <c r="AU57" s="2041"/>
      <c r="AV57" s="2041"/>
      <c r="AW57" s="2041"/>
      <c r="AX57" s="2041"/>
      <c r="AY57" s="2041"/>
      <c r="AZ57" s="2041"/>
      <c r="BA57" s="2041"/>
      <c r="BD57" s="1176"/>
      <c r="BE57" s="2385" t="s">
        <v>467</v>
      </c>
      <c r="BF57" s="2386"/>
      <c r="BG57" s="2386"/>
      <c r="BH57" s="2386"/>
      <c r="BI57" s="2385"/>
    </row>
    <row r="58" spans="3:61" s="1923" customFormat="1" x14ac:dyDescent="0.3">
      <c r="C58" s="1923" t="s">
        <v>1754</v>
      </c>
      <c r="D58" s="2041"/>
      <c r="E58" s="2041"/>
      <c r="F58" s="2041"/>
      <c r="G58" s="1973">
        <f t="shared" si="17"/>
        <v>0</v>
      </c>
      <c r="H58" s="1973">
        <f t="shared" ref="H58:W58" si="19">H11</f>
        <v>0</v>
      </c>
      <c r="I58" s="1973">
        <f t="shared" si="19"/>
        <v>0</v>
      </c>
      <c r="J58" s="1973">
        <f t="shared" si="19"/>
        <v>0</v>
      </c>
      <c r="K58" s="1973">
        <f t="shared" si="19"/>
        <v>0</v>
      </c>
      <c r="L58" s="1973">
        <f t="shared" si="19"/>
        <v>0</v>
      </c>
      <c r="M58" s="2042">
        <f t="shared" si="19"/>
        <v>0</v>
      </c>
      <c r="N58" s="1973">
        <f t="shared" ca="1" si="19"/>
        <v>-0.49001040887241598</v>
      </c>
      <c r="O58" s="1973">
        <f t="shared" ca="1" si="19"/>
        <v>-0.68284456770133584</v>
      </c>
      <c r="P58" s="1973">
        <f t="shared" ca="1" si="19"/>
        <v>-0.24740198902860497</v>
      </c>
      <c r="Q58" s="1973">
        <f t="shared" ca="1" si="19"/>
        <v>-0.17648897314760989</v>
      </c>
      <c r="R58" s="1973">
        <f t="shared" ca="1" si="19"/>
        <v>-0.22905285447382595</v>
      </c>
      <c r="S58" s="1973">
        <f t="shared" ca="1" si="19"/>
        <v>-0.11276057762400907</v>
      </c>
      <c r="T58" s="1973">
        <f t="shared" ca="1" si="19"/>
        <v>-0.14724957193282245</v>
      </c>
      <c r="U58" s="1973">
        <f t="shared" ca="1" si="19"/>
        <v>-0.36627085280907962</v>
      </c>
      <c r="V58" s="1973">
        <f t="shared" ca="1" si="19"/>
        <v>-0.37929094513214262</v>
      </c>
      <c r="W58" s="1973">
        <f t="shared" ca="1" si="19"/>
        <v>-0.39059683601589607</v>
      </c>
      <c r="X58" s="1973"/>
      <c r="Y58" s="2041"/>
      <c r="Z58" s="2041"/>
      <c r="AA58" s="2041"/>
      <c r="AB58" s="2041"/>
      <c r="AC58" s="2041"/>
      <c r="AD58" s="2041"/>
      <c r="AE58" s="2041"/>
      <c r="AF58" s="2041"/>
      <c r="AG58" s="2041"/>
      <c r="AH58" s="2041"/>
      <c r="AI58" s="2041"/>
      <c r="AJ58" s="2041"/>
      <c r="AK58" s="2041"/>
      <c r="AL58" s="2041"/>
      <c r="AM58" s="2041"/>
      <c r="AN58" s="2041"/>
      <c r="AO58" s="2041"/>
      <c r="AP58" s="2041"/>
      <c r="AQ58" s="2041"/>
      <c r="AR58" s="2041"/>
      <c r="AS58" s="2041"/>
      <c r="AT58" s="2041"/>
      <c r="AU58" s="2041"/>
      <c r="AV58" s="2041"/>
      <c r="AW58" s="2041"/>
      <c r="AX58" s="2041"/>
      <c r="AY58" s="2041"/>
      <c r="AZ58" s="2041"/>
      <c r="BA58" s="2041"/>
      <c r="BD58" s="1932">
        <f ca="1">D84</f>
        <v>54858.55777045757</v>
      </c>
      <c r="BE58" s="1933">
        <v>0</v>
      </c>
      <c r="BF58" s="1934">
        <f>+BE58+1%</f>
        <v>0.01</v>
      </c>
      <c r="BG58" s="1934">
        <f t="shared" ref="BG58:BI58" si="20">+BF58+1%</f>
        <v>0.02</v>
      </c>
      <c r="BH58" s="1934">
        <f t="shared" si="20"/>
        <v>0.03</v>
      </c>
      <c r="BI58" s="1934">
        <f t="shared" si="20"/>
        <v>0.04</v>
      </c>
    </row>
    <row r="59" spans="3:61" s="1923" customFormat="1" x14ac:dyDescent="0.3">
      <c r="C59" s="1923" t="s">
        <v>1755</v>
      </c>
      <c r="D59" s="2041"/>
      <c r="E59" s="2041"/>
      <c r="F59" s="2041"/>
      <c r="G59" s="1973">
        <f t="shared" si="17"/>
        <v>0</v>
      </c>
      <c r="H59" s="1973">
        <f t="shared" ref="H59:W59" si="21">H12</f>
        <v>-10.724382085</v>
      </c>
      <c r="I59" s="1973">
        <f t="shared" si="21"/>
        <v>-8.0301361270000005</v>
      </c>
      <c r="J59" s="1973">
        <f t="shared" si="21"/>
        <v>-10.57976874</v>
      </c>
      <c r="K59" s="1973">
        <f t="shared" si="21"/>
        <v>-14.439489521</v>
      </c>
      <c r="L59" s="1973">
        <f t="shared" si="21"/>
        <v>-15.238404243</v>
      </c>
      <c r="M59" s="2042">
        <f t="shared" si="21"/>
        <v>-16.083128633000001</v>
      </c>
      <c r="N59" s="1973">
        <f t="shared" si="21"/>
        <v>-18.916049658050063</v>
      </c>
      <c r="O59" s="1973">
        <f t="shared" si="21"/>
        <v>-19.734300586747469</v>
      </c>
      <c r="P59" s="1973">
        <f t="shared" si="21"/>
        <v>-24.914672387804931</v>
      </c>
      <c r="Q59" s="1973">
        <f t="shared" si="21"/>
        <v>-26.574965223304741</v>
      </c>
      <c r="R59" s="1973">
        <f t="shared" si="21"/>
        <v>-28.241606771429087</v>
      </c>
      <c r="S59" s="1973">
        <f t="shared" si="21"/>
        <v>-29.616590580384958</v>
      </c>
      <c r="T59" s="1973">
        <f t="shared" si="21"/>
        <v>-31.332243041009249</v>
      </c>
      <c r="U59" s="1973">
        <f t="shared" si="21"/>
        <v>-32.542428450111565</v>
      </c>
      <c r="V59" s="1973">
        <f t="shared" si="21"/>
        <v>-33.852506563385894</v>
      </c>
      <c r="W59" s="1973">
        <f t="shared" si="21"/>
        <v>-35.272330768297039</v>
      </c>
      <c r="X59" s="1973"/>
      <c r="Y59" s="2041"/>
      <c r="Z59" s="2041"/>
      <c r="AA59" s="2041"/>
      <c r="AB59" s="2041"/>
      <c r="AC59" s="2041"/>
      <c r="AD59" s="2041"/>
      <c r="AE59" s="2041"/>
      <c r="AF59" s="2041"/>
      <c r="AG59" s="2041"/>
      <c r="AH59" s="2041"/>
      <c r="AI59" s="2041"/>
      <c r="AJ59" s="2041"/>
      <c r="AK59" s="2041"/>
      <c r="AL59" s="2041"/>
      <c r="AM59" s="2041"/>
      <c r="AN59" s="2041"/>
      <c r="AO59" s="2041"/>
      <c r="AP59" s="2041"/>
      <c r="AQ59" s="2041"/>
      <c r="AR59" s="2041"/>
      <c r="AS59" s="2041"/>
      <c r="AT59" s="2041"/>
      <c r="AU59" s="2041"/>
      <c r="AV59" s="2041"/>
      <c r="AW59" s="2041"/>
      <c r="AX59" s="2041"/>
      <c r="AY59" s="2041"/>
      <c r="AZ59" s="2041"/>
      <c r="BA59" s="2041"/>
      <c r="BC59" s="2387" t="s">
        <v>1788</v>
      </c>
      <c r="BD59" s="2043">
        <f t="shared" ref="BD59:BD60" si="22">+BD60-1%</f>
        <v>5.6003626700559923E-2</v>
      </c>
      <c r="BE59" s="1936">
        <v>110386.3157533007</v>
      </c>
      <c r="BF59" s="1936">
        <v>127561.75877510004</v>
      </c>
      <c r="BG59" s="1937">
        <v>154278.15341527187</v>
      </c>
      <c r="BH59" s="1936">
        <v>201542.75461741269</v>
      </c>
      <c r="BI59" s="1936">
        <v>307874.71859487641</v>
      </c>
    </row>
    <row r="60" spans="3:61" s="1923" customFormat="1" x14ac:dyDescent="0.3">
      <c r="C60" s="1923" t="s">
        <v>1756</v>
      </c>
      <c r="D60" s="2041"/>
      <c r="E60" s="2041"/>
      <c r="F60" s="2041"/>
      <c r="G60" s="1973">
        <f t="shared" si="17"/>
        <v>39.216981767999997</v>
      </c>
      <c r="H60" s="1973">
        <f t="shared" ref="H60:W60" si="23">H13</f>
        <v>33.793831392000001</v>
      </c>
      <c r="I60" s="1973">
        <f t="shared" si="23"/>
        <v>36.81384233</v>
      </c>
      <c r="J60" s="1973">
        <f t="shared" si="23"/>
        <v>36.516915462</v>
      </c>
      <c r="K60" s="1973">
        <f t="shared" si="23"/>
        <v>27.945021708999999</v>
      </c>
      <c r="L60" s="1973">
        <f t="shared" si="23"/>
        <v>31.808990529999999</v>
      </c>
      <c r="M60" s="2042">
        <f t="shared" si="23"/>
        <v>40.674128404000001</v>
      </c>
      <c r="N60" s="1973">
        <f t="shared" si="23"/>
        <v>101.71289197524426</v>
      </c>
      <c r="O60" s="1973">
        <f t="shared" si="23"/>
        <v>133.59326505145162</v>
      </c>
      <c r="P60" s="1973">
        <f t="shared" si="23"/>
        <v>140.73852797752977</v>
      </c>
      <c r="Q60" s="1973">
        <f t="shared" si="23"/>
        <v>99.91127477701157</v>
      </c>
      <c r="R60" s="1973">
        <f t="shared" si="23"/>
        <v>98.416263781680655</v>
      </c>
      <c r="S60" s="1973">
        <f t="shared" si="23"/>
        <v>107.27935621901526</v>
      </c>
      <c r="T60" s="1973">
        <f t="shared" si="23"/>
        <v>116.95323100091025</v>
      </c>
      <c r="U60" s="1973">
        <f t="shared" si="23"/>
        <v>125.34044754634992</v>
      </c>
      <c r="V60" s="1973">
        <f t="shared" si="23"/>
        <v>134.08280931157887</v>
      </c>
      <c r="W60" s="1973">
        <f t="shared" si="23"/>
        <v>143.21281857534004</v>
      </c>
      <c r="X60" s="1973"/>
      <c r="Y60" s="2041"/>
      <c r="Z60" s="2041"/>
      <c r="AA60" s="2041"/>
      <c r="AB60" s="2041"/>
      <c r="AC60" s="2041"/>
      <c r="AD60" s="2041"/>
      <c r="AE60" s="2041"/>
      <c r="AF60" s="2041"/>
      <c r="AG60" s="2041"/>
      <c r="AH60" s="2041"/>
      <c r="AI60" s="2041"/>
      <c r="AJ60" s="2041"/>
      <c r="AK60" s="2041"/>
      <c r="AL60" s="2041"/>
      <c r="AM60" s="2041"/>
      <c r="AN60" s="2041"/>
      <c r="AO60" s="2041"/>
      <c r="AP60" s="2041"/>
      <c r="AQ60" s="2041"/>
      <c r="AR60" s="2041"/>
      <c r="AS60" s="2041"/>
      <c r="AT60" s="2041"/>
      <c r="AU60" s="2041"/>
      <c r="AV60" s="2041"/>
      <c r="AW60" s="2041"/>
      <c r="AX60" s="2041"/>
      <c r="AY60" s="2041"/>
      <c r="AZ60" s="2041"/>
      <c r="BA60" s="2041"/>
      <c r="BC60" s="2387"/>
      <c r="BD60" s="2044">
        <f t="shared" si="22"/>
        <v>6.6003626700559925E-2</v>
      </c>
      <c r="BE60" s="1938">
        <v>99050.13375825774</v>
      </c>
      <c r="BF60" s="1938">
        <v>111134.54487791112</v>
      </c>
      <c r="BG60" s="1939">
        <v>128472.63358186085</v>
      </c>
      <c r="BH60" s="1938">
        <v>155442.02351451709</v>
      </c>
      <c r="BI60" s="1938">
        <v>203154.20463027828</v>
      </c>
    </row>
    <row r="61" spans="3:61" s="1923" customFormat="1" x14ac:dyDescent="0.3">
      <c r="C61" s="1923" t="s">
        <v>1758</v>
      </c>
      <c r="D61" s="2041"/>
      <c r="E61" s="2041"/>
      <c r="F61" s="2041"/>
      <c r="G61" s="1973">
        <f t="shared" si="17"/>
        <v>0</v>
      </c>
      <c r="H61" s="1973">
        <f t="shared" ref="H61:W61" si="24">H14</f>
        <v>0</v>
      </c>
      <c r="I61" s="1973">
        <f t="shared" si="24"/>
        <v>0</v>
      </c>
      <c r="J61" s="1973">
        <f t="shared" si="24"/>
        <v>0</v>
      </c>
      <c r="K61" s="1973">
        <f t="shared" si="24"/>
        <v>0</v>
      </c>
      <c r="L61" s="1973">
        <f t="shared" si="24"/>
        <v>0</v>
      </c>
      <c r="M61" s="2042">
        <f t="shared" si="24"/>
        <v>0</v>
      </c>
      <c r="N61" s="1973">
        <f t="shared" si="24"/>
        <v>0</v>
      </c>
      <c r="O61" s="1973">
        <f t="shared" si="24"/>
        <v>0</v>
      </c>
      <c r="P61" s="1973">
        <f t="shared" si="24"/>
        <v>0</v>
      </c>
      <c r="Q61" s="1973">
        <f t="shared" si="24"/>
        <v>0</v>
      </c>
      <c r="R61" s="1973">
        <f t="shared" si="24"/>
        <v>0</v>
      </c>
      <c r="S61" s="1973">
        <f t="shared" si="24"/>
        <v>0</v>
      </c>
      <c r="T61" s="1973">
        <f t="shared" si="24"/>
        <v>0</v>
      </c>
      <c r="U61" s="1973">
        <f t="shared" si="24"/>
        <v>0</v>
      </c>
      <c r="V61" s="1973">
        <f t="shared" si="24"/>
        <v>0</v>
      </c>
      <c r="W61" s="1973">
        <f t="shared" si="24"/>
        <v>0</v>
      </c>
      <c r="X61" s="1973"/>
      <c r="Y61" s="2041"/>
      <c r="Z61" s="2041"/>
      <c r="AA61" s="2041"/>
      <c r="AB61" s="2041"/>
      <c r="AC61" s="2041"/>
      <c r="AD61" s="2041"/>
      <c r="AE61" s="2041"/>
      <c r="AF61" s="2041"/>
      <c r="AG61" s="2041"/>
      <c r="AH61" s="2041"/>
      <c r="AI61" s="2041"/>
      <c r="AJ61" s="2041"/>
      <c r="AK61" s="2041"/>
      <c r="AL61" s="2041"/>
      <c r="AM61" s="2041"/>
      <c r="AN61" s="2041"/>
      <c r="AO61" s="2041"/>
      <c r="AP61" s="2041"/>
      <c r="AQ61" s="2041"/>
      <c r="AR61" s="2041"/>
      <c r="AS61" s="2041"/>
      <c r="AT61" s="2041"/>
      <c r="AU61" s="2041"/>
      <c r="AV61" s="2041"/>
      <c r="AW61" s="2041"/>
      <c r="AX61" s="2041"/>
      <c r="AY61" s="2041"/>
      <c r="AZ61" s="2041"/>
      <c r="BA61" s="2041"/>
      <c r="BC61" s="2387"/>
      <c r="BD61" s="2044">
        <f>+BD62-2%</f>
        <v>7.600362670055992E-2</v>
      </c>
      <c r="BE61" s="1938">
        <v>90697.01520035979</v>
      </c>
      <c r="BF61" s="1938">
        <v>99685.001062917741</v>
      </c>
      <c r="BG61" s="1939">
        <v>111882.77400252158</v>
      </c>
      <c r="BH61" s="1938">
        <v>129383.50838862166</v>
      </c>
      <c r="BI61" s="1938">
        <v>156605.89361376231</v>
      </c>
    </row>
    <row r="62" spans="3:61" s="1923" customFormat="1" x14ac:dyDescent="0.3">
      <c r="C62" s="1923" t="s">
        <v>1759</v>
      </c>
      <c r="D62" s="2041"/>
      <c r="E62" s="2041"/>
      <c r="F62" s="2041"/>
      <c r="G62" s="1973">
        <f t="shared" si="17"/>
        <v>-40.701219500999997</v>
      </c>
      <c r="H62" s="1973">
        <f t="shared" ref="H62:W62" si="25">H15</f>
        <v>-115.31445511699999</v>
      </c>
      <c r="I62" s="1973">
        <f t="shared" si="25"/>
        <v>-49.726230184000002</v>
      </c>
      <c r="J62" s="1973">
        <f t="shared" si="25"/>
        <v>-44.080067954999997</v>
      </c>
      <c r="K62" s="1973">
        <f t="shared" si="25"/>
        <v>-149.62789548699999</v>
      </c>
      <c r="L62" s="1973">
        <f t="shared" si="25"/>
        <v>-55.734319657999997</v>
      </c>
      <c r="M62" s="2042">
        <f t="shared" si="25"/>
        <v>0</v>
      </c>
      <c r="N62" s="1973">
        <f t="shared" si="25"/>
        <v>-451.02885356693275</v>
      </c>
      <c r="O62" s="1973">
        <f t="shared" si="25"/>
        <v>-354.63249581806161</v>
      </c>
      <c r="P62" s="1973">
        <f t="shared" si="25"/>
        <v>-79.482834742685924</v>
      </c>
      <c r="Q62" s="1973">
        <f t="shared" si="25"/>
        <v>-89.864940627648025</v>
      </c>
      <c r="R62" s="1973">
        <f t="shared" si="25"/>
        <v>-91.651435783446118</v>
      </c>
      <c r="S62" s="1973">
        <f t="shared" si="25"/>
        <v>-98.591712970382872</v>
      </c>
      <c r="T62" s="1973">
        <f t="shared" si="25"/>
        <v>-107.61073435163705</v>
      </c>
      <c r="U62" s="1973">
        <f t="shared" si="25"/>
        <v>-93.298140814281055</v>
      </c>
      <c r="V62" s="1973">
        <f t="shared" si="25"/>
        <v>-97.248723054039104</v>
      </c>
      <c r="W62" s="1973">
        <f t="shared" si="25"/>
        <v>-101.56085577511773</v>
      </c>
      <c r="X62" s="1973"/>
      <c r="Y62" s="2041"/>
      <c r="Z62" s="2041"/>
      <c r="AA62" s="2041"/>
      <c r="AB62" s="2041"/>
      <c r="AC62" s="2041"/>
      <c r="AD62" s="2041"/>
      <c r="AE62" s="2041"/>
      <c r="AF62" s="2041"/>
      <c r="AG62" s="2041"/>
      <c r="AH62" s="2041"/>
      <c r="AI62" s="2041"/>
      <c r="AJ62" s="2041"/>
      <c r="AK62" s="2041"/>
      <c r="AL62" s="2041"/>
      <c r="AM62" s="2041"/>
      <c r="AN62" s="2041"/>
      <c r="AO62" s="2041"/>
      <c r="AP62" s="2041"/>
      <c r="AQ62" s="2041"/>
      <c r="AR62" s="2041"/>
      <c r="AS62" s="2041"/>
      <c r="AT62" s="2041"/>
      <c r="AU62" s="2041"/>
      <c r="AV62" s="2041"/>
      <c r="AW62" s="2041"/>
      <c r="AX62" s="2041"/>
      <c r="AY62" s="2041"/>
      <c r="AZ62" s="2041"/>
      <c r="BA62" s="2041"/>
      <c r="BC62" s="2387"/>
      <c r="BD62" s="2044">
        <v>9.6003626700559924E-2</v>
      </c>
      <c r="BE62" s="1940">
        <v>79211.279962447152</v>
      </c>
      <c r="BF62" s="1940">
        <v>84773.630407837656</v>
      </c>
      <c r="BG62" s="1941">
        <v>91799.68743852184</v>
      </c>
      <c r="BH62" s="1940">
        <v>100954.73567223772</v>
      </c>
      <c r="BI62" s="1940">
        <v>113379.23225174242</v>
      </c>
    </row>
    <row r="63" spans="3:61" s="1923" customFormat="1" x14ac:dyDescent="0.3">
      <c r="C63" s="1923" t="s">
        <v>1760</v>
      </c>
      <c r="D63" s="2041"/>
      <c r="E63" s="2041"/>
      <c r="F63" s="2041"/>
      <c r="G63" s="1973">
        <f t="shared" si="17"/>
        <v>295.32854866499986</v>
      </c>
      <c r="H63" s="1973">
        <f t="shared" ref="H63:W63" si="26">H16</f>
        <v>55.572382480000101</v>
      </c>
      <c r="I63" s="1973">
        <f t="shared" si="26"/>
        <v>-129.91235881799992</v>
      </c>
      <c r="J63" s="1973">
        <f t="shared" si="26"/>
        <v>-55.697109795000131</v>
      </c>
      <c r="K63" s="1973">
        <f t="shared" si="26"/>
        <v>-113.74345900999998</v>
      </c>
      <c r="L63" s="1973">
        <f t="shared" si="26"/>
        <v>96.219304960000159</v>
      </c>
      <c r="M63" s="2042">
        <f t="shared" si="26"/>
        <v>-146.15067430300007</v>
      </c>
      <c r="N63" s="1973">
        <f t="shared" si="26"/>
        <v>-18.522000717817548</v>
      </c>
      <c r="O63" s="1973">
        <f t="shared" si="26"/>
        <v>-36.474947043703821</v>
      </c>
      <c r="P63" s="1973">
        <f t="shared" si="26"/>
        <v>-162.35135711808584</v>
      </c>
      <c r="Q63" s="1973">
        <f t="shared" si="26"/>
        <v>-60.012537940326069</v>
      </c>
      <c r="R63" s="1973">
        <f t="shared" si="26"/>
        <v>-155.54386414219914</v>
      </c>
      <c r="S63" s="1973">
        <f t="shared" si="26"/>
        <v>-56.215878632847421</v>
      </c>
      <c r="T63" s="1973">
        <f t="shared" si="26"/>
        <v>-217.78329050434911</v>
      </c>
      <c r="U63" s="1973">
        <f t="shared" si="26"/>
        <v>-239.45948094152197</v>
      </c>
      <c r="V63" s="1973">
        <f t="shared" si="26"/>
        <v>-114.69990547327268</v>
      </c>
      <c r="W63" s="1973">
        <f t="shared" si="26"/>
        <v>-185.52858670503508</v>
      </c>
      <c r="X63" s="1973"/>
      <c r="Y63" s="2041"/>
      <c r="Z63" s="2041"/>
      <c r="AA63" s="2041"/>
      <c r="AB63" s="2041"/>
      <c r="AC63" s="2041"/>
      <c r="AD63" s="2041"/>
      <c r="AE63" s="2041"/>
      <c r="AF63" s="2041"/>
      <c r="AG63" s="2041"/>
      <c r="AH63" s="2041"/>
      <c r="AI63" s="2041"/>
      <c r="AJ63" s="2041"/>
      <c r="AK63" s="2041"/>
      <c r="AL63" s="2041"/>
      <c r="AM63" s="2041"/>
      <c r="AN63" s="2041"/>
      <c r="AO63" s="2041"/>
      <c r="AP63" s="2041"/>
      <c r="AQ63" s="2041"/>
      <c r="AR63" s="2041"/>
      <c r="AS63" s="2041"/>
      <c r="AT63" s="2041"/>
      <c r="AU63" s="2041"/>
      <c r="AV63" s="2041"/>
      <c r="AW63" s="2041"/>
      <c r="AX63" s="2041"/>
      <c r="AY63" s="2041"/>
      <c r="AZ63" s="2041"/>
      <c r="BA63" s="2041"/>
      <c r="BC63" s="2387"/>
      <c r="BD63" s="2044">
        <f>+BD62+2%</f>
        <v>0.11600362670055993</v>
      </c>
      <c r="BE63" s="1938">
        <v>71686.019259545661</v>
      </c>
      <c r="BF63" s="1938">
        <v>75488.999561274453</v>
      </c>
      <c r="BG63" s="1939">
        <v>80084.237495850932</v>
      </c>
      <c r="BH63" s="1938">
        <v>85748.09035072042</v>
      </c>
      <c r="BI63" s="1938">
        <v>92902.359676683845</v>
      </c>
    </row>
    <row r="64" spans="3:61" s="1923" customFormat="1" x14ac:dyDescent="0.3">
      <c r="C64" s="1923" t="s">
        <v>1789</v>
      </c>
      <c r="D64" s="1925"/>
      <c r="E64" s="1925"/>
      <c r="F64" s="1925"/>
      <c r="G64" s="1951">
        <f>+'Output-FR (show)'!J23*(1-DCF!G46)</f>
        <v>4.2740494431140394</v>
      </c>
      <c r="H64" s="1951">
        <f>+'Output-FR (show)'!K23*(1-DCF!H46)</f>
        <v>3.6185296989669897</v>
      </c>
      <c r="I64" s="1951">
        <f>+'Output-FR (show)'!L23*(1-DCF!I46)</f>
        <v>5.5133194363941529</v>
      </c>
      <c r="J64" s="1951">
        <f>+'Output-FR (show)'!M23*(1-DCF!J46)</f>
        <v>6.7835487596017856</v>
      </c>
      <c r="K64" s="1951">
        <f>+'Output-FR (show)'!N23*(1-DCF!K46)</f>
        <v>8.4301355603242119</v>
      </c>
      <c r="L64" s="1951">
        <f>+'Output-FR (show)'!O23*(1-DCF!L46)</f>
        <v>5.3838535095703985</v>
      </c>
      <c r="M64" s="1942">
        <f>+'Output-FR (show)'!P23*(1-DCF!M46)</f>
        <v>1.0479736048864701</v>
      </c>
      <c r="N64" s="1951">
        <f ca="1">+'Output-FR (show)'!Q23*(1-DCF!N46)</f>
        <v>10.21994343169858</v>
      </c>
      <c r="O64" s="1951">
        <f ca="1">+'Output-FR (show)'!R23*(1-DCF!O46)</f>
        <v>18.070255851937478</v>
      </c>
      <c r="P64" s="1951">
        <f ca="1">+'Output-FR (show)'!S23*(1-DCF!P46)</f>
        <v>19.27865550281043</v>
      </c>
      <c r="Q64" s="1951">
        <f ca="1">+'Output-FR (show)'!T23*(1-DCF!Q46)</f>
        <v>15.700426052384371</v>
      </c>
      <c r="R64" s="1951">
        <f ca="1">+'Output-FR (show)'!U23*(1-DCF!R46)</f>
        <v>11.995149835052015</v>
      </c>
      <c r="S64" s="1951">
        <f ca="1">+'Output-FR (show)'!V23*(1-DCF!S46)</f>
        <v>8.7375368002489981</v>
      </c>
      <c r="T64" s="1951">
        <f ca="1">+'Output-FR (show)'!W23*(1-DCF!T46)</f>
        <v>6.5100303867658349</v>
      </c>
      <c r="U64" s="1951">
        <f ca="1">+'Output-FR (show)'!X23*(1-DCF!U46)</f>
        <v>6.2452364460700842</v>
      </c>
      <c r="V64" s="1951">
        <f ca="1">+'Output-FR (show)'!Y23*(1-DCF!V46)</f>
        <v>6.4622121886010673</v>
      </c>
      <c r="W64" s="1951">
        <f ca="1">+'Output-FR (show)'!Z23*(1-DCF!W46)</f>
        <v>6.6817429182045061</v>
      </c>
      <c r="X64" s="1929"/>
      <c r="Y64" s="1925"/>
      <c r="Z64" s="1925"/>
      <c r="AA64" s="1925"/>
      <c r="AB64" s="1925"/>
      <c r="AC64" s="1925"/>
      <c r="AD64" s="1925"/>
      <c r="AE64" s="1925"/>
      <c r="AF64" s="1925"/>
      <c r="AG64" s="1925"/>
      <c r="AH64" s="1925"/>
      <c r="AI64" s="1925"/>
      <c r="AJ64" s="1925"/>
      <c r="AK64" s="1925"/>
      <c r="AL64" s="1925"/>
      <c r="AM64" s="1925"/>
      <c r="AN64" s="1925"/>
      <c r="AO64" s="1925"/>
      <c r="AP64" s="1925"/>
      <c r="AQ64" s="1925"/>
      <c r="AR64" s="1925"/>
      <c r="AS64" s="1925"/>
      <c r="AT64" s="1925"/>
      <c r="AU64" s="1925"/>
      <c r="AV64" s="1925"/>
      <c r="AW64" s="1925"/>
      <c r="AX64" s="1925"/>
      <c r="AY64" s="1925"/>
      <c r="AZ64" s="1925"/>
      <c r="BA64" s="1925"/>
      <c r="BC64" s="2387"/>
      <c r="BD64" s="2044">
        <f t="shared" ref="BD64:BD65" si="27">+BD63+2%</f>
        <v>0.13600362670055993</v>
      </c>
      <c r="BE64" s="1938">
        <v>66374.011507455507</v>
      </c>
      <c r="BF64" s="1938">
        <v>69151.785734263438</v>
      </c>
      <c r="BG64" s="1939">
        <v>72408.471578891404</v>
      </c>
      <c r="BH64" s="1938">
        <v>76279.605427987641</v>
      </c>
      <c r="BI64" s="1938">
        <v>80957.195029254712</v>
      </c>
    </row>
    <row r="65" spans="3:61" s="1923" customFormat="1" x14ac:dyDescent="0.3">
      <c r="C65" s="1945" t="s">
        <v>1790</v>
      </c>
      <c r="D65" s="1947"/>
      <c r="E65" s="1947"/>
      <c r="F65" s="1947"/>
      <c r="G65" s="1948">
        <f>SUM(G57:G64)</f>
        <v>482.88386425211394</v>
      </c>
      <c r="H65" s="1948">
        <f t="shared" ref="H65:W65" si="28">SUM(H57:H64)</f>
        <v>89.3374443029671</v>
      </c>
      <c r="I65" s="1948">
        <f t="shared" si="28"/>
        <v>-2.9887594606057517</v>
      </c>
      <c r="J65" s="1948">
        <f t="shared" si="28"/>
        <v>73.127641963601661</v>
      </c>
      <c r="K65" s="1948">
        <f t="shared" si="28"/>
        <v>-116.27555957967577</v>
      </c>
      <c r="L65" s="1948">
        <f t="shared" si="28"/>
        <v>201.35584213657054</v>
      </c>
      <c r="M65" s="1949">
        <f t="shared" si="28"/>
        <v>38.072400500366378</v>
      </c>
      <c r="N65" s="1948">
        <f t="shared" ca="1" si="28"/>
        <v>-177.87707926896863</v>
      </c>
      <c r="O65" s="1948">
        <f t="shared" ca="1" si="28"/>
        <v>-62.926893944753147</v>
      </c>
      <c r="P65" s="1948">
        <f t="shared" ca="1" si="28"/>
        <v>179.2949974040707</v>
      </c>
      <c r="Q65" s="1948">
        <f t="shared" ca="1" si="28"/>
        <v>269.32789986935478</v>
      </c>
      <c r="R65" s="1948">
        <f t="shared" ca="1" si="28"/>
        <v>216.49095980693676</v>
      </c>
      <c r="S65" s="1948">
        <f t="shared" ca="1" si="28"/>
        <v>350.46445627092066</v>
      </c>
      <c r="T65" s="1948">
        <f t="shared" ca="1" si="28"/>
        <v>230.07293959513328</v>
      </c>
      <c r="U65" s="1948">
        <f t="shared" ca="1" si="28"/>
        <v>253.65943026440814</v>
      </c>
      <c r="V65" s="1948">
        <f t="shared" ca="1" si="28"/>
        <v>409.14838106669328</v>
      </c>
      <c r="W65" s="1948">
        <f t="shared" ca="1" si="28"/>
        <v>370.7836179694828</v>
      </c>
      <c r="X65" s="1948"/>
      <c r="Y65" s="1947"/>
      <c r="Z65" s="1947"/>
      <c r="AA65" s="1947"/>
      <c r="AB65" s="1947"/>
      <c r="AC65" s="1947"/>
      <c r="AD65" s="1947"/>
      <c r="AE65" s="1947"/>
      <c r="AF65" s="1947"/>
      <c r="AG65" s="1947"/>
      <c r="AH65" s="1947"/>
      <c r="AI65" s="1947"/>
      <c r="AJ65" s="1947"/>
      <c r="AK65" s="1947"/>
      <c r="AL65" s="1947"/>
      <c r="AM65" s="1947"/>
      <c r="AN65" s="1947"/>
      <c r="AO65" s="1947"/>
      <c r="AP65" s="1947"/>
      <c r="AQ65" s="1947"/>
      <c r="AR65" s="1947"/>
      <c r="AS65" s="1947"/>
      <c r="AT65" s="1947"/>
      <c r="AU65" s="1947"/>
      <c r="AV65" s="1947"/>
      <c r="AW65" s="1947"/>
      <c r="AX65" s="1947"/>
      <c r="AY65" s="1947"/>
      <c r="AZ65" s="1947"/>
      <c r="BA65" s="1947"/>
      <c r="BC65" s="2387"/>
      <c r="BD65" s="2044">
        <f t="shared" si="27"/>
        <v>0.15600362670055992</v>
      </c>
      <c r="BE65" s="1938">
        <v>62424.025360744134</v>
      </c>
      <c r="BF65" s="1938">
        <v>64550.751746129441</v>
      </c>
      <c r="BG65" s="1939">
        <v>66990.223671759464</v>
      </c>
      <c r="BH65" s="1938">
        <v>69816.902218263538</v>
      </c>
      <c r="BI65" s="1938">
        <v>73130.923898237146</v>
      </c>
    </row>
    <row r="66" spans="3:61" s="1923" customFormat="1" x14ac:dyDescent="0.3">
      <c r="C66" s="1923" t="s">
        <v>1763</v>
      </c>
      <c r="D66" s="1953"/>
      <c r="E66" s="1953"/>
      <c r="F66" s="1953"/>
      <c r="G66" s="1953"/>
      <c r="H66" s="1953"/>
      <c r="I66" s="1953"/>
      <c r="J66" s="1953"/>
      <c r="K66" s="1953"/>
      <c r="L66" s="1953"/>
      <c r="M66" s="1954"/>
      <c r="N66" s="2045">
        <f ca="1">IF(N72&lt;0,N65,IF(N72&lt;1,N65*(1-N72),0))</f>
        <v>-24.705149898467855</v>
      </c>
      <c r="O66" s="2045">
        <f t="shared" ref="O66:W66" si="29">IF(O72&lt;0,O65,IF(O72&lt;1,O65*(1-O72),0))</f>
        <v>0</v>
      </c>
      <c r="P66" s="2045">
        <f t="shared" si="29"/>
        <v>0</v>
      </c>
      <c r="Q66" s="2045">
        <f t="shared" si="29"/>
        <v>0</v>
      </c>
      <c r="R66" s="2045">
        <f t="shared" si="29"/>
        <v>0</v>
      </c>
      <c r="S66" s="2045">
        <f t="shared" si="29"/>
        <v>0</v>
      </c>
      <c r="T66" s="2045">
        <f t="shared" si="29"/>
        <v>0</v>
      </c>
      <c r="U66" s="2045">
        <f t="shared" si="29"/>
        <v>0</v>
      </c>
      <c r="V66" s="2045">
        <f t="shared" si="29"/>
        <v>0</v>
      </c>
      <c r="W66" s="2045">
        <f t="shared" si="29"/>
        <v>0</v>
      </c>
      <c r="X66" s="2045"/>
      <c r="Y66" s="2046"/>
      <c r="Z66" s="2046"/>
      <c r="AA66" s="2046"/>
      <c r="AB66" s="2046"/>
      <c r="AC66" s="2046"/>
      <c r="AD66" s="2046"/>
      <c r="AE66" s="2046"/>
      <c r="AF66" s="2046"/>
      <c r="AG66" s="2046"/>
      <c r="AH66" s="2046"/>
      <c r="AI66" s="2046"/>
      <c r="AJ66" s="2046"/>
      <c r="AK66" s="2046"/>
      <c r="AL66" s="2046"/>
      <c r="AM66" s="2046"/>
      <c r="AN66" s="2046"/>
      <c r="AO66" s="2046"/>
      <c r="AP66" s="2046"/>
      <c r="AQ66" s="2046"/>
      <c r="AR66" s="2046"/>
      <c r="AS66" s="2046"/>
      <c r="AT66" s="2046"/>
      <c r="AU66" s="2046"/>
      <c r="AV66" s="2046"/>
      <c r="AW66" s="2046"/>
      <c r="AX66" s="2046"/>
      <c r="AY66" s="2046"/>
      <c r="AZ66" s="2046"/>
      <c r="BA66" s="2046"/>
    </row>
    <row r="67" spans="3:61" s="1923" customFormat="1" x14ac:dyDescent="0.3">
      <c r="C67" s="1945" t="s">
        <v>1791</v>
      </c>
      <c r="D67" s="2047"/>
      <c r="E67" s="2047"/>
      <c r="F67" s="2047"/>
      <c r="G67" s="2047"/>
      <c r="H67" s="2047"/>
      <c r="I67" s="2047"/>
      <c r="J67" s="2047"/>
      <c r="K67" s="2047"/>
      <c r="L67" s="2047"/>
      <c r="M67" s="2048"/>
      <c r="N67" s="1948">
        <f ca="1">N65-N66</f>
        <v>-153.17192937050078</v>
      </c>
      <c r="O67" s="1948">
        <f t="shared" ref="O67:W67" ca="1" si="30">O65-O66</f>
        <v>-62.926893944753147</v>
      </c>
      <c r="P67" s="1948">
        <f t="shared" ca="1" si="30"/>
        <v>179.2949974040707</v>
      </c>
      <c r="Q67" s="1948">
        <f t="shared" ca="1" si="30"/>
        <v>269.32789986935478</v>
      </c>
      <c r="R67" s="1948">
        <f t="shared" ca="1" si="30"/>
        <v>216.49095980693676</v>
      </c>
      <c r="S67" s="1948">
        <f t="shared" ca="1" si="30"/>
        <v>350.46445627092066</v>
      </c>
      <c r="T67" s="1948">
        <f t="shared" ca="1" si="30"/>
        <v>230.07293959513328</v>
      </c>
      <c r="U67" s="1948">
        <f t="shared" ca="1" si="30"/>
        <v>253.65943026440814</v>
      </c>
      <c r="V67" s="1948">
        <f t="shared" ca="1" si="30"/>
        <v>409.14838106669328</v>
      </c>
      <c r="W67" s="1948">
        <f t="shared" ca="1" si="30"/>
        <v>370.7836179694828</v>
      </c>
      <c r="X67" s="1948"/>
      <c r="Y67" s="1947"/>
      <c r="Z67" s="1947"/>
      <c r="AA67" s="1947"/>
      <c r="AB67" s="1947"/>
      <c r="AC67" s="1947"/>
      <c r="AD67" s="1947"/>
      <c r="AE67" s="1947"/>
      <c r="AF67" s="1947"/>
      <c r="AG67" s="1947"/>
      <c r="AH67" s="1947"/>
      <c r="AI67" s="1947"/>
      <c r="AJ67" s="1947"/>
      <c r="AK67" s="1947"/>
      <c r="AL67" s="1947"/>
      <c r="AM67" s="1947"/>
      <c r="AN67" s="1947"/>
      <c r="AO67" s="1947"/>
      <c r="AP67" s="1947"/>
      <c r="AQ67" s="1947"/>
      <c r="AR67" s="1947"/>
      <c r="AS67" s="1947"/>
      <c r="AT67" s="1947"/>
      <c r="AU67" s="1947"/>
      <c r="AV67" s="1947"/>
      <c r="AW67" s="1947"/>
      <c r="AX67" s="1947"/>
      <c r="AY67" s="1947"/>
      <c r="AZ67" s="1947"/>
      <c r="BA67" s="1947"/>
    </row>
    <row r="68" spans="3:61" s="1923" customFormat="1" x14ac:dyDescent="0.3">
      <c r="C68" s="1930"/>
      <c r="D68" s="1953"/>
      <c r="E68" s="1953"/>
      <c r="F68" s="1953"/>
      <c r="G68" s="1953"/>
      <c r="H68" s="1953"/>
      <c r="I68" s="1953"/>
      <c r="J68" s="1953"/>
      <c r="K68" s="1953"/>
      <c r="L68" s="1953"/>
      <c r="M68" s="1954"/>
      <c r="N68" s="1955"/>
      <c r="O68" s="1955"/>
      <c r="P68" s="1955"/>
      <c r="Q68" s="1955"/>
      <c r="R68" s="1955"/>
      <c r="S68" s="1955"/>
      <c r="T68" s="1955"/>
      <c r="U68" s="1955"/>
      <c r="V68" s="1955"/>
      <c r="W68" s="1955"/>
      <c r="X68" s="1955"/>
      <c r="Y68" s="1955"/>
      <c r="Z68" s="1955"/>
      <c r="AA68" s="1955"/>
      <c r="AB68" s="1955"/>
      <c r="AC68" s="1955"/>
      <c r="AD68" s="1955"/>
      <c r="AE68" s="1955"/>
      <c r="AF68" s="1955"/>
      <c r="AG68" s="1955"/>
      <c r="AH68" s="1955"/>
      <c r="AI68" s="1955"/>
      <c r="AJ68" s="1955"/>
      <c r="AK68" s="1955"/>
      <c r="AL68" s="1955"/>
      <c r="AM68" s="1955"/>
      <c r="AN68" s="1955"/>
      <c r="AO68" s="1955"/>
      <c r="AP68" s="1955"/>
      <c r="AQ68" s="1955"/>
      <c r="AR68" s="1955"/>
      <c r="AS68" s="1955"/>
      <c r="AT68" s="1955"/>
      <c r="AU68" s="1955"/>
      <c r="AV68" s="1955"/>
      <c r="AW68" s="1955"/>
      <c r="AX68" s="1955"/>
      <c r="AY68" s="1955"/>
      <c r="AZ68" s="1955"/>
      <c r="BA68" s="1955"/>
    </row>
    <row r="69" spans="3:61" s="1923" customFormat="1" x14ac:dyDescent="0.3">
      <c r="C69" s="1930" t="s">
        <v>1766</v>
      </c>
      <c r="D69" s="1962">
        <f>D23</f>
        <v>3.0285714285714284E-2</v>
      </c>
      <c r="E69" s="1953"/>
      <c r="F69" s="1953"/>
      <c r="G69" s="1953"/>
      <c r="H69" s="1953"/>
      <c r="I69" s="1953"/>
      <c r="J69" s="1953"/>
      <c r="K69" s="1953"/>
      <c r="L69" s="1953"/>
      <c r="M69" s="1954"/>
      <c r="N69" s="1956"/>
      <c r="O69" s="1956"/>
      <c r="P69" s="1956"/>
      <c r="Q69" s="1956"/>
      <c r="R69" s="1956"/>
      <c r="S69" s="1956"/>
      <c r="T69" s="1956"/>
      <c r="U69" s="1956"/>
      <c r="V69" s="1956"/>
      <c r="W69" s="1956"/>
      <c r="X69" s="1956"/>
      <c r="Y69" s="1955"/>
      <c r="Z69" s="1955"/>
      <c r="AA69" s="1955"/>
      <c r="AB69" s="1955"/>
      <c r="AC69" s="1955"/>
      <c r="AD69" s="1955"/>
      <c r="AE69" s="1955"/>
      <c r="AF69" s="1955"/>
      <c r="AG69" s="1955"/>
      <c r="AH69" s="1955"/>
      <c r="AI69" s="1955"/>
      <c r="AJ69" s="1955"/>
      <c r="AK69" s="1955"/>
      <c r="AL69" s="1955"/>
      <c r="AM69" s="1955"/>
      <c r="AN69" s="1955"/>
      <c r="AO69" s="1955"/>
      <c r="AP69" s="1955"/>
      <c r="AQ69" s="1955"/>
      <c r="AR69" s="1955"/>
      <c r="AS69" s="1955"/>
      <c r="AT69" s="1955"/>
      <c r="AU69" s="1955"/>
      <c r="AV69" s="1955"/>
      <c r="AW69" s="1955"/>
      <c r="AX69" s="1955"/>
      <c r="AY69" s="1955"/>
      <c r="AZ69" s="1955"/>
      <c r="BA69" s="1955"/>
    </row>
    <row r="70" spans="3:61" s="1923" customFormat="1" x14ac:dyDescent="0.3">
      <c r="C70" s="1930" t="s">
        <v>1792</v>
      </c>
      <c r="D70" s="1962">
        <f ca="1">+'Assumption &amp; Result'!D24</f>
        <v>0.10894975515756369</v>
      </c>
      <c r="E70" s="1953"/>
      <c r="F70" s="1953"/>
      <c r="G70" s="1953"/>
      <c r="H70" s="1953"/>
      <c r="I70" s="1953"/>
      <c r="J70" s="1953"/>
      <c r="K70" s="1953"/>
      <c r="L70" s="1953"/>
      <c r="M70" s="1954"/>
      <c r="N70" s="1956"/>
      <c r="O70" s="1956"/>
      <c r="P70" s="1956"/>
      <c r="Q70" s="1956"/>
      <c r="R70" s="1956"/>
      <c r="S70" s="1956"/>
      <c r="T70" s="1956"/>
      <c r="U70" s="1956"/>
      <c r="V70" s="1956"/>
      <c r="W70" s="1956"/>
      <c r="X70" s="1956"/>
      <c r="Y70" s="1955"/>
      <c r="Z70" s="1955"/>
      <c r="AA70" s="1955"/>
      <c r="AB70" s="1955"/>
      <c r="AC70" s="1955"/>
      <c r="AD70" s="1955"/>
      <c r="AE70" s="1955"/>
      <c r="AF70" s="1955"/>
      <c r="AG70" s="1955"/>
      <c r="AH70" s="1955"/>
      <c r="AI70" s="1955"/>
      <c r="AJ70" s="1955"/>
      <c r="AK70" s="1955"/>
      <c r="AL70" s="1955"/>
      <c r="AM70" s="1955"/>
      <c r="AN70" s="1955"/>
      <c r="AO70" s="1955"/>
      <c r="AP70" s="1955"/>
      <c r="AQ70" s="1955"/>
      <c r="AR70" s="1955"/>
      <c r="AS70" s="1955"/>
      <c r="AT70" s="1955"/>
      <c r="AU70" s="1955"/>
      <c r="AV70" s="1955"/>
      <c r="AW70" s="1955"/>
      <c r="AX70" s="1955"/>
      <c r="AY70" s="1955"/>
      <c r="AZ70" s="1955"/>
      <c r="BA70" s="1955"/>
    </row>
    <row r="71" spans="3:61" s="1923" customFormat="1" x14ac:dyDescent="0.3">
      <c r="C71" s="1930"/>
      <c r="D71" s="1953"/>
      <c r="E71" s="1953"/>
      <c r="F71" s="1953"/>
      <c r="G71" s="1953"/>
      <c r="H71" s="1953"/>
      <c r="I71" s="1953"/>
      <c r="J71" s="1953"/>
      <c r="K71" s="1953"/>
      <c r="L71" s="1953"/>
      <c r="M71" s="1954"/>
      <c r="N71" s="1956"/>
      <c r="O71" s="1956"/>
      <c r="P71" s="1956"/>
      <c r="Q71" s="1956"/>
      <c r="R71" s="1956"/>
      <c r="S71" s="1956"/>
      <c r="T71" s="1956"/>
      <c r="U71" s="1956"/>
      <c r="V71" s="1956"/>
      <c r="W71" s="1956"/>
      <c r="X71" s="1956"/>
      <c r="Y71" s="1955"/>
      <c r="Z71" s="1955"/>
      <c r="AA71" s="1955"/>
      <c r="AB71" s="1955"/>
      <c r="AC71" s="1955"/>
      <c r="AD71" s="1955"/>
      <c r="AE71" s="1955"/>
      <c r="AF71" s="1955"/>
      <c r="AG71" s="1955"/>
      <c r="AH71" s="1955"/>
      <c r="AI71" s="1955"/>
      <c r="AJ71" s="1955"/>
      <c r="AK71" s="1955"/>
      <c r="AL71" s="1955"/>
      <c r="AM71" s="1955"/>
      <c r="AN71" s="1955"/>
      <c r="AO71" s="1955"/>
      <c r="AP71" s="1955"/>
      <c r="AQ71" s="1955"/>
      <c r="AR71" s="1955"/>
      <c r="AS71" s="1955"/>
      <c r="AT71" s="1955"/>
      <c r="AU71" s="1955"/>
      <c r="AV71" s="1955"/>
      <c r="AW71" s="1955"/>
      <c r="AX71" s="1955"/>
      <c r="AY71" s="1955"/>
      <c r="AZ71" s="1955"/>
      <c r="BA71" s="1955"/>
    </row>
    <row r="72" spans="3:61" s="1923" customFormat="1" x14ac:dyDescent="0.3">
      <c r="C72" s="1923" t="s">
        <v>1751</v>
      </c>
      <c r="D72" s="1959"/>
      <c r="E72" s="1959"/>
      <c r="F72" s="1959"/>
      <c r="G72" s="1959"/>
      <c r="H72" s="1959"/>
      <c r="I72" s="1959"/>
      <c r="J72" s="1959"/>
      <c r="K72" s="1959"/>
      <c r="L72" s="1963"/>
      <c r="M72" s="2049"/>
      <c r="N72" s="1965">
        <f>N26</f>
        <v>0.86111111111111116</v>
      </c>
      <c r="O72" s="1965">
        <f t="shared" ref="O72:W72" si="31">O26</f>
        <v>1.8611111111111112</v>
      </c>
      <c r="P72" s="1965">
        <f t="shared" si="31"/>
        <v>2.8611111111111112</v>
      </c>
      <c r="Q72" s="1965">
        <f t="shared" si="31"/>
        <v>3.8611111111111112</v>
      </c>
      <c r="R72" s="1965">
        <f t="shared" si="31"/>
        <v>4.8611111111111107</v>
      </c>
      <c r="S72" s="1965">
        <f t="shared" si="31"/>
        <v>5.8611111111111107</v>
      </c>
      <c r="T72" s="1965">
        <f t="shared" si="31"/>
        <v>6.8611111111111107</v>
      </c>
      <c r="U72" s="1965">
        <f t="shared" si="31"/>
        <v>7.8611111111111107</v>
      </c>
      <c r="V72" s="1965">
        <f t="shared" si="31"/>
        <v>8.8611111111111107</v>
      </c>
      <c r="W72" s="1965">
        <f t="shared" si="31"/>
        <v>9.8611111111111107</v>
      </c>
      <c r="X72" s="1965"/>
      <c r="Y72" s="1966"/>
      <c r="Z72" s="1966"/>
      <c r="AA72" s="1966"/>
      <c r="AB72" s="1966"/>
      <c r="AC72" s="1966"/>
      <c r="AD72" s="1966"/>
      <c r="AE72" s="1966"/>
      <c r="AF72" s="1966"/>
      <c r="AG72" s="1966"/>
      <c r="AH72" s="1966"/>
      <c r="AI72" s="1966"/>
      <c r="AJ72" s="1966"/>
      <c r="AK72" s="1966"/>
      <c r="AL72" s="1966"/>
      <c r="AM72" s="1966"/>
      <c r="AN72" s="1966"/>
      <c r="AO72" s="1966"/>
      <c r="AP72" s="1966"/>
      <c r="AQ72" s="1966"/>
      <c r="AR72" s="1966"/>
      <c r="AS72" s="1966"/>
      <c r="AT72" s="1966"/>
      <c r="AU72" s="1966"/>
      <c r="AV72" s="1966"/>
      <c r="AW72" s="1966"/>
      <c r="AX72" s="1966"/>
      <c r="AY72" s="1966"/>
      <c r="AZ72" s="1966"/>
      <c r="BA72" s="1966"/>
    </row>
    <row r="73" spans="3:61" s="1923" customFormat="1" x14ac:dyDescent="0.3">
      <c r="C73" s="1923" t="s">
        <v>1768</v>
      </c>
      <c r="D73" s="1925"/>
      <c r="E73" s="1925"/>
      <c r="F73" s="1925"/>
      <c r="G73" s="1925"/>
      <c r="H73" s="1925"/>
      <c r="I73" s="1925"/>
      <c r="J73" s="1925"/>
      <c r="K73" s="1925"/>
      <c r="L73" s="1929"/>
      <c r="M73" s="2049"/>
      <c r="N73" s="1965">
        <f ca="1">(1+N51)^N72</f>
        <v>1.0938192248840428</v>
      </c>
      <c r="O73" s="1965">
        <f t="shared" ref="O73:W73" ca="1" si="32">(1+O51)^O72</f>
        <v>1.212497860753766</v>
      </c>
      <c r="P73" s="1965">
        <f t="shared" ca="1" si="32"/>
        <v>1.3450704438632735</v>
      </c>
      <c r="Q73" s="1965">
        <f t="shared" ca="1" si="32"/>
        <v>1.4934705864688067</v>
      </c>
      <c r="R73" s="1965">
        <f t="shared" ca="1" si="32"/>
        <v>1.6593355265143843</v>
      </c>
      <c r="S73" s="1965">
        <f t="shared" ca="1" si="32"/>
        <v>1.8442501496989616</v>
      </c>
      <c r="T73" s="1965">
        <f t="shared" ca="1" si="32"/>
        <v>2.0496569298052787</v>
      </c>
      <c r="U73" s="1965">
        <f t="shared" ca="1" si="32"/>
        <v>2.2762810832723299</v>
      </c>
      <c r="V73" s="1965">
        <f t="shared" ca="1" si="32"/>
        <v>2.5275096793269718</v>
      </c>
      <c r="W73" s="1965">
        <f t="shared" ca="1" si="32"/>
        <v>2.8066915509175789</v>
      </c>
      <c r="X73" s="1965"/>
      <c r="Y73" s="1966"/>
      <c r="Z73" s="1966"/>
      <c r="AA73" s="1966"/>
      <c r="AB73" s="1966"/>
      <c r="AC73" s="1966"/>
      <c r="AD73" s="1966"/>
      <c r="AE73" s="1966"/>
      <c r="AF73" s="1966"/>
      <c r="AG73" s="1966"/>
      <c r="AH73" s="1966"/>
      <c r="AI73" s="1966"/>
      <c r="AJ73" s="1966"/>
      <c r="AK73" s="1966"/>
      <c r="AL73" s="1966"/>
      <c r="AM73" s="1966"/>
      <c r="AN73" s="1966"/>
      <c r="AO73" s="1966"/>
      <c r="AP73" s="1966"/>
      <c r="AQ73" s="1966"/>
      <c r="AR73" s="1966"/>
      <c r="AS73" s="1966"/>
      <c r="AT73" s="1966"/>
      <c r="AU73" s="1966"/>
      <c r="AV73" s="1966"/>
      <c r="AW73" s="1966"/>
      <c r="AX73" s="1966"/>
      <c r="AY73" s="1966"/>
      <c r="AZ73" s="1966"/>
      <c r="BA73" s="1966"/>
    </row>
    <row r="74" spans="3:61" s="1923" customFormat="1" x14ac:dyDescent="0.3">
      <c r="C74" s="1945" t="s">
        <v>1793</v>
      </c>
      <c r="D74" s="2047"/>
      <c r="E74" s="2047"/>
      <c r="F74" s="2047"/>
      <c r="G74" s="2047"/>
      <c r="H74" s="2047"/>
      <c r="I74" s="2047"/>
      <c r="J74" s="2047"/>
      <c r="K74" s="2047"/>
      <c r="L74" s="2047"/>
      <c r="M74" s="2048"/>
      <c r="N74" s="1948">
        <f ca="1">N67/N73</f>
        <v>-140.0340439131875</v>
      </c>
      <c r="O74" s="1948">
        <f t="shared" ref="O74:W74" ca="1" si="33">O67/O73</f>
        <v>-51.898560798807331</v>
      </c>
      <c r="P74" s="1948">
        <f t="shared" ca="1" si="33"/>
        <v>133.29784935955075</v>
      </c>
      <c r="Q74" s="1948">
        <f t="shared" ca="1" si="33"/>
        <v>180.33692950469103</v>
      </c>
      <c r="R74" s="1948">
        <f t="shared" ca="1" si="33"/>
        <v>130.46846544755158</v>
      </c>
      <c r="S74" s="1948">
        <f t="shared" ca="1" si="33"/>
        <v>190.03086773674778</v>
      </c>
      <c r="T74" s="1948">
        <f t="shared" ca="1" si="33"/>
        <v>112.24948734078666</v>
      </c>
      <c r="U74" s="1948">
        <f t="shared" ca="1" si="33"/>
        <v>111.43589960329201</v>
      </c>
      <c r="V74" s="1948">
        <f t="shared" ca="1" si="33"/>
        <v>161.8780669420193</v>
      </c>
      <c r="W74" s="1948">
        <f t="shared" ca="1" si="33"/>
        <v>132.10700614688642</v>
      </c>
      <c r="X74" s="1948"/>
      <c r="Y74" s="1947"/>
      <c r="Z74" s="1947"/>
      <c r="AA74" s="1947"/>
      <c r="AB74" s="1947"/>
      <c r="AC74" s="1947"/>
      <c r="AD74" s="1947"/>
      <c r="AE74" s="1947"/>
      <c r="AF74" s="1947"/>
      <c r="AG74" s="1947"/>
      <c r="AH74" s="1947"/>
      <c r="AI74" s="1947"/>
      <c r="AJ74" s="1947"/>
      <c r="AK74" s="1947"/>
      <c r="AL74" s="1947"/>
      <c r="AM74" s="1947"/>
      <c r="AN74" s="1947"/>
      <c r="AO74" s="1947"/>
      <c r="AP74" s="1947"/>
      <c r="AQ74" s="1947"/>
      <c r="AR74" s="1947"/>
      <c r="AS74" s="1947"/>
      <c r="AT74" s="1947"/>
      <c r="AU74" s="1947"/>
      <c r="AV74" s="1947"/>
      <c r="AW74" s="1947"/>
      <c r="AX74" s="1947"/>
      <c r="AY74" s="1947"/>
      <c r="AZ74" s="1947"/>
      <c r="BA74" s="1947"/>
      <c r="BB74" s="1953"/>
      <c r="BC74" s="170"/>
      <c r="BD74" s="2388"/>
      <c r="BE74" s="2388"/>
      <c r="BF74" s="2388"/>
      <c r="BG74" s="2388"/>
      <c r="BH74" s="2388"/>
      <c r="BI74" s="2388"/>
    </row>
    <row r="75" spans="3:61" s="1923" customFormat="1" ht="12.75" customHeight="1" x14ac:dyDescent="0.3">
      <c r="C75" s="1923" t="s">
        <v>1794</v>
      </c>
      <c r="D75" s="2050">
        <f ca="1">SUMIF(N7:AY7,E22,DCF!N74:W74)</f>
        <v>959.87196736953081</v>
      </c>
      <c r="E75" s="1953"/>
      <c r="F75" s="1953"/>
      <c r="G75" s="1953"/>
      <c r="H75" s="1953"/>
      <c r="I75" s="1953"/>
      <c r="J75" s="1953"/>
      <c r="K75" s="1953"/>
      <c r="L75" s="1953"/>
      <c r="M75" s="1954"/>
      <c r="N75" s="1956"/>
      <c r="O75" s="1956"/>
      <c r="P75" s="1956"/>
      <c r="Q75" s="1956"/>
      <c r="R75" s="1956"/>
      <c r="S75" s="1956"/>
      <c r="T75" s="1956"/>
      <c r="U75" s="1956"/>
      <c r="V75" s="1956"/>
      <c r="W75" s="1956"/>
      <c r="X75" s="1956"/>
      <c r="Y75" s="1953"/>
      <c r="Z75" s="1953"/>
      <c r="AA75" s="1953"/>
      <c r="AB75" s="1953"/>
      <c r="AC75" s="1953"/>
      <c r="AD75" s="1953"/>
      <c r="AE75" s="1953"/>
      <c r="AF75" s="1953"/>
      <c r="AG75" s="1953"/>
      <c r="AH75" s="1953"/>
      <c r="AI75" s="1953"/>
      <c r="AJ75" s="1953"/>
      <c r="AK75" s="1953"/>
      <c r="AL75" s="1953"/>
      <c r="AM75" s="1953"/>
      <c r="AN75" s="1953"/>
      <c r="AO75" s="1953"/>
      <c r="AP75" s="1953"/>
      <c r="AQ75" s="1953"/>
      <c r="AR75" s="1953"/>
      <c r="AS75" s="1953"/>
      <c r="AT75" s="1953"/>
      <c r="AU75" s="1953"/>
      <c r="AV75" s="1953"/>
      <c r="AW75" s="1953"/>
      <c r="AX75" s="1953"/>
      <c r="AY75" s="1953"/>
      <c r="AZ75" s="1953"/>
      <c r="BA75" s="1953"/>
      <c r="BB75" s="1957"/>
      <c r="BC75" s="1982"/>
      <c r="BD75" s="1176"/>
      <c r="BE75" s="2389"/>
      <c r="BF75" s="2389"/>
      <c r="BG75" s="2389"/>
      <c r="BH75" s="2389"/>
      <c r="BI75" s="2389"/>
    </row>
    <row r="76" spans="3:61" s="1923" customFormat="1" x14ac:dyDescent="0.3">
      <c r="C76" s="1923" t="s">
        <v>1771</v>
      </c>
      <c r="D76" s="1970">
        <f ca="1">(CELL("contents",OFFSET(M74,0,D22)))*(1+D69)/(D70-D69)</f>
        <v>1730.2437007008559</v>
      </c>
      <c r="E76" s="1957"/>
      <c r="F76" s="1957"/>
      <c r="G76" s="1957"/>
      <c r="H76" s="1957"/>
      <c r="I76" s="1957"/>
      <c r="J76" s="1957"/>
      <c r="K76" s="1957"/>
      <c r="L76" s="1957"/>
      <c r="M76" s="2007"/>
      <c r="N76" s="2051"/>
      <c r="O76" s="2051"/>
      <c r="P76" s="2051"/>
      <c r="Q76" s="2051"/>
      <c r="R76" s="2051"/>
      <c r="S76" s="2051"/>
      <c r="T76" s="2051"/>
      <c r="U76" s="2051"/>
      <c r="V76" s="2051"/>
      <c r="W76" s="2051"/>
      <c r="X76" s="2051"/>
      <c r="Y76" s="1957"/>
      <c r="Z76" s="1957"/>
      <c r="AA76" s="1957"/>
      <c r="AB76" s="1957"/>
      <c r="AC76" s="1957"/>
      <c r="AD76" s="1957"/>
      <c r="AE76" s="1957"/>
      <c r="AF76" s="1957"/>
      <c r="AG76" s="1957"/>
      <c r="AH76" s="1957"/>
      <c r="AI76" s="1957"/>
      <c r="AJ76" s="1957"/>
      <c r="AK76" s="1957"/>
      <c r="AL76" s="1957"/>
      <c r="AM76" s="1957"/>
      <c r="AN76" s="1957"/>
      <c r="AO76" s="1957"/>
      <c r="AP76" s="1957"/>
      <c r="AQ76" s="1957"/>
      <c r="AR76" s="1957"/>
      <c r="AS76" s="1957"/>
      <c r="AT76" s="1957"/>
      <c r="AU76" s="1957"/>
      <c r="AV76" s="1957"/>
      <c r="AW76" s="1957"/>
      <c r="AX76" s="1957"/>
      <c r="AY76" s="1957"/>
      <c r="AZ76" s="1957"/>
      <c r="BA76" s="1957"/>
      <c r="BB76" s="1957"/>
      <c r="BC76" s="1982"/>
      <c r="BD76" s="1989"/>
      <c r="BE76" s="1933"/>
      <c r="BF76" s="1933"/>
      <c r="BG76" s="1933"/>
      <c r="BH76" s="1933"/>
      <c r="BI76" s="1933"/>
    </row>
    <row r="77" spans="3:61" s="1923" customFormat="1" ht="15" customHeight="1" x14ac:dyDescent="0.3">
      <c r="C77" s="1978" t="s">
        <v>1795</v>
      </c>
      <c r="D77" s="1979">
        <f ca="1">+D75+D76</f>
        <v>2690.1156680703866</v>
      </c>
      <c r="E77" s="1957"/>
      <c r="F77" s="1957"/>
      <c r="G77" s="1957"/>
      <c r="H77" s="1957"/>
      <c r="I77" s="1957"/>
      <c r="J77" s="1957"/>
      <c r="K77" s="1957"/>
      <c r="L77" s="1957"/>
      <c r="M77" s="2007"/>
      <c r="N77" s="2051"/>
      <c r="O77" s="2051"/>
      <c r="P77" s="2051"/>
      <c r="Q77" s="2051"/>
      <c r="R77" s="2051"/>
      <c r="S77" s="2051"/>
      <c r="T77" s="2051"/>
      <c r="U77" s="2051"/>
      <c r="V77" s="2051"/>
      <c r="W77" s="2051"/>
      <c r="X77" s="2051"/>
      <c r="Y77" s="1957"/>
      <c r="Z77" s="1957"/>
      <c r="AA77" s="1957"/>
      <c r="AB77" s="1957"/>
      <c r="AC77" s="1957"/>
      <c r="AD77" s="1957"/>
      <c r="AE77" s="1957"/>
      <c r="AF77" s="1957"/>
      <c r="AG77" s="1957"/>
      <c r="AH77" s="1957"/>
      <c r="AI77" s="1957"/>
      <c r="AJ77" s="1957"/>
      <c r="AK77" s="1957"/>
      <c r="AL77" s="1957"/>
      <c r="AM77" s="1957"/>
      <c r="AN77" s="1957"/>
      <c r="AO77" s="1957"/>
      <c r="AP77" s="1957"/>
      <c r="AQ77" s="1957"/>
      <c r="AR77" s="1957"/>
      <c r="AS77" s="1957"/>
      <c r="AT77" s="1957"/>
      <c r="AU77" s="1957"/>
      <c r="AV77" s="1957"/>
      <c r="AW77" s="1957"/>
      <c r="AX77" s="1957"/>
      <c r="AY77" s="1957"/>
      <c r="AZ77" s="1957"/>
      <c r="BA77" s="1957"/>
      <c r="BB77" s="1957"/>
      <c r="BC77" s="2390"/>
      <c r="BD77" s="1990"/>
      <c r="BE77" s="1991"/>
      <c r="BF77" s="1991"/>
      <c r="BG77" s="1991"/>
      <c r="BH77" s="1991"/>
      <c r="BI77" s="1991"/>
    </row>
    <row r="78" spans="3:61" x14ac:dyDescent="0.3">
      <c r="C78" s="1984" t="s">
        <v>1773</v>
      </c>
      <c r="D78" s="1985">
        <f>D32</f>
        <v>0</v>
      </c>
      <c r="N78" s="2052"/>
      <c r="O78" s="2052"/>
      <c r="P78" s="2052"/>
      <c r="Q78" s="2052"/>
      <c r="R78" s="2052"/>
      <c r="S78" s="2052"/>
      <c r="T78" s="2052"/>
      <c r="U78" s="2052"/>
      <c r="V78" s="2052"/>
      <c r="W78" s="2052"/>
      <c r="X78" s="2052"/>
      <c r="BC78" s="2390"/>
      <c r="BD78" s="1990"/>
      <c r="BE78" s="1938"/>
      <c r="BF78" s="1938"/>
      <c r="BG78" s="1938"/>
      <c r="BH78" s="1938"/>
      <c r="BI78" s="1938"/>
    </row>
    <row r="79" spans="3:61" x14ac:dyDescent="0.3">
      <c r="C79" s="1984" t="s">
        <v>1774</v>
      </c>
      <c r="D79" s="1985">
        <f>D33</f>
        <v>139.20139330000001</v>
      </c>
      <c r="N79" s="2053"/>
      <c r="O79" s="2053"/>
      <c r="P79" s="2053"/>
      <c r="Q79" s="2053"/>
      <c r="R79" s="2053"/>
      <c r="S79" s="2053"/>
      <c r="T79" s="2053"/>
      <c r="U79" s="2053"/>
      <c r="V79" s="2053"/>
      <c r="W79" s="2053"/>
      <c r="BC79" s="2390"/>
      <c r="BD79" s="1990"/>
      <c r="BE79" s="1993"/>
      <c r="BF79" s="1993"/>
      <c r="BG79" s="1993"/>
      <c r="BH79" s="1993"/>
      <c r="BI79" s="1993"/>
    </row>
    <row r="80" spans="3:61" x14ac:dyDescent="0.3">
      <c r="C80" s="1984" t="s">
        <v>1775</v>
      </c>
      <c r="D80" s="1985">
        <f>D34</f>
        <v>140.10113354500001</v>
      </c>
      <c r="N80" s="2053"/>
      <c r="O80" s="2053"/>
      <c r="P80" s="2053"/>
      <c r="Q80" s="2053"/>
      <c r="R80" s="2053"/>
      <c r="S80" s="2053"/>
      <c r="T80" s="2053"/>
      <c r="U80" s="2053"/>
      <c r="V80" s="2053"/>
      <c r="W80" s="2053"/>
      <c r="BC80" s="2390"/>
      <c r="BD80" s="1935"/>
      <c r="BE80" s="1938"/>
      <c r="BF80" s="1938"/>
      <c r="BG80" s="1938"/>
      <c r="BH80" s="1938"/>
      <c r="BI80" s="1938"/>
    </row>
    <row r="81" spans="3:61" x14ac:dyDescent="0.3">
      <c r="C81" s="1984" t="s">
        <v>1796</v>
      </c>
      <c r="D81" s="1970">
        <f>+'Output-FR (show)'!M82+'Output-FR (show)'!M92+'Output-FR (show)'!M96</f>
        <v>95.986460433999994</v>
      </c>
      <c r="N81" s="2053"/>
      <c r="O81" s="2053"/>
      <c r="P81" s="2053"/>
      <c r="Q81" s="2053"/>
      <c r="R81" s="2053"/>
      <c r="S81" s="2053"/>
      <c r="T81" s="2053"/>
      <c r="U81" s="2053"/>
      <c r="V81" s="2053"/>
      <c r="W81" s="2053"/>
      <c r="BC81" s="2390"/>
      <c r="BD81" s="1990"/>
      <c r="BE81" s="1993"/>
      <c r="BF81" s="1993"/>
      <c r="BG81" s="1993"/>
      <c r="BH81" s="1993"/>
      <c r="BI81" s="1993"/>
    </row>
    <row r="82" spans="3:61" x14ac:dyDescent="0.3">
      <c r="C82" s="1978" t="s">
        <v>1776</v>
      </c>
      <c r="D82" s="1979">
        <f ca="1">SUM(D77:D80)-D81</f>
        <v>2873.4317344813862</v>
      </c>
      <c r="N82" s="2053"/>
      <c r="O82" s="2053"/>
      <c r="P82" s="2053"/>
      <c r="Q82" s="2053"/>
      <c r="R82" s="2053"/>
      <c r="S82" s="2053"/>
      <c r="T82" s="2053"/>
      <c r="U82" s="2053"/>
      <c r="V82" s="2053"/>
      <c r="W82" s="2053"/>
      <c r="BC82" s="2390"/>
      <c r="BD82" s="1990"/>
      <c r="BE82" s="1993"/>
      <c r="BF82" s="1993"/>
      <c r="BG82" s="1993"/>
      <c r="BH82" s="1993"/>
      <c r="BI82" s="1993"/>
    </row>
    <row r="83" spans="3:61" x14ac:dyDescent="0.3">
      <c r="C83" s="1923" t="s">
        <v>1777</v>
      </c>
      <c r="D83" s="1970">
        <f>D36</f>
        <v>52.378914999999999</v>
      </c>
      <c r="N83" s="2053"/>
      <c r="O83" s="2053"/>
      <c r="P83" s="2053"/>
      <c r="Q83" s="2053"/>
      <c r="R83" s="2053"/>
      <c r="S83" s="2053"/>
      <c r="T83" s="2053"/>
      <c r="U83" s="2053"/>
      <c r="V83" s="2053"/>
      <c r="W83" s="2053"/>
      <c r="BC83" s="2390"/>
      <c r="BD83" s="1990"/>
      <c r="BE83" s="1993"/>
      <c r="BF83" s="1993"/>
      <c r="BG83" s="1993"/>
      <c r="BH83" s="1993"/>
      <c r="BI83" s="1993"/>
    </row>
    <row r="84" spans="3:61" x14ac:dyDescent="0.3">
      <c r="C84" s="1996" t="s">
        <v>1778</v>
      </c>
      <c r="D84" s="1997">
        <f ca="1">D82*1000/D83</f>
        <v>54858.55777045757</v>
      </c>
      <c r="N84" s="2053"/>
      <c r="O84" s="2053"/>
      <c r="P84" s="2053"/>
      <c r="Q84" s="2053"/>
      <c r="R84" s="2053"/>
      <c r="S84" s="2053"/>
      <c r="T84" s="2053"/>
      <c r="U84" s="2053"/>
      <c r="V84" s="2053"/>
      <c r="W84" s="2053"/>
    </row>
    <row r="85" spans="3:61" x14ac:dyDescent="0.3">
      <c r="D85" s="2054"/>
      <c r="E85" s="2054"/>
      <c r="F85" s="2054"/>
      <c r="G85" s="2054"/>
      <c r="H85" s="2054"/>
      <c r="I85" s="2054"/>
      <c r="J85" s="2054"/>
      <c r="K85" s="2054"/>
      <c r="L85" s="2054"/>
      <c r="M85" s="2055"/>
      <c r="N85" s="2054"/>
      <c r="O85" s="2054"/>
      <c r="P85" s="2054"/>
      <c r="Q85" s="2054"/>
      <c r="R85" s="2054"/>
      <c r="S85" s="2054"/>
      <c r="T85" s="2054"/>
      <c r="U85" s="2054"/>
      <c r="V85" s="2054"/>
      <c r="W85" s="2054"/>
      <c r="X85" s="2054"/>
      <c r="Y85" s="2054"/>
      <c r="Z85" s="2054"/>
      <c r="AA85" s="2054"/>
      <c r="AB85" s="2054"/>
      <c r="AC85" s="2054"/>
      <c r="AD85" s="2054"/>
      <c r="AE85" s="2054"/>
      <c r="AF85" s="2054"/>
      <c r="AG85" s="2054"/>
      <c r="AH85" s="2054"/>
      <c r="AI85" s="2054"/>
      <c r="AJ85" s="2054"/>
      <c r="AK85" s="2054"/>
      <c r="AL85" s="2054"/>
      <c r="AM85" s="2054"/>
      <c r="AN85" s="2054"/>
      <c r="AO85" s="2054"/>
      <c r="AP85" s="2054"/>
      <c r="AQ85" s="2054"/>
      <c r="AR85" s="2054"/>
      <c r="AS85" s="2054"/>
      <c r="AT85" s="2054"/>
      <c r="AU85" s="2054"/>
      <c r="AV85" s="2054"/>
      <c r="AW85" s="2054"/>
      <c r="AX85" s="2054"/>
      <c r="AY85" s="2054"/>
      <c r="AZ85" s="2054"/>
      <c r="BA85" s="2054"/>
    </row>
    <row r="86" spans="3:61" x14ac:dyDescent="0.3">
      <c r="D86" s="2054"/>
      <c r="E86" s="2054"/>
      <c r="F86" s="2054"/>
      <c r="G86" s="2054"/>
      <c r="H86" s="2054"/>
      <c r="I86" s="2054"/>
      <c r="J86" s="2054"/>
      <c r="K86" s="2054"/>
      <c r="L86" s="2054"/>
      <c r="M86" s="2055"/>
      <c r="N86" s="2054"/>
      <c r="O86" s="2054"/>
      <c r="P86" s="2054"/>
      <c r="Q86" s="2054"/>
      <c r="R86" s="2054"/>
      <c r="S86" s="2054"/>
      <c r="T86" s="2054"/>
      <c r="U86" s="2054"/>
      <c r="V86" s="2054"/>
      <c r="W86" s="2054"/>
      <c r="X86" s="2054"/>
      <c r="Y86" s="2054"/>
      <c r="Z86" s="2054"/>
      <c r="AA86" s="2054"/>
      <c r="AB86" s="2054"/>
      <c r="AC86" s="2054"/>
      <c r="AD86" s="2054"/>
      <c r="AE86" s="2054"/>
      <c r="AF86" s="2054"/>
      <c r="AG86" s="2054"/>
      <c r="AH86" s="2054"/>
      <c r="AI86" s="2054"/>
      <c r="AJ86" s="2054"/>
      <c r="AK86" s="2054"/>
      <c r="AL86" s="2054"/>
      <c r="AM86" s="2054"/>
      <c r="AN86" s="2054"/>
      <c r="AO86" s="2054"/>
      <c r="AP86" s="2054"/>
      <c r="AQ86" s="2054"/>
      <c r="AR86" s="2054"/>
      <c r="AS86" s="2054"/>
      <c r="AT86" s="2054"/>
      <c r="AU86" s="2054"/>
      <c r="AV86" s="2054"/>
      <c r="AW86" s="2054"/>
      <c r="AX86" s="2054"/>
      <c r="AY86" s="2054"/>
      <c r="AZ86" s="2054"/>
      <c r="BA86" s="2054"/>
      <c r="BB86" s="1899"/>
      <c r="BC86" s="1899"/>
      <c r="BD86" s="1899"/>
      <c r="BE86" s="1899"/>
      <c r="BF86" s="1899"/>
      <c r="BG86" s="1899"/>
    </row>
    <row r="87" spans="3:61" x14ac:dyDescent="0.3">
      <c r="D87" s="2054"/>
      <c r="E87" s="2054"/>
      <c r="F87" s="2054"/>
      <c r="G87" s="2054"/>
      <c r="H87" s="2054"/>
      <c r="I87" s="2054"/>
      <c r="J87" s="2054"/>
      <c r="K87" s="2054"/>
      <c r="L87" s="2054"/>
      <c r="M87" s="2055"/>
      <c r="N87" s="2054"/>
      <c r="O87" s="2054"/>
      <c r="P87" s="2054"/>
      <c r="Q87" s="2054"/>
      <c r="R87" s="2054"/>
      <c r="S87" s="2054"/>
      <c r="T87" s="2054"/>
      <c r="U87" s="2054"/>
      <c r="V87" s="2054"/>
      <c r="W87" s="2054"/>
      <c r="X87" s="2054"/>
      <c r="Y87" s="2054"/>
      <c r="Z87" s="2054"/>
      <c r="AA87" s="2054"/>
      <c r="AB87" s="2054"/>
      <c r="AC87" s="2054"/>
      <c r="AD87" s="2054"/>
      <c r="AE87" s="2054"/>
      <c r="AF87" s="2054"/>
      <c r="AG87" s="2054"/>
      <c r="AH87" s="2054"/>
      <c r="AI87" s="2054"/>
      <c r="AJ87" s="2054"/>
      <c r="AK87" s="2054"/>
      <c r="AL87" s="2054"/>
      <c r="AM87" s="2054"/>
      <c r="AN87" s="2054"/>
      <c r="AO87" s="2054"/>
      <c r="AP87" s="2054"/>
      <c r="AQ87" s="2054"/>
      <c r="AR87" s="2054"/>
      <c r="AS87" s="2054"/>
      <c r="AT87" s="2054"/>
      <c r="AU87" s="2054"/>
      <c r="AV87" s="2054"/>
      <c r="AW87" s="2054"/>
      <c r="AX87" s="2054"/>
      <c r="AY87" s="2054"/>
      <c r="AZ87" s="2054"/>
      <c r="BA87" s="2054"/>
      <c r="BB87" s="1899"/>
      <c r="BC87" s="1899"/>
      <c r="BD87" s="1899"/>
      <c r="BE87" s="1899"/>
      <c r="BF87" s="1899"/>
      <c r="BG87" s="1899"/>
    </row>
    <row r="88" spans="3:61" x14ac:dyDescent="0.3">
      <c r="E88" s="1899"/>
      <c r="F88" s="1899"/>
      <c r="G88" s="1899"/>
      <c r="H88" s="1899"/>
      <c r="I88" s="1899"/>
      <c r="J88" s="1899"/>
      <c r="K88" s="1899"/>
      <c r="L88" s="1899"/>
      <c r="M88" s="2056"/>
      <c r="N88" s="1899"/>
      <c r="O88" s="1899"/>
      <c r="P88" s="1899"/>
      <c r="Q88" s="1899"/>
      <c r="R88" s="1899"/>
      <c r="S88" s="1899"/>
      <c r="T88" s="1899"/>
      <c r="U88" s="1899"/>
      <c r="V88" s="1899"/>
      <c r="W88" s="1899"/>
      <c r="X88" s="1899"/>
      <c r="Y88" s="1899"/>
      <c r="Z88" s="1899"/>
      <c r="AA88" s="1899"/>
      <c r="AB88" s="1899"/>
      <c r="AC88" s="1899"/>
      <c r="AD88" s="1899"/>
      <c r="AE88" s="1899"/>
      <c r="AF88" s="1899"/>
      <c r="AG88" s="1899"/>
      <c r="AH88" s="1899"/>
      <c r="AI88" s="1899"/>
      <c r="AJ88" s="1899"/>
      <c r="AK88" s="1899"/>
      <c r="AL88" s="1899"/>
      <c r="AM88" s="1899"/>
      <c r="AN88" s="1899"/>
      <c r="AO88" s="1899"/>
      <c r="AP88" s="1899"/>
      <c r="AQ88" s="1899"/>
      <c r="AR88" s="1899"/>
      <c r="AS88" s="1899"/>
      <c r="AT88" s="1899"/>
      <c r="AU88" s="1899"/>
      <c r="AV88" s="1899"/>
      <c r="AW88" s="1899"/>
      <c r="AX88" s="1899"/>
      <c r="AY88" s="1899"/>
      <c r="AZ88" s="1899"/>
      <c r="BA88" s="1899"/>
      <c r="BB88" s="1899"/>
      <c r="BC88" s="1899"/>
      <c r="BD88" s="1899"/>
      <c r="BE88" s="1899"/>
      <c r="BF88" s="1899"/>
      <c r="BG88" s="1899"/>
    </row>
    <row r="89" spans="3:61" x14ac:dyDescent="0.3">
      <c r="E89" s="1899"/>
      <c r="F89" s="1899"/>
      <c r="G89" s="1899"/>
      <c r="H89" s="1899"/>
      <c r="I89" s="1899"/>
      <c r="J89" s="1899"/>
      <c r="K89" s="1899"/>
      <c r="L89" s="1899"/>
      <c r="M89" s="2056"/>
      <c r="N89" s="1899"/>
      <c r="O89" s="1899"/>
      <c r="P89" s="1899"/>
      <c r="Q89" s="1899"/>
      <c r="R89" s="1899"/>
      <c r="S89" s="1899"/>
      <c r="T89" s="1899"/>
      <c r="U89" s="1899"/>
      <c r="V89" s="1899"/>
      <c r="W89" s="1899"/>
      <c r="X89" s="1899"/>
      <c r="Y89" s="1899"/>
      <c r="Z89" s="1899"/>
      <c r="AA89" s="1899"/>
      <c r="AB89" s="1899"/>
      <c r="AC89" s="1899"/>
      <c r="AD89" s="1899"/>
      <c r="AE89" s="1899"/>
      <c r="AF89" s="1899"/>
      <c r="AG89" s="1899"/>
      <c r="AH89" s="1899"/>
      <c r="AI89" s="1899"/>
      <c r="AJ89" s="1899"/>
      <c r="AK89" s="1899"/>
      <c r="AL89" s="1899"/>
      <c r="AM89" s="1899"/>
      <c r="AN89" s="1899"/>
      <c r="AO89" s="1899"/>
      <c r="AP89" s="1899"/>
      <c r="AQ89" s="1899"/>
      <c r="AR89" s="1899"/>
      <c r="AS89" s="1899"/>
      <c r="AT89" s="1899"/>
      <c r="AU89" s="1899"/>
      <c r="AV89" s="1899"/>
      <c r="AW89" s="1899"/>
      <c r="AX89" s="1899"/>
      <c r="AY89" s="1899"/>
      <c r="AZ89" s="1899"/>
      <c r="BA89" s="1899"/>
      <c r="BB89" s="1899"/>
      <c r="BC89" s="1899"/>
      <c r="BD89" s="1899"/>
      <c r="BE89" s="1899"/>
      <c r="BF89" s="1899"/>
      <c r="BG89" s="1899"/>
    </row>
    <row r="90" spans="3:61" x14ac:dyDescent="0.3">
      <c r="E90" s="1899"/>
      <c r="F90" s="1899"/>
      <c r="G90" s="1899"/>
      <c r="H90" s="1899"/>
      <c r="I90" s="1899"/>
      <c r="J90" s="1899"/>
      <c r="K90" s="1899"/>
      <c r="L90" s="1899"/>
      <c r="M90" s="2056"/>
      <c r="N90" s="1899"/>
      <c r="O90" s="1899"/>
      <c r="P90" s="1899"/>
      <c r="Q90" s="1899"/>
      <c r="R90" s="1899"/>
      <c r="S90" s="1899"/>
      <c r="T90" s="1899"/>
      <c r="U90" s="1899"/>
      <c r="V90" s="1899"/>
      <c r="W90" s="1899"/>
      <c r="X90" s="1899"/>
      <c r="Y90" s="1899"/>
      <c r="Z90" s="1899"/>
      <c r="AA90" s="1899"/>
      <c r="AB90" s="1899"/>
      <c r="AC90" s="1899"/>
      <c r="AD90" s="1899"/>
      <c r="AE90" s="1899"/>
      <c r="AF90" s="1899"/>
      <c r="AG90" s="1899"/>
      <c r="AH90" s="1899"/>
      <c r="AI90" s="1899"/>
      <c r="AJ90" s="1899"/>
      <c r="AK90" s="1899"/>
      <c r="AL90" s="1899"/>
      <c r="AM90" s="1899"/>
      <c r="AN90" s="1899"/>
      <c r="AO90" s="1899"/>
      <c r="AP90" s="1899"/>
      <c r="AQ90" s="1899"/>
      <c r="AR90" s="1899"/>
      <c r="AS90" s="1899"/>
      <c r="AT90" s="1899"/>
      <c r="AU90" s="1899"/>
      <c r="AV90" s="1899"/>
      <c r="AW90" s="1899"/>
      <c r="AX90" s="1899"/>
      <c r="AY90" s="1899"/>
      <c r="AZ90" s="1899"/>
      <c r="BA90" s="1899"/>
      <c r="BB90" s="1899"/>
      <c r="BC90" s="1899"/>
      <c r="BD90" s="1899"/>
      <c r="BE90" s="1899"/>
      <c r="BF90" s="1899"/>
      <c r="BG90" s="1899"/>
    </row>
    <row r="91" spans="3:61" x14ac:dyDescent="0.3">
      <c r="E91" s="1899"/>
      <c r="F91" s="1899"/>
      <c r="G91" s="1899"/>
      <c r="H91" s="1899"/>
      <c r="I91" s="1899"/>
      <c r="J91" s="1899"/>
      <c r="K91" s="1899"/>
      <c r="L91" s="1899"/>
      <c r="M91" s="2056"/>
      <c r="N91" s="1899"/>
      <c r="O91" s="1899"/>
      <c r="P91" s="1899"/>
      <c r="Q91" s="1899"/>
      <c r="R91" s="1899"/>
      <c r="S91" s="1899"/>
      <c r="T91" s="1899"/>
      <c r="U91" s="1899"/>
      <c r="V91" s="1899"/>
      <c r="W91" s="1899"/>
      <c r="X91" s="1899"/>
      <c r="Y91" s="1899"/>
      <c r="Z91" s="1899"/>
      <c r="AA91" s="1899"/>
      <c r="AB91" s="1899"/>
      <c r="AC91" s="1899"/>
      <c r="AD91" s="1899"/>
      <c r="AE91" s="1899"/>
      <c r="AF91" s="1899"/>
      <c r="AG91" s="1899"/>
      <c r="AH91" s="1899"/>
      <c r="AI91" s="1899"/>
      <c r="AJ91" s="1899"/>
      <c r="AK91" s="1899"/>
      <c r="AL91" s="1899"/>
      <c r="AM91" s="1899"/>
      <c r="AN91" s="1899"/>
      <c r="AO91" s="1899"/>
      <c r="AP91" s="1899"/>
      <c r="AQ91" s="1899"/>
      <c r="AR91" s="1899"/>
      <c r="AS91" s="1899"/>
      <c r="AT91" s="1899"/>
      <c r="AU91" s="1899"/>
      <c r="AV91" s="1899"/>
      <c r="AW91" s="1899"/>
      <c r="AX91" s="1899"/>
      <c r="AY91" s="1899"/>
      <c r="AZ91" s="1899"/>
      <c r="BA91" s="1899"/>
      <c r="BB91" s="1899"/>
      <c r="BC91" s="1899"/>
      <c r="BD91" s="1899"/>
      <c r="BE91" s="1899"/>
      <c r="BF91" s="1899"/>
      <c r="BG91" s="1899"/>
    </row>
    <row r="92" spans="3:61" x14ac:dyDescent="0.3">
      <c r="E92" s="1899"/>
      <c r="F92" s="1899"/>
      <c r="G92" s="1899"/>
      <c r="H92" s="1899"/>
      <c r="I92" s="1899"/>
      <c r="J92" s="1899"/>
      <c r="K92" s="1899"/>
      <c r="L92" s="1899"/>
      <c r="M92" s="2056"/>
      <c r="N92" s="1899"/>
      <c r="O92" s="1899"/>
      <c r="P92" s="1899"/>
      <c r="Q92" s="1899"/>
      <c r="R92" s="1899"/>
      <c r="S92" s="1899"/>
      <c r="T92" s="1899"/>
      <c r="U92" s="1899"/>
      <c r="V92" s="1899"/>
      <c r="W92" s="1899"/>
      <c r="X92" s="1899"/>
      <c r="Y92" s="1899"/>
      <c r="Z92" s="1899"/>
      <c r="AA92" s="1899"/>
      <c r="AB92" s="1899"/>
      <c r="AC92" s="1899"/>
      <c r="AD92" s="1899"/>
      <c r="AE92" s="1899"/>
      <c r="AF92" s="1899"/>
      <c r="AG92" s="1899"/>
      <c r="AH92" s="1899"/>
      <c r="AI92" s="1899"/>
      <c r="AJ92" s="1899"/>
      <c r="AK92" s="1899"/>
      <c r="AL92" s="1899"/>
      <c r="AM92" s="1899"/>
      <c r="AN92" s="1899"/>
      <c r="AO92" s="1899"/>
      <c r="AP92" s="1899"/>
      <c r="AQ92" s="1899"/>
      <c r="AR92" s="1899"/>
      <c r="AS92" s="1899"/>
      <c r="AT92" s="1899"/>
      <c r="AU92" s="1899"/>
      <c r="AV92" s="1899"/>
      <c r="AW92" s="1899"/>
      <c r="AX92" s="1899"/>
      <c r="AY92" s="1899"/>
      <c r="AZ92" s="1899"/>
      <c r="BA92" s="1899"/>
      <c r="BB92" s="1899"/>
      <c r="BC92" s="1899"/>
      <c r="BD92" s="1899"/>
      <c r="BE92" s="1899"/>
      <c r="BF92" s="1899"/>
      <c r="BG92" s="1899"/>
    </row>
    <row r="93" spans="3:61" x14ac:dyDescent="0.3">
      <c r="E93" s="1899"/>
      <c r="F93" s="1899"/>
      <c r="G93" s="1899"/>
      <c r="H93" s="1899"/>
      <c r="I93" s="1899"/>
      <c r="J93" s="1899"/>
      <c r="K93" s="1899"/>
      <c r="L93" s="1899"/>
      <c r="M93" s="2056"/>
      <c r="N93" s="1899"/>
      <c r="O93" s="1899"/>
      <c r="P93" s="1899"/>
      <c r="Q93" s="1899"/>
      <c r="R93" s="1899"/>
      <c r="S93" s="1899"/>
      <c r="T93" s="1899"/>
      <c r="U93" s="1899"/>
      <c r="V93" s="1899"/>
      <c r="W93" s="1899"/>
      <c r="X93" s="1899"/>
      <c r="Y93" s="1899"/>
      <c r="Z93" s="1899"/>
      <c r="AA93" s="1899"/>
      <c r="AB93" s="1899"/>
      <c r="AC93" s="1899"/>
      <c r="AD93" s="1899"/>
      <c r="AE93" s="1899"/>
      <c r="AF93" s="1899"/>
      <c r="AG93" s="1899"/>
      <c r="AH93" s="1899"/>
      <c r="AI93" s="1899"/>
      <c r="AJ93" s="1899"/>
      <c r="AK93" s="1899"/>
      <c r="AL93" s="1899"/>
      <c r="AM93" s="1899"/>
      <c r="AN93" s="1899"/>
      <c r="AO93" s="1899"/>
      <c r="AP93" s="1899"/>
      <c r="AQ93" s="1899"/>
      <c r="AR93" s="1899"/>
      <c r="AS93" s="1899"/>
      <c r="AT93" s="1899"/>
      <c r="AU93" s="1899"/>
      <c r="AV93" s="1899"/>
      <c r="AW93" s="1899"/>
      <c r="AX93" s="1899"/>
      <c r="AY93" s="1899"/>
      <c r="AZ93" s="1899"/>
      <c r="BA93" s="1899"/>
      <c r="BB93" s="1899"/>
      <c r="BC93" s="1899"/>
      <c r="BD93" s="1899"/>
      <c r="BE93" s="1899"/>
      <c r="BF93" s="1899"/>
      <c r="BG93" s="1899"/>
    </row>
    <row r="94" spans="3:61" x14ac:dyDescent="0.3">
      <c r="E94" s="1899"/>
      <c r="F94" s="1899"/>
      <c r="G94" s="1899"/>
      <c r="H94" s="1899"/>
      <c r="I94" s="1899"/>
      <c r="J94" s="1899"/>
      <c r="K94" s="1899"/>
      <c r="L94" s="1899"/>
      <c r="M94" s="2056"/>
      <c r="N94" s="1899"/>
      <c r="O94" s="1899"/>
      <c r="P94" s="1899"/>
      <c r="Q94" s="1899"/>
      <c r="R94" s="1899"/>
      <c r="S94" s="1899"/>
      <c r="T94" s="1899"/>
      <c r="U94" s="1899"/>
      <c r="V94" s="1899"/>
      <c r="W94" s="1899"/>
      <c r="X94" s="1899"/>
      <c r="Y94" s="1899"/>
      <c r="Z94" s="1899"/>
      <c r="AA94" s="1899"/>
      <c r="AB94" s="1899"/>
      <c r="AC94" s="1899"/>
      <c r="AD94" s="1899"/>
      <c r="AE94" s="1899"/>
      <c r="AF94" s="1899"/>
      <c r="AG94" s="1899"/>
      <c r="AH94" s="1899"/>
      <c r="AI94" s="1899"/>
      <c r="AJ94" s="1899"/>
      <c r="AK94" s="1899"/>
      <c r="AL94" s="1899"/>
      <c r="AM94" s="1899"/>
      <c r="AN94" s="1899"/>
      <c r="AO94" s="1899"/>
      <c r="AP94" s="1899"/>
      <c r="AQ94" s="1899"/>
      <c r="AR94" s="1899"/>
      <c r="AS94" s="1899"/>
      <c r="AT94" s="1899"/>
      <c r="AU94" s="1899"/>
      <c r="AV94" s="1899"/>
      <c r="AW94" s="1899"/>
      <c r="AX94" s="1899"/>
      <c r="AY94" s="1899"/>
      <c r="AZ94" s="1899"/>
      <c r="BA94" s="1899"/>
      <c r="BB94" s="1899"/>
      <c r="BC94" s="1899"/>
      <c r="BD94" s="1899"/>
      <c r="BE94" s="1899"/>
      <c r="BF94" s="1899"/>
      <c r="BG94" s="1899"/>
    </row>
    <row r="95" spans="3:61" x14ac:dyDescent="0.3">
      <c r="E95" s="1899"/>
      <c r="F95" s="1899"/>
      <c r="G95" s="1899"/>
      <c r="H95" s="1899"/>
      <c r="I95" s="1899"/>
      <c r="J95" s="1899"/>
      <c r="K95" s="1899"/>
      <c r="L95" s="1899"/>
      <c r="M95" s="2056"/>
      <c r="N95" s="1899"/>
      <c r="O95" s="1899"/>
      <c r="P95" s="1899"/>
      <c r="Q95" s="1899"/>
      <c r="R95" s="1899"/>
      <c r="S95" s="1899"/>
      <c r="T95" s="1899"/>
      <c r="U95" s="1899"/>
      <c r="V95" s="1899"/>
      <c r="W95" s="1899"/>
      <c r="X95" s="1899"/>
      <c r="Y95" s="1899"/>
      <c r="Z95" s="1899"/>
      <c r="AA95" s="1899"/>
      <c r="AB95" s="1899"/>
      <c r="AC95" s="1899"/>
      <c r="AD95" s="1899"/>
      <c r="AE95" s="1899"/>
      <c r="AF95" s="1899"/>
      <c r="AG95" s="1899"/>
      <c r="AH95" s="1899"/>
      <c r="AI95" s="1899"/>
      <c r="AJ95" s="1899"/>
      <c r="AK95" s="1899"/>
      <c r="AL95" s="1899"/>
      <c r="AM95" s="1899"/>
      <c r="AN95" s="1899"/>
      <c r="AO95" s="1899"/>
      <c r="AP95" s="1899"/>
      <c r="AQ95" s="1899"/>
      <c r="AR95" s="1899"/>
      <c r="AS95" s="1899"/>
      <c r="AT95" s="1899"/>
      <c r="AU95" s="1899"/>
      <c r="AV95" s="1899"/>
      <c r="AW95" s="1899"/>
      <c r="AX95" s="1899"/>
      <c r="AY95" s="1899"/>
      <c r="AZ95" s="1899"/>
      <c r="BA95" s="1899"/>
      <c r="BB95" s="1899"/>
      <c r="BC95" s="1899"/>
      <c r="BD95" s="1899"/>
      <c r="BE95" s="1899"/>
      <c r="BF95" s="1899"/>
      <c r="BG95" s="1899"/>
    </row>
    <row r="96" spans="3:61" x14ac:dyDescent="0.3">
      <c r="E96" s="1899"/>
      <c r="F96" s="1899"/>
      <c r="G96" s="1899"/>
      <c r="H96" s="1899"/>
      <c r="I96" s="1899"/>
      <c r="J96" s="1899"/>
      <c r="K96" s="1899"/>
      <c r="L96" s="1899"/>
      <c r="M96" s="2056"/>
      <c r="N96" s="1899"/>
      <c r="O96" s="1899"/>
      <c r="P96" s="1899"/>
      <c r="Q96" s="1899"/>
      <c r="R96" s="1899"/>
      <c r="S96" s="1899"/>
      <c r="T96" s="1899"/>
      <c r="U96" s="1899"/>
      <c r="V96" s="1899"/>
      <c r="W96" s="1899"/>
      <c r="X96" s="1899"/>
      <c r="Y96" s="1899"/>
      <c r="Z96" s="1899"/>
      <c r="AA96" s="1899"/>
      <c r="AB96" s="1899"/>
      <c r="AC96" s="1899"/>
      <c r="AD96" s="1899"/>
      <c r="AE96" s="1899"/>
      <c r="AF96" s="1899"/>
      <c r="AG96" s="1899"/>
      <c r="AH96" s="1899"/>
      <c r="AI96" s="1899"/>
      <c r="AJ96" s="1899"/>
      <c r="AK96" s="1899"/>
      <c r="AL96" s="1899"/>
      <c r="AM96" s="1899"/>
      <c r="AN96" s="1899"/>
      <c r="AO96" s="1899"/>
      <c r="AP96" s="1899"/>
      <c r="AQ96" s="1899"/>
      <c r="AR96" s="1899"/>
      <c r="AS96" s="1899"/>
      <c r="AT96" s="1899"/>
      <c r="AU96" s="1899"/>
      <c r="AV96" s="1899"/>
      <c r="AW96" s="1899"/>
      <c r="AX96" s="1899"/>
      <c r="AY96" s="1899"/>
      <c r="AZ96" s="1899"/>
      <c r="BA96" s="1899"/>
      <c r="BB96" s="1899"/>
      <c r="BC96" s="1899"/>
      <c r="BD96" s="1899"/>
      <c r="BE96" s="1899"/>
      <c r="BF96" s="1899"/>
      <c r="BG96" s="1899"/>
    </row>
    <row r="97" spans="5:59" x14ac:dyDescent="0.3">
      <c r="E97" s="1899"/>
      <c r="F97" s="1899"/>
      <c r="G97" s="1899"/>
      <c r="H97" s="1899"/>
      <c r="I97" s="1899"/>
      <c r="J97" s="1899"/>
      <c r="K97" s="1899"/>
      <c r="L97" s="1899"/>
      <c r="M97" s="2056"/>
      <c r="N97" s="1899"/>
      <c r="O97" s="1899"/>
      <c r="P97" s="1899"/>
      <c r="Q97" s="1899"/>
      <c r="R97" s="1899"/>
      <c r="S97" s="1899"/>
      <c r="T97" s="1899"/>
      <c r="U97" s="1899"/>
      <c r="V97" s="1899"/>
      <c r="W97" s="1899"/>
      <c r="X97" s="1899"/>
      <c r="Y97" s="1899"/>
      <c r="Z97" s="1899"/>
      <c r="AA97" s="1899"/>
      <c r="AB97" s="1899"/>
      <c r="AC97" s="1899"/>
      <c r="AD97" s="1899"/>
      <c r="AE97" s="1899"/>
      <c r="AF97" s="1899"/>
      <c r="AG97" s="1899"/>
      <c r="AH97" s="1899"/>
      <c r="AI97" s="1899"/>
      <c r="AJ97" s="1899"/>
      <c r="AK97" s="1899"/>
      <c r="AL97" s="1899"/>
      <c r="AM97" s="1899"/>
      <c r="AN97" s="1899"/>
      <c r="AO97" s="1899"/>
      <c r="AP97" s="1899"/>
      <c r="AQ97" s="1899"/>
      <c r="AR97" s="1899"/>
      <c r="AS97" s="1899"/>
      <c r="AT97" s="1899"/>
      <c r="AU97" s="1899"/>
      <c r="AV97" s="1899"/>
      <c r="AW97" s="1899"/>
      <c r="AX97" s="1899"/>
      <c r="AY97" s="1899"/>
      <c r="AZ97" s="1899"/>
      <c r="BA97" s="1899"/>
      <c r="BB97" s="1899"/>
      <c r="BC97" s="1899"/>
      <c r="BD97" s="1899"/>
      <c r="BE97" s="1899"/>
      <c r="BF97" s="1899"/>
      <c r="BG97" s="1899"/>
    </row>
    <row r="98" spans="5:59" x14ac:dyDescent="0.3">
      <c r="E98" s="1899"/>
      <c r="F98" s="1899"/>
      <c r="G98" s="1899"/>
      <c r="H98" s="1899"/>
      <c r="I98" s="1899"/>
      <c r="J98" s="1899"/>
      <c r="K98" s="1899"/>
      <c r="L98" s="1899"/>
      <c r="M98" s="2056"/>
      <c r="N98" s="1899"/>
      <c r="O98" s="1899"/>
      <c r="P98" s="1899"/>
      <c r="Q98" s="1899"/>
      <c r="R98" s="1899"/>
      <c r="S98" s="1899"/>
      <c r="T98" s="1899"/>
      <c r="U98" s="1899"/>
      <c r="V98" s="1899"/>
      <c r="W98" s="1899"/>
      <c r="X98" s="1899"/>
      <c r="Y98" s="1899"/>
      <c r="Z98" s="1899"/>
      <c r="AA98" s="1899"/>
      <c r="AB98" s="1899"/>
      <c r="AC98" s="1899"/>
      <c r="AD98" s="1899"/>
      <c r="AE98" s="1899"/>
      <c r="AF98" s="1899"/>
      <c r="AG98" s="1899"/>
      <c r="AH98" s="1899"/>
      <c r="AI98" s="1899"/>
      <c r="AJ98" s="1899"/>
      <c r="AK98" s="1899"/>
      <c r="AL98" s="1899"/>
      <c r="AM98" s="1899"/>
      <c r="AN98" s="1899"/>
      <c r="AO98" s="1899"/>
      <c r="AP98" s="1899"/>
      <c r="AQ98" s="1899"/>
      <c r="AR98" s="1899"/>
      <c r="AS98" s="1899"/>
      <c r="AT98" s="1899"/>
      <c r="AU98" s="1899"/>
      <c r="AV98" s="1899"/>
      <c r="AW98" s="1899"/>
      <c r="AX98" s="1899"/>
      <c r="AY98" s="1899"/>
      <c r="AZ98" s="1899"/>
      <c r="BA98" s="1899"/>
    </row>
    <row r="100" spans="5:59" x14ac:dyDescent="0.3">
      <c r="Q100" s="2053"/>
    </row>
    <row r="101" spans="5:59" x14ac:dyDescent="0.3">
      <c r="Q101" s="2053"/>
    </row>
    <row r="130295" spans="5:8" x14ac:dyDescent="0.3">
      <c r="E130295" s="2057"/>
      <c r="F130295" s="2058"/>
      <c r="G130295" s="2058"/>
      <c r="H130295" s="2058" t="s">
        <v>1797</v>
      </c>
    </row>
  </sheetData>
  <mergeCells count="13">
    <mergeCell ref="BB31:BB36"/>
    <mergeCell ref="BE31:BI31"/>
    <mergeCell ref="BC33:BC39"/>
    <mergeCell ref="BD10:BI10"/>
    <mergeCell ref="BE11:BI11"/>
    <mergeCell ref="BC13:BC19"/>
    <mergeCell ref="BC29:BH29"/>
    <mergeCell ref="BD30:BI30"/>
    <mergeCell ref="BE57:BI57"/>
    <mergeCell ref="BC59:BC65"/>
    <mergeCell ref="BD74:BI74"/>
    <mergeCell ref="BE75:BI75"/>
    <mergeCell ref="BC77:BC83"/>
  </mergeCells>
  <conditionalFormatting sqref="BB74 E75:BA75">
    <cfRule type="expression" dxfId="1" priority="1">
      <formula>E74&lt;0</formula>
    </cfRule>
    <cfRule type="expression" dxfId="0" priority="2">
      <formula>E74&gt;0</formula>
    </cfRule>
  </conditionalFormatting>
  <dataValidations disablePrompts="1" count="4">
    <dataValidation allowBlank="1" showErrorMessage="1" promptTitle="Change in non-cash NWC" prompt="link from Balance Sheet" sqref="WWX983036 WNB983036 WDF983036 VTJ983036 VJN983036 UZR983036 UPV983036 UFZ983036 TWD983036 TMH983036 TCL983036 SSP983036 SIT983036 RYX983036 RPB983036 RFF983036 QVJ983036 QLN983036 QBR983036 PRV983036 PHZ983036 OYD983036 OOH983036 OEL983036 NUP983036 NKT983036 NAX983036 MRB983036 MHF983036 LXJ983036 LNN983036 LDR983036 KTV983036 KJZ983036 KAD983036 JQH983036 JGL983036 IWP983036 IMT983036 ICX983036 HTB983036 HJF983036 GZJ983036 GPN983036 GFR983036 FVV983036 FLZ983036 FCD983036 ESH983036 EIL983036 DYP983036 DOT983036 DEX983036 CVB983036 CLF983036 CBJ983036 BRN983036 BHR983036 AXV983036 ANZ983036 AED983036 UH983036 KL983036 C983046 WWX917500 WNB917500 WDF917500 VTJ917500 VJN917500 UZR917500 UPV917500 UFZ917500 TWD917500 TMH917500 TCL917500 SSP917500 SIT917500 RYX917500 RPB917500 RFF917500 QVJ917500 QLN917500 QBR917500 PRV917500 PHZ917500 OYD917500 OOH917500 OEL917500 NUP917500 NKT917500 NAX917500 MRB917500 MHF917500 LXJ917500 LNN917500 LDR917500 KTV917500 KJZ917500 KAD917500 JQH917500 JGL917500 IWP917500 IMT917500 ICX917500 HTB917500 HJF917500 GZJ917500 GPN917500 GFR917500 FVV917500 FLZ917500 FCD917500 ESH917500 EIL917500 DYP917500 DOT917500 DEX917500 CVB917500 CLF917500 CBJ917500 BRN917500 BHR917500 AXV917500 ANZ917500 AED917500 UH917500 KL917500 C917510 WWX851964 WNB851964 WDF851964 VTJ851964 VJN851964 UZR851964 UPV851964 UFZ851964 TWD851964 TMH851964 TCL851964 SSP851964 SIT851964 RYX851964 RPB851964 RFF851964 QVJ851964 QLN851964 QBR851964 PRV851964 PHZ851964 OYD851964 OOH851964 OEL851964 NUP851964 NKT851964 NAX851964 MRB851964 MHF851964 LXJ851964 LNN851964 LDR851964 KTV851964 KJZ851964 KAD851964 JQH851964 JGL851964 IWP851964 IMT851964 ICX851964 HTB851964 HJF851964 GZJ851964 GPN851964 GFR851964 FVV851964 FLZ851964 FCD851964 ESH851964 EIL851964 DYP851964 DOT851964 DEX851964 CVB851964 CLF851964 CBJ851964 BRN851964 BHR851964 AXV851964 ANZ851964 AED851964 UH851964 KL851964 C851974 WWX786428 WNB786428 WDF786428 VTJ786428 VJN786428 UZR786428 UPV786428 UFZ786428 TWD786428 TMH786428 TCL786428 SSP786428 SIT786428 RYX786428 RPB786428 RFF786428 QVJ786428 QLN786428 QBR786428 PRV786428 PHZ786428 OYD786428 OOH786428 OEL786428 NUP786428 NKT786428 NAX786428 MRB786428 MHF786428 LXJ786428 LNN786428 LDR786428 KTV786428 KJZ786428 KAD786428 JQH786428 JGL786428 IWP786428 IMT786428 ICX786428 HTB786428 HJF786428 GZJ786428 GPN786428 GFR786428 FVV786428 FLZ786428 FCD786428 ESH786428 EIL786428 DYP786428 DOT786428 DEX786428 CVB786428 CLF786428 CBJ786428 BRN786428 BHR786428 AXV786428 ANZ786428 AED786428 UH786428 KL786428 C786438 WWX720892 WNB720892 WDF720892 VTJ720892 VJN720892 UZR720892 UPV720892 UFZ720892 TWD720892 TMH720892 TCL720892 SSP720892 SIT720892 RYX720892 RPB720892 RFF720892 QVJ720892 QLN720892 QBR720892 PRV720892 PHZ720892 OYD720892 OOH720892 OEL720892 NUP720892 NKT720892 NAX720892 MRB720892 MHF720892 LXJ720892 LNN720892 LDR720892 KTV720892 KJZ720892 KAD720892 JQH720892 JGL720892 IWP720892 IMT720892 ICX720892 HTB720892 HJF720892 GZJ720892 GPN720892 GFR720892 FVV720892 FLZ720892 FCD720892 ESH720892 EIL720892 DYP720892 DOT720892 DEX720892 CVB720892 CLF720892 CBJ720892 BRN720892 BHR720892 AXV720892 ANZ720892 AED720892 UH720892 KL720892 C720902 WWX655356 WNB655356 WDF655356 VTJ655356 VJN655356 UZR655356 UPV655356 UFZ655356 TWD655356 TMH655356 TCL655356 SSP655356 SIT655356 RYX655356 RPB655356 RFF655356 QVJ655356 QLN655356 QBR655356 PRV655356 PHZ655356 OYD655356 OOH655356 OEL655356 NUP655356 NKT655356 NAX655356 MRB655356 MHF655356 LXJ655356 LNN655356 LDR655356 KTV655356 KJZ655356 KAD655356 JQH655356 JGL655356 IWP655356 IMT655356 ICX655356 HTB655356 HJF655356 GZJ655356 GPN655356 GFR655356 FVV655356 FLZ655356 FCD655356 ESH655356 EIL655356 DYP655356 DOT655356 DEX655356 CVB655356 CLF655356 CBJ655356 BRN655356 BHR655356 AXV655356 ANZ655356 AED655356 UH655356 KL655356 C655366 WWX589820 WNB589820 WDF589820 VTJ589820 VJN589820 UZR589820 UPV589820 UFZ589820 TWD589820 TMH589820 TCL589820 SSP589820 SIT589820 RYX589820 RPB589820 RFF589820 QVJ589820 QLN589820 QBR589820 PRV589820 PHZ589820 OYD589820 OOH589820 OEL589820 NUP589820 NKT589820 NAX589820 MRB589820 MHF589820 LXJ589820 LNN589820 LDR589820 KTV589820 KJZ589820 KAD589820 JQH589820 JGL589820 IWP589820 IMT589820 ICX589820 HTB589820 HJF589820 GZJ589820 GPN589820 GFR589820 FVV589820 FLZ589820 FCD589820 ESH589820 EIL589820 DYP589820 DOT589820 DEX589820 CVB589820 CLF589820 CBJ589820 BRN589820 BHR589820 AXV589820 ANZ589820 AED589820 UH589820 KL589820 C589830 WWX524284 WNB524284 WDF524284 VTJ524284 VJN524284 UZR524284 UPV524284 UFZ524284 TWD524284 TMH524284 TCL524284 SSP524284 SIT524284 RYX524284 RPB524284 RFF524284 QVJ524284 QLN524284 QBR524284 PRV524284 PHZ524284 OYD524284 OOH524284 OEL524284 NUP524284 NKT524284 NAX524284 MRB524284 MHF524284 LXJ524284 LNN524284 LDR524284 KTV524284 KJZ524284 KAD524284 JQH524284 JGL524284 IWP524284 IMT524284 ICX524284 HTB524284 HJF524284 GZJ524284 GPN524284 GFR524284 FVV524284 FLZ524284 FCD524284 ESH524284 EIL524284 DYP524284 DOT524284 DEX524284 CVB524284 CLF524284 CBJ524284 BRN524284 BHR524284 AXV524284 ANZ524284 AED524284 UH524284 KL524284 C524294 WWX458748 WNB458748 WDF458748 VTJ458748 VJN458748 UZR458748 UPV458748 UFZ458748 TWD458748 TMH458748 TCL458748 SSP458748 SIT458748 RYX458748 RPB458748 RFF458748 QVJ458748 QLN458748 QBR458748 PRV458748 PHZ458748 OYD458748 OOH458748 OEL458748 NUP458748 NKT458748 NAX458748 MRB458748 MHF458748 LXJ458748 LNN458748 LDR458748 KTV458748 KJZ458748 KAD458748 JQH458748 JGL458748 IWP458748 IMT458748 ICX458748 HTB458748 HJF458748 GZJ458748 GPN458748 GFR458748 FVV458748 FLZ458748 FCD458748 ESH458748 EIL458748 DYP458748 DOT458748 DEX458748 CVB458748 CLF458748 CBJ458748 BRN458748 BHR458748 AXV458748 ANZ458748 AED458748 UH458748 KL458748 C458758 WWX393212 WNB393212 WDF393212 VTJ393212 VJN393212 UZR393212 UPV393212 UFZ393212 TWD393212 TMH393212 TCL393212 SSP393212 SIT393212 RYX393212 RPB393212 RFF393212 QVJ393212 QLN393212 QBR393212 PRV393212 PHZ393212 OYD393212 OOH393212 OEL393212 NUP393212 NKT393212 NAX393212 MRB393212 MHF393212 LXJ393212 LNN393212 LDR393212 KTV393212 KJZ393212 KAD393212 JQH393212 JGL393212 IWP393212 IMT393212 ICX393212 HTB393212 HJF393212 GZJ393212 GPN393212 GFR393212 FVV393212 FLZ393212 FCD393212 ESH393212 EIL393212 DYP393212 DOT393212 DEX393212 CVB393212 CLF393212 CBJ393212 BRN393212 BHR393212 AXV393212 ANZ393212 AED393212 UH393212 KL393212 C393222 WWX327676 WNB327676 WDF327676 VTJ327676 VJN327676 UZR327676 UPV327676 UFZ327676 TWD327676 TMH327676 TCL327676 SSP327676 SIT327676 RYX327676 RPB327676 RFF327676 QVJ327676 QLN327676 QBR327676 PRV327676 PHZ327676 OYD327676 OOH327676 OEL327676 NUP327676 NKT327676 NAX327676 MRB327676 MHF327676 LXJ327676 LNN327676 LDR327676 KTV327676 KJZ327676 KAD327676 JQH327676 JGL327676 IWP327676 IMT327676 ICX327676 HTB327676 HJF327676 GZJ327676 GPN327676 GFR327676 FVV327676 FLZ327676 FCD327676 ESH327676 EIL327676 DYP327676 DOT327676 DEX327676 CVB327676 CLF327676 CBJ327676 BRN327676 BHR327676 AXV327676 ANZ327676 AED327676 UH327676 KL327676 C327686 WWX262140 WNB262140 WDF262140 VTJ262140 VJN262140 UZR262140 UPV262140 UFZ262140 TWD262140 TMH262140 TCL262140 SSP262140 SIT262140 RYX262140 RPB262140 RFF262140 QVJ262140 QLN262140 QBR262140 PRV262140 PHZ262140 OYD262140 OOH262140 OEL262140 NUP262140 NKT262140 NAX262140 MRB262140 MHF262140 LXJ262140 LNN262140 LDR262140 KTV262140 KJZ262140 KAD262140 JQH262140 JGL262140 IWP262140 IMT262140 ICX262140 HTB262140 HJF262140 GZJ262140 GPN262140 GFR262140 FVV262140 FLZ262140 FCD262140 ESH262140 EIL262140 DYP262140 DOT262140 DEX262140 CVB262140 CLF262140 CBJ262140 BRN262140 BHR262140 AXV262140 ANZ262140 AED262140 UH262140 KL262140 C262150 WWX196604 WNB196604 WDF196604 VTJ196604 VJN196604 UZR196604 UPV196604 UFZ196604 TWD196604 TMH196604 TCL196604 SSP196604 SIT196604 RYX196604 RPB196604 RFF196604 QVJ196604 QLN196604 QBR196604 PRV196604 PHZ196604 OYD196604 OOH196604 OEL196604 NUP196604 NKT196604 NAX196604 MRB196604 MHF196604 LXJ196604 LNN196604 LDR196604 KTV196604 KJZ196604 KAD196604 JQH196604 JGL196604 IWP196604 IMT196604 ICX196604 HTB196604 HJF196604 GZJ196604 GPN196604 GFR196604 FVV196604 FLZ196604 FCD196604 ESH196604 EIL196604 DYP196604 DOT196604 DEX196604 CVB196604 CLF196604 CBJ196604 BRN196604 BHR196604 AXV196604 ANZ196604 AED196604 UH196604 KL196604 C196614 WWX131068 WNB131068 WDF131068 VTJ131068 VJN131068 UZR131068 UPV131068 UFZ131068 TWD131068 TMH131068 TCL131068 SSP131068 SIT131068 RYX131068 RPB131068 RFF131068 QVJ131068 QLN131068 QBR131068 PRV131068 PHZ131068 OYD131068 OOH131068 OEL131068 NUP131068 NKT131068 NAX131068 MRB131068 MHF131068 LXJ131068 LNN131068 LDR131068 KTV131068 KJZ131068 KAD131068 JQH131068 JGL131068 IWP131068 IMT131068 ICX131068 HTB131068 HJF131068 GZJ131068 GPN131068 GFR131068 FVV131068 FLZ131068 FCD131068 ESH131068 EIL131068 DYP131068 DOT131068 DEX131068 CVB131068 CLF131068 CBJ131068 BRN131068 BHR131068 AXV131068 ANZ131068 AED131068 UH131068 KL131068 C131078 WWX65532 WNB65532 WDF65532 VTJ65532 VJN65532 UZR65532 UPV65532 UFZ65532 TWD65532 TMH65532 TCL65532 SSP65532 SIT65532 RYX65532 RPB65532 RFF65532 QVJ65532 QLN65532 QBR65532 PRV65532 PHZ65532 OYD65532 OOH65532 OEL65532 NUP65532 NKT65532 NAX65532 MRB65532 MHF65532 LXJ65532 LNN65532 LDR65532 KTV65532 KJZ65532 KAD65532 JQH65532 JGL65532 IWP65532 IMT65532 ICX65532 HTB65532 HJF65532 GZJ65532 GPN65532 GFR65532 FVV65532 FLZ65532 FCD65532 ESH65532 EIL65532 DYP65532 DOT65532 DEX65532 CVB65532 CLF65532 CBJ65532 BRN65532 BHR65532 AXV65532 ANZ65532 AED65532 UH65532 KL65532 C65542 WWU27 WMY27 WDC27 VTG27 VJK27 UZO27 UPS27 UFW27 TWA27 TME27 TCI27 SSM27 SIQ27 RYU27 ROY27 RFC27 QVG27 QLK27 QBO27 PRS27 PHW27 OYA27 OOE27 OEI27 NUM27 NKQ27 NAU27 MQY27 MHC27 LXG27 LNK27 LDO27 KTS27 KJW27 KAA27 JQE27 JGI27 IWM27 IMQ27 ICU27 HSY27 HJC27 GZG27 GPK27 GFO27 FVS27 FLW27 FCA27 ESE27 EII27 DYM27 DOQ27 DEU27 CUY27 CLC27 CBG27 BRK27 BHO27 AXS27 ANW27 AEA27 UE27 KI27" xr:uid="{B3F7C3D4-6789-428E-9DE5-D3A7481DA885}"/>
    <dataValidation allowBlank="1" showErrorMessage="1" sqref="KI14 WWX983024 WNB983024 WDF983024 VTJ983024 VJN983024 UZR983024 UPV983024 UFZ983024 TWD983024 TMH983024 TCL983024 SSP983024 SIT983024 RYX983024 RPB983024 RFF983024 QVJ983024 QLN983024 QBR983024 PRV983024 PHZ983024 OYD983024 OOH983024 OEL983024 NUP983024 NKT983024 NAX983024 MRB983024 MHF983024 LXJ983024 LNN983024 LDR983024 KTV983024 KJZ983024 KAD983024 JQH983024 JGL983024 IWP983024 IMT983024 ICX983024 HTB983024 HJF983024 GZJ983024 GPN983024 GFR983024 FVV983024 FLZ983024 FCD983024 ESH983024 EIL983024 DYP983024 DOT983024 DEX983024 CVB983024 CLF983024 CBJ983024 BRN983024 BHR983024 AXV983024 ANZ983024 AED983024 UH983024 KL983024 C983034 WWX917488 WNB917488 WDF917488 VTJ917488 VJN917488 UZR917488 UPV917488 UFZ917488 TWD917488 TMH917488 TCL917488 SSP917488 SIT917488 RYX917488 RPB917488 RFF917488 QVJ917488 QLN917488 QBR917488 PRV917488 PHZ917488 OYD917488 OOH917488 OEL917488 NUP917488 NKT917488 NAX917488 MRB917488 MHF917488 LXJ917488 LNN917488 LDR917488 KTV917488 KJZ917488 KAD917488 JQH917488 JGL917488 IWP917488 IMT917488 ICX917488 HTB917488 HJF917488 GZJ917488 GPN917488 GFR917488 FVV917488 FLZ917488 FCD917488 ESH917488 EIL917488 DYP917488 DOT917488 DEX917488 CVB917488 CLF917488 CBJ917488 BRN917488 BHR917488 AXV917488 ANZ917488 AED917488 UH917488 KL917488 C917498 WWX851952 WNB851952 WDF851952 VTJ851952 VJN851952 UZR851952 UPV851952 UFZ851952 TWD851952 TMH851952 TCL851952 SSP851952 SIT851952 RYX851952 RPB851952 RFF851952 QVJ851952 QLN851952 QBR851952 PRV851952 PHZ851952 OYD851952 OOH851952 OEL851952 NUP851952 NKT851952 NAX851952 MRB851952 MHF851952 LXJ851952 LNN851952 LDR851952 KTV851952 KJZ851952 KAD851952 JQH851952 JGL851952 IWP851952 IMT851952 ICX851952 HTB851952 HJF851952 GZJ851952 GPN851952 GFR851952 FVV851952 FLZ851952 FCD851952 ESH851952 EIL851952 DYP851952 DOT851952 DEX851952 CVB851952 CLF851952 CBJ851952 BRN851952 BHR851952 AXV851952 ANZ851952 AED851952 UH851952 KL851952 C851962 WWX786416 WNB786416 WDF786416 VTJ786416 VJN786416 UZR786416 UPV786416 UFZ786416 TWD786416 TMH786416 TCL786416 SSP786416 SIT786416 RYX786416 RPB786416 RFF786416 QVJ786416 QLN786416 QBR786416 PRV786416 PHZ786416 OYD786416 OOH786416 OEL786416 NUP786416 NKT786416 NAX786416 MRB786416 MHF786416 LXJ786416 LNN786416 LDR786416 KTV786416 KJZ786416 KAD786416 JQH786416 JGL786416 IWP786416 IMT786416 ICX786416 HTB786416 HJF786416 GZJ786416 GPN786416 GFR786416 FVV786416 FLZ786416 FCD786416 ESH786416 EIL786416 DYP786416 DOT786416 DEX786416 CVB786416 CLF786416 CBJ786416 BRN786416 BHR786416 AXV786416 ANZ786416 AED786416 UH786416 KL786416 C786426 WWX720880 WNB720880 WDF720880 VTJ720880 VJN720880 UZR720880 UPV720880 UFZ720880 TWD720880 TMH720880 TCL720880 SSP720880 SIT720880 RYX720880 RPB720880 RFF720880 QVJ720880 QLN720880 QBR720880 PRV720880 PHZ720880 OYD720880 OOH720880 OEL720880 NUP720880 NKT720880 NAX720880 MRB720880 MHF720880 LXJ720880 LNN720880 LDR720880 KTV720880 KJZ720880 KAD720880 JQH720880 JGL720880 IWP720880 IMT720880 ICX720880 HTB720880 HJF720880 GZJ720880 GPN720880 GFR720880 FVV720880 FLZ720880 FCD720880 ESH720880 EIL720880 DYP720880 DOT720880 DEX720880 CVB720880 CLF720880 CBJ720880 BRN720880 BHR720880 AXV720880 ANZ720880 AED720880 UH720880 KL720880 C720890 WWX655344 WNB655344 WDF655344 VTJ655344 VJN655344 UZR655344 UPV655344 UFZ655344 TWD655344 TMH655344 TCL655344 SSP655344 SIT655344 RYX655344 RPB655344 RFF655344 QVJ655344 QLN655344 QBR655344 PRV655344 PHZ655344 OYD655344 OOH655344 OEL655344 NUP655344 NKT655344 NAX655344 MRB655344 MHF655344 LXJ655344 LNN655344 LDR655344 KTV655344 KJZ655344 KAD655344 JQH655344 JGL655344 IWP655344 IMT655344 ICX655344 HTB655344 HJF655344 GZJ655344 GPN655344 GFR655344 FVV655344 FLZ655344 FCD655344 ESH655344 EIL655344 DYP655344 DOT655344 DEX655344 CVB655344 CLF655344 CBJ655344 BRN655344 BHR655344 AXV655344 ANZ655344 AED655344 UH655344 KL655344 C655354 WWX589808 WNB589808 WDF589808 VTJ589808 VJN589808 UZR589808 UPV589808 UFZ589808 TWD589808 TMH589808 TCL589808 SSP589808 SIT589808 RYX589808 RPB589808 RFF589808 QVJ589808 QLN589808 QBR589808 PRV589808 PHZ589808 OYD589808 OOH589808 OEL589808 NUP589808 NKT589808 NAX589808 MRB589808 MHF589808 LXJ589808 LNN589808 LDR589808 KTV589808 KJZ589808 KAD589808 JQH589808 JGL589808 IWP589808 IMT589808 ICX589808 HTB589808 HJF589808 GZJ589808 GPN589808 GFR589808 FVV589808 FLZ589808 FCD589808 ESH589808 EIL589808 DYP589808 DOT589808 DEX589808 CVB589808 CLF589808 CBJ589808 BRN589808 BHR589808 AXV589808 ANZ589808 AED589808 UH589808 KL589808 C589818 WWX524272 WNB524272 WDF524272 VTJ524272 VJN524272 UZR524272 UPV524272 UFZ524272 TWD524272 TMH524272 TCL524272 SSP524272 SIT524272 RYX524272 RPB524272 RFF524272 QVJ524272 QLN524272 QBR524272 PRV524272 PHZ524272 OYD524272 OOH524272 OEL524272 NUP524272 NKT524272 NAX524272 MRB524272 MHF524272 LXJ524272 LNN524272 LDR524272 KTV524272 KJZ524272 KAD524272 JQH524272 JGL524272 IWP524272 IMT524272 ICX524272 HTB524272 HJF524272 GZJ524272 GPN524272 GFR524272 FVV524272 FLZ524272 FCD524272 ESH524272 EIL524272 DYP524272 DOT524272 DEX524272 CVB524272 CLF524272 CBJ524272 BRN524272 BHR524272 AXV524272 ANZ524272 AED524272 UH524272 KL524272 C524282 WWX458736 WNB458736 WDF458736 VTJ458736 VJN458736 UZR458736 UPV458736 UFZ458736 TWD458736 TMH458736 TCL458736 SSP458736 SIT458736 RYX458736 RPB458736 RFF458736 QVJ458736 QLN458736 QBR458736 PRV458736 PHZ458736 OYD458736 OOH458736 OEL458736 NUP458736 NKT458736 NAX458736 MRB458736 MHF458736 LXJ458736 LNN458736 LDR458736 KTV458736 KJZ458736 KAD458736 JQH458736 JGL458736 IWP458736 IMT458736 ICX458736 HTB458736 HJF458736 GZJ458736 GPN458736 GFR458736 FVV458736 FLZ458736 FCD458736 ESH458736 EIL458736 DYP458736 DOT458736 DEX458736 CVB458736 CLF458736 CBJ458736 BRN458736 BHR458736 AXV458736 ANZ458736 AED458736 UH458736 KL458736 C458746 WWX393200 WNB393200 WDF393200 VTJ393200 VJN393200 UZR393200 UPV393200 UFZ393200 TWD393200 TMH393200 TCL393200 SSP393200 SIT393200 RYX393200 RPB393200 RFF393200 QVJ393200 QLN393200 QBR393200 PRV393200 PHZ393200 OYD393200 OOH393200 OEL393200 NUP393200 NKT393200 NAX393200 MRB393200 MHF393200 LXJ393200 LNN393200 LDR393200 KTV393200 KJZ393200 KAD393200 JQH393200 JGL393200 IWP393200 IMT393200 ICX393200 HTB393200 HJF393200 GZJ393200 GPN393200 GFR393200 FVV393200 FLZ393200 FCD393200 ESH393200 EIL393200 DYP393200 DOT393200 DEX393200 CVB393200 CLF393200 CBJ393200 BRN393200 BHR393200 AXV393200 ANZ393200 AED393200 UH393200 KL393200 C393210 WWX327664 WNB327664 WDF327664 VTJ327664 VJN327664 UZR327664 UPV327664 UFZ327664 TWD327664 TMH327664 TCL327664 SSP327664 SIT327664 RYX327664 RPB327664 RFF327664 QVJ327664 QLN327664 QBR327664 PRV327664 PHZ327664 OYD327664 OOH327664 OEL327664 NUP327664 NKT327664 NAX327664 MRB327664 MHF327664 LXJ327664 LNN327664 LDR327664 KTV327664 KJZ327664 KAD327664 JQH327664 JGL327664 IWP327664 IMT327664 ICX327664 HTB327664 HJF327664 GZJ327664 GPN327664 GFR327664 FVV327664 FLZ327664 FCD327664 ESH327664 EIL327664 DYP327664 DOT327664 DEX327664 CVB327664 CLF327664 CBJ327664 BRN327664 BHR327664 AXV327664 ANZ327664 AED327664 UH327664 KL327664 C327674 WWX262128 WNB262128 WDF262128 VTJ262128 VJN262128 UZR262128 UPV262128 UFZ262128 TWD262128 TMH262128 TCL262128 SSP262128 SIT262128 RYX262128 RPB262128 RFF262128 QVJ262128 QLN262128 QBR262128 PRV262128 PHZ262128 OYD262128 OOH262128 OEL262128 NUP262128 NKT262128 NAX262128 MRB262128 MHF262128 LXJ262128 LNN262128 LDR262128 KTV262128 KJZ262128 KAD262128 JQH262128 JGL262128 IWP262128 IMT262128 ICX262128 HTB262128 HJF262128 GZJ262128 GPN262128 GFR262128 FVV262128 FLZ262128 FCD262128 ESH262128 EIL262128 DYP262128 DOT262128 DEX262128 CVB262128 CLF262128 CBJ262128 BRN262128 BHR262128 AXV262128 ANZ262128 AED262128 UH262128 KL262128 C262138 WWX196592 WNB196592 WDF196592 VTJ196592 VJN196592 UZR196592 UPV196592 UFZ196592 TWD196592 TMH196592 TCL196592 SSP196592 SIT196592 RYX196592 RPB196592 RFF196592 QVJ196592 QLN196592 QBR196592 PRV196592 PHZ196592 OYD196592 OOH196592 OEL196592 NUP196592 NKT196592 NAX196592 MRB196592 MHF196592 LXJ196592 LNN196592 LDR196592 KTV196592 KJZ196592 KAD196592 JQH196592 JGL196592 IWP196592 IMT196592 ICX196592 HTB196592 HJF196592 GZJ196592 GPN196592 GFR196592 FVV196592 FLZ196592 FCD196592 ESH196592 EIL196592 DYP196592 DOT196592 DEX196592 CVB196592 CLF196592 CBJ196592 BRN196592 BHR196592 AXV196592 ANZ196592 AED196592 UH196592 KL196592 C196602 WWX131056 WNB131056 WDF131056 VTJ131056 VJN131056 UZR131056 UPV131056 UFZ131056 TWD131056 TMH131056 TCL131056 SSP131056 SIT131056 RYX131056 RPB131056 RFF131056 QVJ131056 QLN131056 QBR131056 PRV131056 PHZ131056 OYD131056 OOH131056 OEL131056 NUP131056 NKT131056 NAX131056 MRB131056 MHF131056 LXJ131056 LNN131056 LDR131056 KTV131056 KJZ131056 KAD131056 JQH131056 JGL131056 IWP131056 IMT131056 ICX131056 HTB131056 HJF131056 GZJ131056 GPN131056 GFR131056 FVV131056 FLZ131056 FCD131056 ESH131056 EIL131056 DYP131056 DOT131056 DEX131056 CVB131056 CLF131056 CBJ131056 BRN131056 BHR131056 AXV131056 ANZ131056 AED131056 UH131056 KL131056 C131066 WWX65520 WNB65520 WDF65520 VTJ65520 VJN65520 UZR65520 UPV65520 UFZ65520 TWD65520 TMH65520 TCL65520 SSP65520 SIT65520 RYX65520 RPB65520 RFF65520 QVJ65520 QLN65520 QBR65520 PRV65520 PHZ65520 OYD65520 OOH65520 OEL65520 NUP65520 NKT65520 NAX65520 MRB65520 MHF65520 LXJ65520 LNN65520 LDR65520 KTV65520 KJZ65520 KAD65520 JQH65520 JGL65520 IWP65520 IMT65520 ICX65520 HTB65520 HJF65520 GZJ65520 GPN65520 GFR65520 FVV65520 FLZ65520 FCD65520 ESH65520 EIL65520 DYP65520 DOT65520 DEX65520 CVB65520 CLF65520 CBJ65520 BRN65520 BHR65520 AXV65520 ANZ65520 AED65520 UH65520 KL65520 C65530 WWU14 WMY14 WDC14 VTG14 VJK14 UZO14 UPS14 UFW14 TWA14 TME14 TCI14 SSM14 SIQ14 RYU14 ROY14 RFC14 QVG14 QLK14 QBO14 PRS14 PHW14 OYA14 OOE14 OEI14 NUM14 NKQ14 NAU14 MQY14 MHC14 LXG14 LNK14 LDO14 KTS14 KJW14 KAA14 JQE14 JGI14 IWM14 IMQ14 ICU14 HSY14 HJC14 GZG14 GPK14 GFO14 FVS14 FLW14 FCA14 ESE14 EII14 DYM14 DOQ14 DEU14 CUY14 CLC14 CBG14 BRK14 BHO14 AXS14 ANW14 AEA14 UE14" xr:uid="{F5D12155-6398-4C11-9763-40FD71B710FE}"/>
    <dataValidation allowBlank="1" showInputMessage="1" showErrorMessage="1" sqref="WWT983015:WWT983016 WMX983015:WMX983016 WDB983015:WDB983016 VTF983015:VTF983016 VJJ983015:VJJ983016 UZN983015:UZN983016 UPR983015:UPR983016 UFV983015:UFV983016 TVZ983015:TVZ983016 TMD983015:TMD983016 TCH983015:TCH983016 SSL983015:SSL983016 SIP983015:SIP983016 RYT983015:RYT983016 ROX983015:ROX983016 RFB983015:RFB983016 QVF983015:QVF983016 QLJ983015:QLJ983016 QBN983015:QBN983016 PRR983015:PRR983016 PHV983015:PHV983016 OXZ983015:OXZ983016 OOD983015:OOD983016 OEH983015:OEH983016 NUL983015:NUL983016 NKP983015:NKP983016 NAT983015:NAT983016 MQX983015:MQX983016 MHB983015:MHB983016 LXF983015:LXF983016 LNJ983015:LNJ983016 LDN983015:LDN983016 KTR983015:KTR983016 KJV983015:KJV983016 JZZ983015:JZZ983016 JQD983015:JQD983016 JGH983015:JGH983016 IWL983015:IWL983016 IMP983015:IMP983016 ICT983015:ICT983016 HSX983015:HSX983016 HJB983015:HJB983016 GZF983015:GZF983016 GPJ983015:GPJ983016 GFN983015:GFN983016 FVR983015:FVR983016 FLV983015:FLV983016 FBZ983015:FBZ983016 ESD983015:ESD983016 EIH983015:EIH983016 DYL983015:DYL983016 DOP983015:DOP983016 DET983015:DET983016 CUX983015:CUX983016 CLB983015:CLB983016 CBF983015:CBF983016 BRJ983015:BRJ983016 BHN983015:BHN983016 AXR983015:AXR983016 ANV983015:ANV983016 ADZ983015:ADZ983016 UD983015:UD983016 KH983015:KH983016 B983015:B983016 WWT917479:WWT917480 WMX917479:WMX917480 WDB917479:WDB917480 VTF917479:VTF917480 VJJ917479:VJJ917480 UZN917479:UZN917480 UPR917479:UPR917480 UFV917479:UFV917480 TVZ917479:TVZ917480 TMD917479:TMD917480 TCH917479:TCH917480 SSL917479:SSL917480 SIP917479:SIP917480 RYT917479:RYT917480 ROX917479:ROX917480 RFB917479:RFB917480 QVF917479:QVF917480 QLJ917479:QLJ917480 QBN917479:QBN917480 PRR917479:PRR917480 PHV917479:PHV917480 OXZ917479:OXZ917480 OOD917479:OOD917480 OEH917479:OEH917480 NUL917479:NUL917480 NKP917479:NKP917480 NAT917479:NAT917480 MQX917479:MQX917480 MHB917479:MHB917480 LXF917479:LXF917480 LNJ917479:LNJ917480 LDN917479:LDN917480 KTR917479:KTR917480 KJV917479:KJV917480 JZZ917479:JZZ917480 JQD917479:JQD917480 JGH917479:JGH917480 IWL917479:IWL917480 IMP917479:IMP917480 ICT917479:ICT917480 HSX917479:HSX917480 HJB917479:HJB917480 GZF917479:GZF917480 GPJ917479:GPJ917480 GFN917479:GFN917480 FVR917479:FVR917480 FLV917479:FLV917480 FBZ917479:FBZ917480 ESD917479:ESD917480 EIH917479:EIH917480 DYL917479:DYL917480 DOP917479:DOP917480 DET917479:DET917480 CUX917479:CUX917480 CLB917479:CLB917480 CBF917479:CBF917480 BRJ917479:BRJ917480 BHN917479:BHN917480 AXR917479:AXR917480 ANV917479:ANV917480 ADZ917479:ADZ917480 UD917479:UD917480 KH917479:KH917480 B917479:B917480 WWT851943:WWT851944 WMX851943:WMX851944 WDB851943:WDB851944 VTF851943:VTF851944 VJJ851943:VJJ851944 UZN851943:UZN851944 UPR851943:UPR851944 UFV851943:UFV851944 TVZ851943:TVZ851944 TMD851943:TMD851944 TCH851943:TCH851944 SSL851943:SSL851944 SIP851943:SIP851944 RYT851943:RYT851944 ROX851943:ROX851944 RFB851943:RFB851944 QVF851943:QVF851944 QLJ851943:QLJ851944 QBN851943:QBN851944 PRR851943:PRR851944 PHV851943:PHV851944 OXZ851943:OXZ851944 OOD851943:OOD851944 OEH851943:OEH851944 NUL851943:NUL851944 NKP851943:NKP851944 NAT851943:NAT851944 MQX851943:MQX851944 MHB851943:MHB851944 LXF851943:LXF851944 LNJ851943:LNJ851944 LDN851943:LDN851944 KTR851943:KTR851944 KJV851943:KJV851944 JZZ851943:JZZ851944 JQD851943:JQD851944 JGH851943:JGH851944 IWL851943:IWL851944 IMP851943:IMP851944 ICT851943:ICT851944 HSX851943:HSX851944 HJB851943:HJB851944 GZF851943:GZF851944 GPJ851943:GPJ851944 GFN851943:GFN851944 FVR851943:FVR851944 FLV851943:FLV851944 FBZ851943:FBZ851944 ESD851943:ESD851944 EIH851943:EIH851944 DYL851943:DYL851944 DOP851943:DOP851944 DET851943:DET851944 CUX851943:CUX851944 CLB851943:CLB851944 CBF851943:CBF851944 BRJ851943:BRJ851944 BHN851943:BHN851944 AXR851943:AXR851944 ANV851943:ANV851944 ADZ851943:ADZ851944 UD851943:UD851944 KH851943:KH851944 B851943:B851944 WWT786407:WWT786408 WMX786407:WMX786408 WDB786407:WDB786408 VTF786407:VTF786408 VJJ786407:VJJ786408 UZN786407:UZN786408 UPR786407:UPR786408 UFV786407:UFV786408 TVZ786407:TVZ786408 TMD786407:TMD786408 TCH786407:TCH786408 SSL786407:SSL786408 SIP786407:SIP786408 RYT786407:RYT786408 ROX786407:ROX786408 RFB786407:RFB786408 QVF786407:QVF786408 QLJ786407:QLJ786408 QBN786407:QBN786408 PRR786407:PRR786408 PHV786407:PHV786408 OXZ786407:OXZ786408 OOD786407:OOD786408 OEH786407:OEH786408 NUL786407:NUL786408 NKP786407:NKP786408 NAT786407:NAT786408 MQX786407:MQX786408 MHB786407:MHB786408 LXF786407:LXF786408 LNJ786407:LNJ786408 LDN786407:LDN786408 KTR786407:KTR786408 KJV786407:KJV786408 JZZ786407:JZZ786408 JQD786407:JQD786408 JGH786407:JGH786408 IWL786407:IWL786408 IMP786407:IMP786408 ICT786407:ICT786408 HSX786407:HSX786408 HJB786407:HJB786408 GZF786407:GZF786408 GPJ786407:GPJ786408 GFN786407:GFN786408 FVR786407:FVR786408 FLV786407:FLV786408 FBZ786407:FBZ786408 ESD786407:ESD786408 EIH786407:EIH786408 DYL786407:DYL786408 DOP786407:DOP786408 DET786407:DET786408 CUX786407:CUX786408 CLB786407:CLB786408 CBF786407:CBF786408 BRJ786407:BRJ786408 BHN786407:BHN786408 AXR786407:AXR786408 ANV786407:ANV786408 ADZ786407:ADZ786408 UD786407:UD786408 KH786407:KH786408 B786407:B786408 WWT720871:WWT720872 WMX720871:WMX720872 WDB720871:WDB720872 VTF720871:VTF720872 VJJ720871:VJJ720872 UZN720871:UZN720872 UPR720871:UPR720872 UFV720871:UFV720872 TVZ720871:TVZ720872 TMD720871:TMD720872 TCH720871:TCH720872 SSL720871:SSL720872 SIP720871:SIP720872 RYT720871:RYT720872 ROX720871:ROX720872 RFB720871:RFB720872 QVF720871:QVF720872 QLJ720871:QLJ720872 QBN720871:QBN720872 PRR720871:PRR720872 PHV720871:PHV720872 OXZ720871:OXZ720872 OOD720871:OOD720872 OEH720871:OEH720872 NUL720871:NUL720872 NKP720871:NKP720872 NAT720871:NAT720872 MQX720871:MQX720872 MHB720871:MHB720872 LXF720871:LXF720872 LNJ720871:LNJ720872 LDN720871:LDN720872 KTR720871:KTR720872 KJV720871:KJV720872 JZZ720871:JZZ720872 JQD720871:JQD720872 JGH720871:JGH720872 IWL720871:IWL720872 IMP720871:IMP720872 ICT720871:ICT720872 HSX720871:HSX720872 HJB720871:HJB720872 GZF720871:GZF720872 GPJ720871:GPJ720872 GFN720871:GFN720872 FVR720871:FVR720872 FLV720871:FLV720872 FBZ720871:FBZ720872 ESD720871:ESD720872 EIH720871:EIH720872 DYL720871:DYL720872 DOP720871:DOP720872 DET720871:DET720872 CUX720871:CUX720872 CLB720871:CLB720872 CBF720871:CBF720872 BRJ720871:BRJ720872 BHN720871:BHN720872 AXR720871:AXR720872 ANV720871:ANV720872 ADZ720871:ADZ720872 UD720871:UD720872 KH720871:KH720872 B720871:B720872 WWT655335:WWT655336 WMX655335:WMX655336 WDB655335:WDB655336 VTF655335:VTF655336 VJJ655335:VJJ655336 UZN655335:UZN655336 UPR655335:UPR655336 UFV655335:UFV655336 TVZ655335:TVZ655336 TMD655335:TMD655336 TCH655335:TCH655336 SSL655335:SSL655336 SIP655335:SIP655336 RYT655335:RYT655336 ROX655335:ROX655336 RFB655335:RFB655336 QVF655335:QVF655336 QLJ655335:QLJ655336 QBN655335:QBN655336 PRR655335:PRR655336 PHV655335:PHV655336 OXZ655335:OXZ655336 OOD655335:OOD655336 OEH655335:OEH655336 NUL655335:NUL655336 NKP655335:NKP655336 NAT655335:NAT655336 MQX655335:MQX655336 MHB655335:MHB655336 LXF655335:LXF655336 LNJ655335:LNJ655336 LDN655335:LDN655336 KTR655335:KTR655336 KJV655335:KJV655336 JZZ655335:JZZ655336 JQD655335:JQD655336 JGH655335:JGH655336 IWL655335:IWL655336 IMP655335:IMP655336 ICT655335:ICT655336 HSX655335:HSX655336 HJB655335:HJB655336 GZF655335:GZF655336 GPJ655335:GPJ655336 GFN655335:GFN655336 FVR655335:FVR655336 FLV655335:FLV655336 FBZ655335:FBZ655336 ESD655335:ESD655336 EIH655335:EIH655336 DYL655335:DYL655336 DOP655335:DOP655336 DET655335:DET655336 CUX655335:CUX655336 CLB655335:CLB655336 CBF655335:CBF655336 BRJ655335:BRJ655336 BHN655335:BHN655336 AXR655335:AXR655336 ANV655335:ANV655336 ADZ655335:ADZ655336 UD655335:UD655336 KH655335:KH655336 B655335:B655336 WWT589799:WWT589800 WMX589799:WMX589800 WDB589799:WDB589800 VTF589799:VTF589800 VJJ589799:VJJ589800 UZN589799:UZN589800 UPR589799:UPR589800 UFV589799:UFV589800 TVZ589799:TVZ589800 TMD589799:TMD589800 TCH589799:TCH589800 SSL589799:SSL589800 SIP589799:SIP589800 RYT589799:RYT589800 ROX589799:ROX589800 RFB589799:RFB589800 QVF589799:QVF589800 QLJ589799:QLJ589800 QBN589799:QBN589800 PRR589799:PRR589800 PHV589799:PHV589800 OXZ589799:OXZ589800 OOD589799:OOD589800 OEH589799:OEH589800 NUL589799:NUL589800 NKP589799:NKP589800 NAT589799:NAT589800 MQX589799:MQX589800 MHB589799:MHB589800 LXF589799:LXF589800 LNJ589799:LNJ589800 LDN589799:LDN589800 KTR589799:KTR589800 KJV589799:KJV589800 JZZ589799:JZZ589800 JQD589799:JQD589800 JGH589799:JGH589800 IWL589799:IWL589800 IMP589799:IMP589800 ICT589799:ICT589800 HSX589799:HSX589800 HJB589799:HJB589800 GZF589799:GZF589800 GPJ589799:GPJ589800 GFN589799:GFN589800 FVR589799:FVR589800 FLV589799:FLV589800 FBZ589799:FBZ589800 ESD589799:ESD589800 EIH589799:EIH589800 DYL589799:DYL589800 DOP589799:DOP589800 DET589799:DET589800 CUX589799:CUX589800 CLB589799:CLB589800 CBF589799:CBF589800 BRJ589799:BRJ589800 BHN589799:BHN589800 AXR589799:AXR589800 ANV589799:ANV589800 ADZ589799:ADZ589800 UD589799:UD589800 KH589799:KH589800 B589799:B589800 WWT524263:WWT524264 WMX524263:WMX524264 WDB524263:WDB524264 VTF524263:VTF524264 VJJ524263:VJJ524264 UZN524263:UZN524264 UPR524263:UPR524264 UFV524263:UFV524264 TVZ524263:TVZ524264 TMD524263:TMD524264 TCH524263:TCH524264 SSL524263:SSL524264 SIP524263:SIP524264 RYT524263:RYT524264 ROX524263:ROX524264 RFB524263:RFB524264 QVF524263:QVF524264 QLJ524263:QLJ524264 QBN524263:QBN524264 PRR524263:PRR524264 PHV524263:PHV524264 OXZ524263:OXZ524264 OOD524263:OOD524264 OEH524263:OEH524264 NUL524263:NUL524264 NKP524263:NKP524264 NAT524263:NAT524264 MQX524263:MQX524264 MHB524263:MHB524264 LXF524263:LXF524264 LNJ524263:LNJ524264 LDN524263:LDN524264 KTR524263:KTR524264 KJV524263:KJV524264 JZZ524263:JZZ524264 JQD524263:JQD524264 JGH524263:JGH524264 IWL524263:IWL524264 IMP524263:IMP524264 ICT524263:ICT524264 HSX524263:HSX524264 HJB524263:HJB524264 GZF524263:GZF524264 GPJ524263:GPJ524264 GFN524263:GFN524264 FVR524263:FVR524264 FLV524263:FLV524264 FBZ524263:FBZ524264 ESD524263:ESD524264 EIH524263:EIH524264 DYL524263:DYL524264 DOP524263:DOP524264 DET524263:DET524264 CUX524263:CUX524264 CLB524263:CLB524264 CBF524263:CBF524264 BRJ524263:BRJ524264 BHN524263:BHN524264 AXR524263:AXR524264 ANV524263:ANV524264 ADZ524263:ADZ524264 UD524263:UD524264 KH524263:KH524264 B524263:B524264 WWT458727:WWT458728 WMX458727:WMX458728 WDB458727:WDB458728 VTF458727:VTF458728 VJJ458727:VJJ458728 UZN458727:UZN458728 UPR458727:UPR458728 UFV458727:UFV458728 TVZ458727:TVZ458728 TMD458727:TMD458728 TCH458727:TCH458728 SSL458727:SSL458728 SIP458727:SIP458728 RYT458727:RYT458728 ROX458727:ROX458728 RFB458727:RFB458728 QVF458727:QVF458728 QLJ458727:QLJ458728 QBN458727:QBN458728 PRR458727:PRR458728 PHV458727:PHV458728 OXZ458727:OXZ458728 OOD458727:OOD458728 OEH458727:OEH458728 NUL458727:NUL458728 NKP458727:NKP458728 NAT458727:NAT458728 MQX458727:MQX458728 MHB458727:MHB458728 LXF458727:LXF458728 LNJ458727:LNJ458728 LDN458727:LDN458728 KTR458727:KTR458728 KJV458727:KJV458728 JZZ458727:JZZ458728 JQD458727:JQD458728 JGH458727:JGH458728 IWL458727:IWL458728 IMP458727:IMP458728 ICT458727:ICT458728 HSX458727:HSX458728 HJB458727:HJB458728 GZF458727:GZF458728 GPJ458727:GPJ458728 GFN458727:GFN458728 FVR458727:FVR458728 FLV458727:FLV458728 FBZ458727:FBZ458728 ESD458727:ESD458728 EIH458727:EIH458728 DYL458727:DYL458728 DOP458727:DOP458728 DET458727:DET458728 CUX458727:CUX458728 CLB458727:CLB458728 CBF458727:CBF458728 BRJ458727:BRJ458728 BHN458727:BHN458728 AXR458727:AXR458728 ANV458727:ANV458728 ADZ458727:ADZ458728 UD458727:UD458728 KH458727:KH458728 B458727:B458728 WWT393191:WWT393192 WMX393191:WMX393192 WDB393191:WDB393192 VTF393191:VTF393192 VJJ393191:VJJ393192 UZN393191:UZN393192 UPR393191:UPR393192 UFV393191:UFV393192 TVZ393191:TVZ393192 TMD393191:TMD393192 TCH393191:TCH393192 SSL393191:SSL393192 SIP393191:SIP393192 RYT393191:RYT393192 ROX393191:ROX393192 RFB393191:RFB393192 QVF393191:QVF393192 QLJ393191:QLJ393192 QBN393191:QBN393192 PRR393191:PRR393192 PHV393191:PHV393192 OXZ393191:OXZ393192 OOD393191:OOD393192 OEH393191:OEH393192 NUL393191:NUL393192 NKP393191:NKP393192 NAT393191:NAT393192 MQX393191:MQX393192 MHB393191:MHB393192 LXF393191:LXF393192 LNJ393191:LNJ393192 LDN393191:LDN393192 KTR393191:KTR393192 KJV393191:KJV393192 JZZ393191:JZZ393192 JQD393191:JQD393192 JGH393191:JGH393192 IWL393191:IWL393192 IMP393191:IMP393192 ICT393191:ICT393192 HSX393191:HSX393192 HJB393191:HJB393192 GZF393191:GZF393192 GPJ393191:GPJ393192 GFN393191:GFN393192 FVR393191:FVR393192 FLV393191:FLV393192 FBZ393191:FBZ393192 ESD393191:ESD393192 EIH393191:EIH393192 DYL393191:DYL393192 DOP393191:DOP393192 DET393191:DET393192 CUX393191:CUX393192 CLB393191:CLB393192 CBF393191:CBF393192 BRJ393191:BRJ393192 BHN393191:BHN393192 AXR393191:AXR393192 ANV393191:ANV393192 ADZ393191:ADZ393192 UD393191:UD393192 KH393191:KH393192 B393191:B393192 WWT327655:WWT327656 WMX327655:WMX327656 WDB327655:WDB327656 VTF327655:VTF327656 VJJ327655:VJJ327656 UZN327655:UZN327656 UPR327655:UPR327656 UFV327655:UFV327656 TVZ327655:TVZ327656 TMD327655:TMD327656 TCH327655:TCH327656 SSL327655:SSL327656 SIP327655:SIP327656 RYT327655:RYT327656 ROX327655:ROX327656 RFB327655:RFB327656 QVF327655:QVF327656 QLJ327655:QLJ327656 QBN327655:QBN327656 PRR327655:PRR327656 PHV327655:PHV327656 OXZ327655:OXZ327656 OOD327655:OOD327656 OEH327655:OEH327656 NUL327655:NUL327656 NKP327655:NKP327656 NAT327655:NAT327656 MQX327655:MQX327656 MHB327655:MHB327656 LXF327655:LXF327656 LNJ327655:LNJ327656 LDN327655:LDN327656 KTR327655:KTR327656 KJV327655:KJV327656 JZZ327655:JZZ327656 JQD327655:JQD327656 JGH327655:JGH327656 IWL327655:IWL327656 IMP327655:IMP327656 ICT327655:ICT327656 HSX327655:HSX327656 HJB327655:HJB327656 GZF327655:GZF327656 GPJ327655:GPJ327656 GFN327655:GFN327656 FVR327655:FVR327656 FLV327655:FLV327656 FBZ327655:FBZ327656 ESD327655:ESD327656 EIH327655:EIH327656 DYL327655:DYL327656 DOP327655:DOP327656 DET327655:DET327656 CUX327655:CUX327656 CLB327655:CLB327656 CBF327655:CBF327656 BRJ327655:BRJ327656 BHN327655:BHN327656 AXR327655:AXR327656 ANV327655:ANV327656 ADZ327655:ADZ327656 UD327655:UD327656 KH327655:KH327656 B327655:B327656 WWT262119:WWT262120 WMX262119:WMX262120 WDB262119:WDB262120 VTF262119:VTF262120 VJJ262119:VJJ262120 UZN262119:UZN262120 UPR262119:UPR262120 UFV262119:UFV262120 TVZ262119:TVZ262120 TMD262119:TMD262120 TCH262119:TCH262120 SSL262119:SSL262120 SIP262119:SIP262120 RYT262119:RYT262120 ROX262119:ROX262120 RFB262119:RFB262120 QVF262119:QVF262120 QLJ262119:QLJ262120 QBN262119:QBN262120 PRR262119:PRR262120 PHV262119:PHV262120 OXZ262119:OXZ262120 OOD262119:OOD262120 OEH262119:OEH262120 NUL262119:NUL262120 NKP262119:NKP262120 NAT262119:NAT262120 MQX262119:MQX262120 MHB262119:MHB262120 LXF262119:LXF262120 LNJ262119:LNJ262120 LDN262119:LDN262120 KTR262119:KTR262120 KJV262119:KJV262120 JZZ262119:JZZ262120 JQD262119:JQD262120 JGH262119:JGH262120 IWL262119:IWL262120 IMP262119:IMP262120 ICT262119:ICT262120 HSX262119:HSX262120 HJB262119:HJB262120 GZF262119:GZF262120 GPJ262119:GPJ262120 GFN262119:GFN262120 FVR262119:FVR262120 FLV262119:FLV262120 FBZ262119:FBZ262120 ESD262119:ESD262120 EIH262119:EIH262120 DYL262119:DYL262120 DOP262119:DOP262120 DET262119:DET262120 CUX262119:CUX262120 CLB262119:CLB262120 CBF262119:CBF262120 BRJ262119:BRJ262120 BHN262119:BHN262120 AXR262119:AXR262120 ANV262119:ANV262120 ADZ262119:ADZ262120 UD262119:UD262120 KH262119:KH262120 B262119:B262120 WWT196583:WWT196584 WMX196583:WMX196584 WDB196583:WDB196584 VTF196583:VTF196584 VJJ196583:VJJ196584 UZN196583:UZN196584 UPR196583:UPR196584 UFV196583:UFV196584 TVZ196583:TVZ196584 TMD196583:TMD196584 TCH196583:TCH196584 SSL196583:SSL196584 SIP196583:SIP196584 RYT196583:RYT196584 ROX196583:ROX196584 RFB196583:RFB196584 QVF196583:QVF196584 QLJ196583:QLJ196584 QBN196583:QBN196584 PRR196583:PRR196584 PHV196583:PHV196584 OXZ196583:OXZ196584 OOD196583:OOD196584 OEH196583:OEH196584 NUL196583:NUL196584 NKP196583:NKP196584 NAT196583:NAT196584 MQX196583:MQX196584 MHB196583:MHB196584 LXF196583:LXF196584 LNJ196583:LNJ196584 LDN196583:LDN196584 KTR196583:KTR196584 KJV196583:KJV196584 JZZ196583:JZZ196584 JQD196583:JQD196584 JGH196583:JGH196584 IWL196583:IWL196584 IMP196583:IMP196584 ICT196583:ICT196584 HSX196583:HSX196584 HJB196583:HJB196584 GZF196583:GZF196584 GPJ196583:GPJ196584 GFN196583:GFN196584 FVR196583:FVR196584 FLV196583:FLV196584 FBZ196583:FBZ196584 ESD196583:ESD196584 EIH196583:EIH196584 DYL196583:DYL196584 DOP196583:DOP196584 DET196583:DET196584 CUX196583:CUX196584 CLB196583:CLB196584 CBF196583:CBF196584 BRJ196583:BRJ196584 BHN196583:BHN196584 AXR196583:AXR196584 ANV196583:ANV196584 ADZ196583:ADZ196584 UD196583:UD196584 KH196583:KH196584 B196583:B196584 WWT131047:WWT131048 WMX131047:WMX131048 WDB131047:WDB131048 VTF131047:VTF131048 VJJ131047:VJJ131048 UZN131047:UZN131048 UPR131047:UPR131048 UFV131047:UFV131048 TVZ131047:TVZ131048 TMD131047:TMD131048 TCH131047:TCH131048 SSL131047:SSL131048 SIP131047:SIP131048 RYT131047:RYT131048 ROX131047:ROX131048 RFB131047:RFB131048 QVF131047:QVF131048 QLJ131047:QLJ131048 QBN131047:QBN131048 PRR131047:PRR131048 PHV131047:PHV131048 OXZ131047:OXZ131048 OOD131047:OOD131048 OEH131047:OEH131048 NUL131047:NUL131048 NKP131047:NKP131048 NAT131047:NAT131048 MQX131047:MQX131048 MHB131047:MHB131048 LXF131047:LXF131048 LNJ131047:LNJ131048 LDN131047:LDN131048 KTR131047:KTR131048 KJV131047:KJV131048 JZZ131047:JZZ131048 JQD131047:JQD131048 JGH131047:JGH131048 IWL131047:IWL131048 IMP131047:IMP131048 ICT131047:ICT131048 HSX131047:HSX131048 HJB131047:HJB131048 GZF131047:GZF131048 GPJ131047:GPJ131048 GFN131047:GFN131048 FVR131047:FVR131048 FLV131047:FLV131048 FBZ131047:FBZ131048 ESD131047:ESD131048 EIH131047:EIH131048 DYL131047:DYL131048 DOP131047:DOP131048 DET131047:DET131048 CUX131047:CUX131048 CLB131047:CLB131048 CBF131047:CBF131048 BRJ131047:BRJ131048 BHN131047:BHN131048 AXR131047:AXR131048 ANV131047:ANV131048 ADZ131047:ADZ131048 UD131047:UD131048 KH131047:KH131048 B131047:B131048 WWT65511:WWT65512 WMX65511:WMX65512 WDB65511:WDB65512 VTF65511:VTF65512 VJJ65511:VJJ65512 UZN65511:UZN65512 UPR65511:UPR65512 UFV65511:UFV65512 TVZ65511:TVZ65512 TMD65511:TMD65512 TCH65511:TCH65512 SSL65511:SSL65512 SIP65511:SIP65512 RYT65511:RYT65512 ROX65511:ROX65512 RFB65511:RFB65512 QVF65511:QVF65512 QLJ65511:QLJ65512 QBN65511:QBN65512 PRR65511:PRR65512 PHV65511:PHV65512 OXZ65511:OXZ65512 OOD65511:OOD65512 OEH65511:OEH65512 NUL65511:NUL65512 NKP65511:NKP65512 NAT65511:NAT65512 MQX65511:MQX65512 MHB65511:MHB65512 LXF65511:LXF65512 LNJ65511:LNJ65512 LDN65511:LDN65512 KTR65511:KTR65512 KJV65511:KJV65512 JZZ65511:JZZ65512 JQD65511:JQD65512 JGH65511:JGH65512 IWL65511:IWL65512 IMP65511:IMP65512 ICT65511:ICT65512 HSX65511:HSX65512 HJB65511:HJB65512 GZF65511:GZF65512 GPJ65511:GPJ65512 GFN65511:GFN65512 FVR65511:FVR65512 FLV65511:FLV65512 FBZ65511:FBZ65512 ESD65511:ESD65512 EIH65511:EIH65512 DYL65511:DYL65512 DOP65511:DOP65512 DET65511:DET65512 CUX65511:CUX65512 CLB65511:CLB65512 CBF65511:CBF65512 BRJ65511:BRJ65512 BHN65511:BHN65512 AXR65511:AXR65512 ANV65511:ANV65512 ADZ65511:ADZ65512 UD65511:UD65512 KH65511:KH65512 B65511:B65512 B9" xr:uid="{0C143FF9-5D34-4AAF-A4C9-B4494E6183FC}"/>
    <dataValidation allowBlank="1" showErrorMessage="1" promptTitle="Cost of equity" prompt="Re = Rf + b*Rp" sqref="WWV983044 WMZ983044 WDD983044 VTH983044 VJL983044 UZP983044 UPT983044 UFX983044 TWB983044 TMF983044 TCJ983044 SSN983044 SIR983044 RYV983044 ROZ983044 RFD983044 QVH983044 QLL983044 QBP983044 PRT983044 PHX983044 OYB983044 OOF983044 OEJ983044 NUN983044 NKR983044 NAV983044 MQZ983044 MHD983044 LXH983044 LNL983044 LDP983044 KTT983044 KJX983044 KAB983044 JQF983044 JGJ983044 IWN983044 IMR983044 ICV983044 HSZ983044 HJD983044 GZH983044 GPL983044 GFP983044 FVT983044 FLX983044 FCB983044 ESF983044 EIJ983044 DYN983044 DOR983044 DEV983044 CUZ983044 CLD983044 CBH983044 BRL983044 BHP983044 AXT983044 ANX983044 AEB983044 UF983044 KJ983044 WWV917508 WMZ917508 WDD917508 VTH917508 VJL917508 UZP917508 UPT917508 UFX917508 TWB917508 TMF917508 TCJ917508 SSN917508 SIR917508 RYV917508 ROZ917508 RFD917508 QVH917508 QLL917508 QBP917508 PRT917508 PHX917508 OYB917508 OOF917508 OEJ917508 NUN917508 NKR917508 NAV917508 MQZ917508 MHD917508 LXH917508 LNL917508 LDP917508 KTT917508 KJX917508 KAB917508 JQF917508 JGJ917508 IWN917508 IMR917508 ICV917508 HSZ917508 HJD917508 GZH917508 GPL917508 GFP917508 FVT917508 FLX917508 FCB917508 ESF917508 EIJ917508 DYN917508 DOR917508 DEV917508 CUZ917508 CLD917508 CBH917508 BRL917508 BHP917508 AXT917508 ANX917508 AEB917508 UF917508 KJ917508 WWV851972 WMZ851972 WDD851972 VTH851972 VJL851972 UZP851972 UPT851972 UFX851972 TWB851972 TMF851972 TCJ851972 SSN851972 SIR851972 RYV851972 ROZ851972 RFD851972 QVH851972 QLL851972 QBP851972 PRT851972 PHX851972 OYB851972 OOF851972 OEJ851972 NUN851972 NKR851972 NAV851972 MQZ851972 MHD851972 LXH851972 LNL851972 LDP851972 KTT851972 KJX851972 KAB851972 JQF851972 JGJ851972 IWN851972 IMR851972 ICV851972 HSZ851972 HJD851972 GZH851972 GPL851972 GFP851972 FVT851972 FLX851972 FCB851972 ESF851972 EIJ851972 DYN851972 DOR851972 DEV851972 CUZ851972 CLD851972 CBH851972 BRL851972 BHP851972 AXT851972 ANX851972 AEB851972 UF851972 KJ851972 WWV786436 WMZ786436 WDD786436 VTH786436 VJL786436 UZP786436 UPT786436 UFX786436 TWB786436 TMF786436 TCJ786436 SSN786436 SIR786436 RYV786436 ROZ786436 RFD786436 QVH786436 QLL786436 QBP786436 PRT786436 PHX786436 OYB786436 OOF786436 OEJ786436 NUN786436 NKR786436 NAV786436 MQZ786436 MHD786436 LXH786436 LNL786436 LDP786436 KTT786436 KJX786436 KAB786436 JQF786436 JGJ786436 IWN786436 IMR786436 ICV786436 HSZ786436 HJD786436 GZH786436 GPL786436 GFP786436 FVT786436 FLX786436 FCB786436 ESF786436 EIJ786436 DYN786436 DOR786436 DEV786436 CUZ786436 CLD786436 CBH786436 BRL786436 BHP786436 AXT786436 ANX786436 AEB786436 UF786436 KJ786436 WWV720900 WMZ720900 WDD720900 VTH720900 VJL720900 UZP720900 UPT720900 UFX720900 TWB720900 TMF720900 TCJ720900 SSN720900 SIR720900 RYV720900 ROZ720900 RFD720900 QVH720900 QLL720900 QBP720900 PRT720900 PHX720900 OYB720900 OOF720900 OEJ720900 NUN720900 NKR720900 NAV720900 MQZ720900 MHD720900 LXH720900 LNL720900 LDP720900 KTT720900 KJX720900 KAB720900 JQF720900 JGJ720900 IWN720900 IMR720900 ICV720900 HSZ720900 HJD720900 GZH720900 GPL720900 GFP720900 FVT720900 FLX720900 FCB720900 ESF720900 EIJ720900 DYN720900 DOR720900 DEV720900 CUZ720900 CLD720900 CBH720900 BRL720900 BHP720900 AXT720900 ANX720900 AEB720900 UF720900 KJ720900 WWV655364 WMZ655364 WDD655364 VTH655364 VJL655364 UZP655364 UPT655364 UFX655364 TWB655364 TMF655364 TCJ655364 SSN655364 SIR655364 RYV655364 ROZ655364 RFD655364 QVH655364 QLL655364 QBP655364 PRT655364 PHX655364 OYB655364 OOF655364 OEJ655364 NUN655364 NKR655364 NAV655364 MQZ655364 MHD655364 LXH655364 LNL655364 LDP655364 KTT655364 KJX655364 KAB655364 JQF655364 JGJ655364 IWN655364 IMR655364 ICV655364 HSZ655364 HJD655364 GZH655364 GPL655364 GFP655364 FVT655364 FLX655364 FCB655364 ESF655364 EIJ655364 DYN655364 DOR655364 DEV655364 CUZ655364 CLD655364 CBH655364 BRL655364 BHP655364 AXT655364 ANX655364 AEB655364 UF655364 KJ655364 WWV589828 WMZ589828 WDD589828 VTH589828 VJL589828 UZP589828 UPT589828 UFX589828 TWB589828 TMF589828 TCJ589828 SSN589828 SIR589828 RYV589828 ROZ589828 RFD589828 QVH589828 QLL589828 QBP589828 PRT589828 PHX589828 OYB589828 OOF589828 OEJ589828 NUN589828 NKR589828 NAV589828 MQZ589828 MHD589828 LXH589828 LNL589828 LDP589828 KTT589828 KJX589828 KAB589828 JQF589828 JGJ589828 IWN589828 IMR589828 ICV589828 HSZ589828 HJD589828 GZH589828 GPL589828 GFP589828 FVT589828 FLX589828 FCB589828 ESF589828 EIJ589828 DYN589828 DOR589828 DEV589828 CUZ589828 CLD589828 CBH589828 BRL589828 BHP589828 AXT589828 ANX589828 AEB589828 UF589828 KJ589828 WWV524292 WMZ524292 WDD524292 VTH524292 VJL524292 UZP524292 UPT524292 UFX524292 TWB524292 TMF524292 TCJ524292 SSN524292 SIR524292 RYV524292 ROZ524292 RFD524292 QVH524292 QLL524292 QBP524292 PRT524292 PHX524292 OYB524292 OOF524292 OEJ524292 NUN524292 NKR524292 NAV524292 MQZ524292 MHD524292 LXH524292 LNL524292 LDP524292 KTT524292 KJX524292 KAB524292 JQF524292 JGJ524292 IWN524292 IMR524292 ICV524292 HSZ524292 HJD524292 GZH524292 GPL524292 GFP524292 FVT524292 FLX524292 FCB524292 ESF524292 EIJ524292 DYN524292 DOR524292 DEV524292 CUZ524292 CLD524292 CBH524292 BRL524292 BHP524292 AXT524292 ANX524292 AEB524292 UF524292 KJ524292 WWV458756 WMZ458756 WDD458756 VTH458756 VJL458756 UZP458756 UPT458756 UFX458756 TWB458756 TMF458756 TCJ458756 SSN458756 SIR458756 RYV458756 ROZ458756 RFD458756 QVH458756 QLL458756 QBP458756 PRT458756 PHX458756 OYB458756 OOF458756 OEJ458756 NUN458756 NKR458756 NAV458756 MQZ458756 MHD458756 LXH458756 LNL458756 LDP458756 KTT458756 KJX458756 KAB458756 JQF458756 JGJ458756 IWN458756 IMR458756 ICV458756 HSZ458756 HJD458756 GZH458756 GPL458756 GFP458756 FVT458756 FLX458756 FCB458756 ESF458756 EIJ458756 DYN458756 DOR458756 DEV458756 CUZ458756 CLD458756 CBH458756 BRL458756 BHP458756 AXT458756 ANX458756 AEB458756 UF458756 KJ458756 WWV393220 WMZ393220 WDD393220 VTH393220 VJL393220 UZP393220 UPT393220 UFX393220 TWB393220 TMF393220 TCJ393220 SSN393220 SIR393220 RYV393220 ROZ393220 RFD393220 QVH393220 QLL393220 QBP393220 PRT393220 PHX393220 OYB393220 OOF393220 OEJ393220 NUN393220 NKR393220 NAV393220 MQZ393220 MHD393220 LXH393220 LNL393220 LDP393220 KTT393220 KJX393220 KAB393220 JQF393220 JGJ393220 IWN393220 IMR393220 ICV393220 HSZ393220 HJD393220 GZH393220 GPL393220 GFP393220 FVT393220 FLX393220 FCB393220 ESF393220 EIJ393220 DYN393220 DOR393220 DEV393220 CUZ393220 CLD393220 CBH393220 BRL393220 BHP393220 AXT393220 ANX393220 AEB393220 UF393220 KJ393220 WWV327684 WMZ327684 WDD327684 VTH327684 VJL327684 UZP327684 UPT327684 UFX327684 TWB327684 TMF327684 TCJ327684 SSN327684 SIR327684 RYV327684 ROZ327684 RFD327684 QVH327684 QLL327684 QBP327684 PRT327684 PHX327684 OYB327684 OOF327684 OEJ327684 NUN327684 NKR327684 NAV327684 MQZ327684 MHD327684 LXH327684 LNL327684 LDP327684 KTT327684 KJX327684 KAB327684 JQF327684 JGJ327684 IWN327684 IMR327684 ICV327684 HSZ327684 HJD327684 GZH327684 GPL327684 GFP327684 FVT327684 FLX327684 FCB327684 ESF327684 EIJ327684 DYN327684 DOR327684 DEV327684 CUZ327684 CLD327684 CBH327684 BRL327684 BHP327684 AXT327684 ANX327684 AEB327684 UF327684 KJ327684 WWV262148 WMZ262148 WDD262148 VTH262148 VJL262148 UZP262148 UPT262148 UFX262148 TWB262148 TMF262148 TCJ262148 SSN262148 SIR262148 RYV262148 ROZ262148 RFD262148 QVH262148 QLL262148 QBP262148 PRT262148 PHX262148 OYB262148 OOF262148 OEJ262148 NUN262148 NKR262148 NAV262148 MQZ262148 MHD262148 LXH262148 LNL262148 LDP262148 KTT262148 KJX262148 KAB262148 JQF262148 JGJ262148 IWN262148 IMR262148 ICV262148 HSZ262148 HJD262148 GZH262148 GPL262148 GFP262148 FVT262148 FLX262148 FCB262148 ESF262148 EIJ262148 DYN262148 DOR262148 DEV262148 CUZ262148 CLD262148 CBH262148 BRL262148 BHP262148 AXT262148 ANX262148 AEB262148 UF262148 KJ262148 WWV196612 WMZ196612 WDD196612 VTH196612 VJL196612 UZP196612 UPT196612 UFX196612 TWB196612 TMF196612 TCJ196612 SSN196612 SIR196612 RYV196612 ROZ196612 RFD196612 QVH196612 QLL196612 QBP196612 PRT196612 PHX196612 OYB196612 OOF196612 OEJ196612 NUN196612 NKR196612 NAV196612 MQZ196612 MHD196612 LXH196612 LNL196612 LDP196612 KTT196612 KJX196612 KAB196612 JQF196612 JGJ196612 IWN196612 IMR196612 ICV196612 HSZ196612 HJD196612 GZH196612 GPL196612 GFP196612 FVT196612 FLX196612 FCB196612 ESF196612 EIJ196612 DYN196612 DOR196612 DEV196612 CUZ196612 CLD196612 CBH196612 BRL196612 BHP196612 AXT196612 ANX196612 AEB196612 UF196612 KJ196612 WWV131076 WMZ131076 WDD131076 VTH131076 VJL131076 UZP131076 UPT131076 UFX131076 TWB131076 TMF131076 TCJ131076 SSN131076 SIR131076 RYV131076 ROZ131076 RFD131076 QVH131076 QLL131076 QBP131076 PRT131076 PHX131076 OYB131076 OOF131076 OEJ131076 NUN131076 NKR131076 NAV131076 MQZ131076 MHD131076 LXH131076 LNL131076 LDP131076 KTT131076 KJX131076 KAB131076 JQF131076 JGJ131076 IWN131076 IMR131076 ICV131076 HSZ131076 HJD131076 GZH131076 GPL131076 GFP131076 FVT131076 FLX131076 FCB131076 ESF131076 EIJ131076 DYN131076 DOR131076 DEV131076 CUZ131076 CLD131076 CBH131076 BRL131076 BHP131076 AXT131076 ANX131076 AEB131076 UF131076 KJ131076 WWV65540 WMZ65540 WDD65540 VTH65540 VJL65540 UZP65540 UPT65540 UFX65540 TWB65540 TMF65540 TCJ65540 SSN65540 SIR65540 RYV65540 ROZ65540 RFD65540 QVH65540 QLL65540 QBP65540 PRT65540 PHX65540 OYB65540 OOF65540 OEJ65540 NUN65540 NKR65540 NAV65540 MQZ65540 MHD65540 LXH65540 LNL65540 LDP65540 KTT65540 KJX65540 KAB65540 JQF65540 JGJ65540 IWN65540 IMR65540 ICV65540 HSZ65540 HJD65540 GZH65540 GPL65540 GFP65540 FVT65540 FLX65540 FCB65540 ESF65540 EIJ65540 DYN65540 DOR65540 DEV65540 CUZ65540 CLD65540 CBH65540 BRL65540 BHP65540 AXT65540 ANX65540 AEB65540 UF65540 KJ65540" xr:uid="{362016CE-D0E0-4A30-8402-2A847B58A57B}"/>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07380-7BBF-4FD4-97B9-B49626E74451}">
  <dimension ref="A1:BV100"/>
  <sheetViews>
    <sheetView showGridLines="0" topLeftCell="A28" zoomScale="73" zoomScaleNormal="73" workbookViewId="0">
      <selection activeCell="P78" sqref="P78"/>
    </sheetView>
  </sheetViews>
  <sheetFormatPr defaultColWidth="10.6640625" defaultRowHeight="13.2" x14ac:dyDescent="0.25"/>
  <cols>
    <col min="1" max="1" width="7.44140625" style="2126" customWidth="1"/>
    <col min="2" max="2" width="37.33203125" style="2126" bestFit="1" customWidth="1"/>
    <col min="3" max="3" width="8.44140625" style="2126" customWidth="1"/>
    <col min="4" max="4" width="13" style="2126" customWidth="1"/>
    <col min="5" max="5" width="15.33203125" style="2168" customWidth="1"/>
    <col min="6" max="26" width="10.6640625" style="2168"/>
    <col min="27" max="27" width="13.77734375" style="2168" customWidth="1"/>
    <col min="28" max="28" width="13.5546875" style="2168" customWidth="1"/>
    <col min="29" max="29" width="16.33203125" style="2168" customWidth="1"/>
    <col min="30" max="30" width="14.77734375" style="2168" customWidth="1"/>
    <col min="31" max="31" width="13.109375" style="2168" customWidth="1"/>
    <col min="32" max="32" width="16.109375" style="2168" customWidth="1"/>
    <col min="33" max="33" width="16.5546875" style="2168" customWidth="1"/>
    <col min="34" max="34" width="18.44140625" style="2168" customWidth="1"/>
    <col min="35" max="35" width="22.6640625" style="2168" customWidth="1"/>
    <col min="36" max="36" width="15.77734375" style="2168" customWidth="1"/>
    <col min="37" max="37" width="15.21875" style="2168" customWidth="1"/>
    <col min="38" max="38" width="18.5546875" style="2168" customWidth="1"/>
    <col min="39" max="39" width="18.109375" style="2168" customWidth="1"/>
    <col min="40" max="40" width="20.21875" style="2168" customWidth="1"/>
    <col min="41" max="41" width="16.44140625" style="2168" customWidth="1"/>
    <col min="42" max="42" width="15.21875" style="2168" customWidth="1"/>
    <col min="43" max="43" width="9.5546875" style="2168" customWidth="1"/>
    <col min="44" max="44" width="16.109375" style="2168" customWidth="1"/>
    <col min="45" max="45" width="15.33203125" style="2168" customWidth="1"/>
    <col min="46" max="46" width="15.109375" style="2168" customWidth="1"/>
    <col min="47" max="47" width="13.88671875" style="2168" customWidth="1"/>
    <col min="48" max="48" width="17.77734375" style="2168" customWidth="1"/>
    <col min="49" max="49" width="15.5546875" style="2168" customWidth="1"/>
    <col min="50" max="50" width="14.44140625" style="2168" customWidth="1"/>
    <col min="51" max="51" width="18.44140625" style="2168" customWidth="1"/>
    <col min="52" max="52" width="22.109375" style="2168" customWidth="1"/>
    <col min="53" max="53" width="26" style="2168" customWidth="1"/>
    <col min="54" max="16384" width="10.6640625" style="2168"/>
  </cols>
  <sheetData>
    <row r="1" spans="1:53" s="2126" customFormat="1" x14ac:dyDescent="0.25">
      <c r="D1" s="2127"/>
      <c r="E1" s="2127"/>
      <c r="F1" s="2127"/>
      <c r="G1" s="2127"/>
      <c r="H1" s="2127"/>
      <c r="I1" s="2127"/>
      <c r="J1" s="2127"/>
      <c r="K1" s="2127"/>
      <c r="L1" s="2127"/>
      <c r="M1" s="2127"/>
      <c r="N1" s="639"/>
      <c r="O1" s="639"/>
      <c r="P1" s="640"/>
      <c r="Q1" s="641">
        <v>1</v>
      </c>
      <c r="R1" s="641">
        <v>2</v>
      </c>
      <c r="S1" s="641">
        <v>3</v>
      </c>
      <c r="T1" s="641">
        <v>4</v>
      </c>
      <c r="U1" s="641">
        <v>5</v>
      </c>
      <c r="V1" s="641">
        <v>6</v>
      </c>
      <c r="W1" s="641">
        <v>7</v>
      </c>
      <c r="X1" s="641">
        <v>8</v>
      </c>
      <c r="Y1" s="641">
        <v>9</v>
      </c>
      <c r="Z1" s="641">
        <v>10</v>
      </c>
      <c r="AA1" s="641">
        <v>11</v>
      </c>
      <c r="AB1" s="641">
        <v>12</v>
      </c>
      <c r="AC1" s="641">
        <v>16</v>
      </c>
      <c r="AD1" s="641">
        <v>17</v>
      </c>
      <c r="AE1" s="641">
        <v>18</v>
      </c>
      <c r="AF1" s="641">
        <v>19</v>
      </c>
      <c r="AG1" s="641">
        <v>20</v>
      </c>
      <c r="AH1" s="641">
        <v>21</v>
      </c>
      <c r="AI1" s="641">
        <v>22</v>
      </c>
      <c r="AJ1" s="641">
        <v>23</v>
      </c>
      <c r="AK1" s="641">
        <v>24</v>
      </c>
      <c r="AL1" s="641">
        <v>25</v>
      </c>
      <c r="AM1" s="641">
        <v>26</v>
      </c>
      <c r="AN1" s="641">
        <v>27</v>
      </c>
      <c r="AO1" s="641">
        <v>28</v>
      </c>
      <c r="AP1" s="641">
        <v>29</v>
      </c>
      <c r="AQ1" s="641">
        <v>30</v>
      </c>
      <c r="AR1" s="641">
        <v>31</v>
      </c>
      <c r="AS1" s="641">
        <v>32</v>
      </c>
      <c r="AT1" s="641">
        <v>33</v>
      </c>
      <c r="AU1" s="641">
        <v>34</v>
      </c>
      <c r="AV1" s="641">
        <v>35</v>
      </c>
      <c r="AW1" s="641">
        <v>36</v>
      </c>
      <c r="AX1" s="641">
        <v>37</v>
      </c>
      <c r="AY1" s="641">
        <v>38</v>
      </c>
      <c r="AZ1" s="641">
        <v>39</v>
      </c>
      <c r="BA1" s="641">
        <v>40</v>
      </c>
    </row>
    <row r="2" spans="1:53" s="2128" customFormat="1" ht="15" customHeight="1" x14ac:dyDescent="0.25">
      <c r="B2" s="2399" t="s">
        <v>1847</v>
      </c>
      <c r="E2" s="2129" t="str">
        <f t="shared" ref="E2:H2" ca="1" si="0">IF(TODAY()&lt;E3,"Proj","")</f>
        <v/>
      </c>
      <c r="F2" s="2129" t="str">
        <f t="shared" ca="1" si="0"/>
        <v/>
      </c>
      <c r="G2" s="2129" t="str">
        <f t="shared" ca="1" si="0"/>
        <v/>
      </c>
      <c r="H2" s="2129" t="str">
        <f t="shared" ca="1" si="0"/>
        <v/>
      </c>
      <c r="I2" s="2130">
        <v>0</v>
      </c>
      <c r="J2" s="2130">
        <v>0</v>
      </c>
      <c r="K2" s="2129" t="s">
        <v>1493</v>
      </c>
      <c r="L2" s="2129" t="s">
        <v>1493</v>
      </c>
      <c r="M2" s="2129" t="s">
        <v>1493</v>
      </c>
      <c r="N2" s="2131"/>
      <c r="O2" s="2131"/>
      <c r="P2" s="2132"/>
      <c r="Q2" s="2133" t="s">
        <v>1494</v>
      </c>
      <c r="R2" s="2133" t="s">
        <v>1494</v>
      </c>
      <c r="S2" s="2133" t="s">
        <v>1494</v>
      </c>
      <c r="T2" s="2133" t="s">
        <v>1494</v>
      </c>
      <c r="U2" s="2133" t="s">
        <v>1494</v>
      </c>
      <c r="V2" s="2133" t="s">
        <v>1494</v>
      </c>
      <c r="W2" s="2133" t="s">
        <v>1494</v>
      </c>
      <c r="X2" s="2133" t="s">
        <v>1494</v>
      </c>
      <c r="Y2" s="2133" t="s">
        <v>1494</v>
      </c>
      <c r="Z2" s="2133" t="s">
        <v>1494</v>
      </c>
      <c r="AA2" s="2133" t="s">
        <v>1494</v>
      </c>
      <c r="AB2" s="2133" t="s">
        <v>1494</v>
      </c>
      <c r="AC2" s="2133" t="s">
        <v>1494</v>
      </c>
      <c r="AD2" s="2133" t="s">
        <v>1494</v>
      </c>
      <c r="AE2" s="2133" t="s">
        <v>1494</v>
      </c>
      <c r="AF2" s="2133" t="s">
        <v>1494</v>
      </c>
      <c r="AG2" s="2133" t="s">
        <v>1494</v>
      </c>
      <c r="AH2" s="2133" t="s">
        <v>1494</v>
      </c>
      <c r="AI2" s="2133" t="s">
        <v>1494</v>
      </c>
      <c r="AJ2" s="2133" t="s">
        <v>1494</v>
      </c>
      <c r="AK2" s="2133" t="s">
        <v>1494</v>
      </c>
      <c r="AL2" s="2133" t="s">
        <v>1494</v>
      </c>
      <c r="AM2" s="2133" t="s">
        <v>1494</v>
      </c>
      <c r="AN2" s="2133" t="s">
        <v>1494</v>
      </c>
      <c r="AO2" s="2133" t="s">
        <v>1494</v>
      </c>
      <c r="AP2" s="2133" t="s">
        <v>1494</v>
      </c>
      <c r="AQ2" s="2133" t="s">
        <v>1494</v>
      </c>
      <c r="AR2" s="2133" t="s">
        <v>1494</v>
      </c>
      <c r="AS2" s="2133" t="s">
        <v>1494</v>
      </c>
      <c r="AT2" s="2133" t="s">
        <v>1494</v>
      </c>
      <c r="AU2" s="2133" t="s">
        <v>1494</v>
      </c>
      <c r="AV2" s="2133" t="s">
        <v>1494</v>
      </c>
      <c r="AW2" s="2133" t="s">
        <v>1494</v>
      </c>
      <c r="AX2" s="2133" t="s">
        <v>1494</v>
      </c>
      <c r="AY2" s="2133" t="s">
        <v>1494</v>
      </c>
      <c r="AZ2" s="2133" t="s">
        <v>1494</v>
      </c>
      <c r="BA2" s="2133" t="s">
        <v>1494</v>
      </c>
    </row>
    <row r="3" spans="1:53" s="2134" customFormat="1" ht="13.8" thickBot="1" x14ac:dyDescent="0.3">
      <c r="B3" s="2400"/>
      <c r="C3" s="2135"/>
      <c r="D3" s="110">
        <v>40178</v>
      </c>
      <c r="E3" s="648">
        <f t="shared" ref="E3:BA3" si="1">DATE(YEAR(D3),MONTH(D3)+13,0)</f>
        <v>40543</v>
      </c>
      <c r="F3" s="648">
        <f t="shared" si="1"/>
        <v>40908</v>
      </c>
      <c r="G3" s="648">
        <f t="shared" si="1"/>
        <v>41274</v>
      </c>
      <c r="H3" s="648">
        <f t="shared" si="1"/>
        <v>41639</v>
      </c>
      <c r="I3" s="648">
        <f t="shared" si="1"/>
        <v>42004</v>
      </c>
      <c r="J3" s="648">
        <f t="shared" si="1"/>
        <v>42369</v>
      </c>
      <c r="K3" s="648">
        <f t="shared" si="1"/>
        <v>42735</v>
      </c>
      <c r="L3" s="648">
        <f t="shared" si="1"/>
        <v>43100</v>
      </c>
      <c r="M3" s="648">
        <f t="shared" si="1"/>
        <v>43465</v>
      </c>
      <c r="N3" s="648">
        <f t="shared" si="1"/>
        <v>43830</v>
      </c>
      <c r="O3" s="648">
        <f t="shared" si="1"/>
        <v>44196</v>
      </c>
      <c r="P3" s="649">
        <f t="shared" si="1"/>
        <v>44561</v>
      </c>
      <c r="Q3" s="650">
        <f t="shared" si="1"/>
        <v>44926</v>
      </c>
      <c r="R3" s="650">
        <f t="shared" si="1"/>
        <v>45291</v>
      </c>
      <c r="S3" s="650">
        <f t="shared" si="1"/>
        <v>45657</v>
      </c>
      <c r="T3" s="650">
        <f t="shared" si="1"/>
        <v>46022</v>
      </c>
      <c r="U3" s="650">
        <f t="shared" si="1"/>
        <v>46387</v>
      </c>
      <c r="V3" s="650">
        <f t="shared" si="1"/>
        <v>46752</v>
      </c>
      <c r="W3" s="650">
        <f t="shared" si="1"/>
        <v>47118</v>
      </c>
      <c r="X3" s="650">
        <f t="shared" si="1"/>
        <v>47483</v>
      </c>
      <c r="Y3" s="650">
        <f t="shared" si="1"/>
        <v>47848</v>
      </c>
      <c r="Z3" s="650">
        <f t="shared" si="1"/>
        <v>48213</v>
      </c>
      <c r="AA3" s="650">
        <f t="shared" si="1"/>
        <v>48579</v>
      </c>
      <c r="AB3" s="650">
        <f t="shared" si="1"/>
        <v>48944</v>
      </c>
      <c r="AC3" s="650">
        <f t="shared" si="1"/>
        <v>49309</v>
      </c>
      <c r="AD3" s="650">
        <f t="shared" si="1"/>
        <v>49674</v>
      </c>
      <c r="AE3" s="650">
        <f t="shared" si="1"/>
        <v>50040</v>
      </c>
      <c r="AF3" s="650">
        <f t="shared" si="1"/>
        <v>50405</v>
      </c>
      <c r="AG3" s="650">
        <f t="shared" si="1"/>
        <v>50770</v>
      </c>
      <c r="AH3" s="650">
        <f t="shared" si="1"/>
        <v>51135</v>
      </c>
      <c r="AI3" s="650">
        <f t="shared" si="1"/>
        <v>51501</v>
      </c>
      <c r="AJ3" s="650">
        <f t="shared" si="1"/>
        <v>51866</v>
      </c>
      <c r="AK3" s="650">
        <f t="shared" si="1"/>
        <v>52231</v>
      </c>
      <c r="AL3" s="650">
        <f t="shared" si="1"/>
        <v>52596</v>
      </c>
      <c r="AM3" s="650">
        <f t="shared" si="1"/>
        <v>52962</v>
      </c>
      <c r="AN3" s="650">
        <f t="shared" si="1"/>
        <v>53327</v>
      </c>
      <c r="AO3" s="650">
        <f t="shared" si="1"/>
        <v>53692</v>
      </c>
      <c r="AP3" s="650">
        <f t="shared" si="1"/>
        <v>54057</v>
      </c>
      <c r="AQ3" s="650">
        <f t="shared" si="1"/>
        <v>54423</v>
      </c>
      <c r="AR3" s="650">
        <f t="shared" si="1"/>
        <v>54788</v>
      </c>
      <c r="AS3" s="650">
        <f t="shared" si="1"/>
        <v>55153</v>
      </c>
      <c r="AT3" s="650">
        <f t="shared" si="1"/>
        <v>55518</v>
      </c>
      <c r="AU3" s="650">
        <f t="shared" si="1"/>
        <v>55884</v>
      </c>
      <c r="AV3" s="650">
        <f t="shared" si="1"/>
        <v>56249</v>
      </c>
      <c r="AW3" s="650">
        <f t="shared" si="1"/>
        <v>56614</v>
      </c>
      <c r="AX3" s="650">
        <f t="shared" si="1"/>
        <v>56979</v>
      </c>
      <c r="AY3" s="650">
        <f t="shared" si="1"/>
        <v>57345</v>
      </c>
      <c r="AZ3" s="650">
        <f t="shared" si="1"/>
        <v>57710</v>
      </c>
      <c r="BA3" s="650">
        <f t="shared" si="1"/>
        <v>58075</v>
      </c>
    </row>
    <row r="4" spans="1:53" s="2126" customFormat="1" ht="13.8" thickTop="1" x14ac:dyDescent="0.25">
      <c r="P4" s="2136"/>
    </row>
    <row r="5" spans="1:53" s="2141" customFormat="1" ht="13.8" thickBot="1" x14ac:dyDescent="0.3">
      <c r="A5" s="2126"/>
      <c r="B5" s="2137" t="s">
        <v>1848</v>
      </c>
      <c r="C5" s="2138"/>
      <c r="D5" s="2138"/>
      <c r="E5" s="2139"/>
      <c r="F5" s="2139"/>
      <c r="G5" s="2139"/>
      <c r="H5" s="2139"/>
      <c r="I5" s="2139"/>
      <c r="J5" s="2139"/>
      <c r="K5" s="2139"/>
      <c r="L5" s="2139"/>
      <c r="M5" s="2139"/>
      <c r="N5" s="2139"/>
      <c r="O5" s="2139"/>
      <c r="P5" s="2140"/>
      <c r="Q5" s="2139"/>
      <c r="R5" s="2139"/>
      <c r="S5" s="2139"/>
      <c r="T5" s="2139"/>
      <c r="U5" s="2139"/>
      <c r="V5" s="2139"/>
      <c r="W5" s="2139"/>
      <c r="X5" s="2139"/>
      <c r="Y5" s="2139"/>
      <c r="Z5" s="2139"/>
      <c r="AA5" s="2139"/>
      <c r="AB5" s="2139"/>
      <c r="AC5" s="2139"/>
      <c r="AD5" s="2139"/>
      <c r="AE5" s="2139"/>
      <c r="AF5" s="2139"/>
      <c r="AG5" s="2139"/>
      <c r="AH5" s="2139"/>
      <c r="AI5" s="2139"/>
      <c r="AJ5" s="2139"/>
      <c r="AK5" s="2139"/>
      <c r="AL5" s="2139"/>
      <c r="AM5" s="2139"/>
      <c r="AN5" s="2139"/>
      <c r="AO5" s="2139"/>
      <c r="AP5" s="2139"/>
      <c r="AQ5" s="2139"/>
      <c r="AR5" s="2139"/>
      <c r="AS5" s="2139"/>
      <c r="AT5" s="2139"/>
      <c r="AU5" s="2139"/>
      <c r="AV5" s="2139"/>
      <c r="AW5" s="2139"/>
      <c r="AX5" s="2139"/>
      <c r="AY5" s="2139"/>
      <c r="AZ5" s="2139"/>
      <c r="BA5" s="2139"/>
    </row>
    <row r="6" spans="1:53" s="2141" customFormat="1" x14ac:dyDescent="0.25">
      <c r="A6" s="2126" t="s">
        <v>1849</v>
      </c>
      <c r="B6" s="29" t="s">
        <v>1850</v>
      </c>
      <c r="C6" s="2126"/>
      <c r="D6" s="2126"/>
      <c r="J6" s="2142">
        <f>IF(Input!J138,Input!J138,"không data")</f>
        <v>41.918208</v>
      </c>
      <c r="K6" s="2142">
        <f>IF(Input!K138,Input!K138,"không data")</f>
        <v>52.378928999999999</v>
      </c>
      <c r="L6" s="2142">
        <f>IF(Input!L138,Input!L138,"không data")</f>
        <v>52.378914999999999</v>
      </c>
      <c r="M6" s="2142">
        <f>IF(Input!M138,Input!M138,"không data")</f>
        <v>52.378914999999999</v>
      </c>
      <c r="N6" s="2142">
        <f>IF(Input!N138,Input!N138,"không data")</f>
        <v>52.378914999999999</v>
      </c>
      <c r="O6" s="2142">
        <f>IF(Input!O138,Input!O138,"không data")</f>
        <v>52.338915</v>
      </c>
      <c r="P6" s="2231">
        <f>IF(Input!P138,Input!P138,"không data")</f>
        <v>57.572358999999999</v>
      </c>
      <c r="Q6" s="2142">
        <f>IF(Input!Q138,Input!Q138,"không data")</f>
        <v>57.572358999999999</v>
      </c>
      <c r="R6" s="2142">
        <f>IF(Input!R138,Input!R138,"không data")</f>
        <v>57.572358999999999</v>
      </c>
      <c r="S6" s="2142">
        <f>IF(Input!S138,Input!S138,"không data")</f>
        <v>57.572358999999999</v>
      </c>
      <c r="T6" s="2142">
        <f>IF(Input!T138,Input!T138,"không data")</f>
        <v>57.572358999999999</v>
      </c>
      <c r="U6" s="2142">
        <f>IF(Input!U138,Input!U138,"không data")</f>
        <v>57.572358999999999</v>
      </c>
      <c r="V6" s="2142">
        <f>IF(Input!V138,Input!V138,"không data")</f>
        <v>57.572358999999999</v>
      </c>
      <c r="W6" s="2142">
        <f>IF(Input!W138,Input!W138,"không data")</f>
        <v>57.572358999999999</v>
      </c>
      <c r="X6" s="2142">
        <f>IF(Input!X138,Input!X138,"không data")</f>
        <v>57.572358999999999</v>
      </c>
      <c r="Y6" s="2142">
        <f>IF(Input!Y138,Input!Y138,"không data")</f>
        <v>57.572358999999999</v>
      </c>
      <c r="Z6" s="2142">
        <f>IF(Input!Z138,Input!Z138,"không data")</f>
        <v>57.572358999999999</v>
      </c>
      <c r="AA6" s="2142"/>
    </row>
    <row r="7" spans="1:53" s="2141" customFormat="1" x14ac:dyDescent="0.25">
      <c r="A7" s="2126" t="s">
        <v>1849</v>
      </c>
      <c r="B7" s="29" t="s">
        <v>1851</v>
      </c>
      <c r="C7" s="2126"/>
      <c r="D7" s="2126"/>
      <c r="E7" s="2143"/>
      <c r="F7" s="2143"/>
      <c r="G7" s="2143"/>
      <c r="H7" s="2143"/>
      <c r="I7" s="2143"/>
      <c r="J7" s="2144">
        <f>'Output-FR (show)'!J78</f>
        <v>1067.9331976480003</v>
      </c>
      <c r="K7" s="2144">
        <f>'Output-FR (show)'!K78</f>
        <v>1434.2599540829999</v>
      </c>
      <c r="L7" s="2144">
        <f>'Output-FR (show)'!L78</f>
        <v>1544.1900202940001</v>
      </c>
      <c r="M7" s="2144">
        <f>'Output-FR (show)'!M78</f>
        <v>1434.3408771850002</v>
      </c>
      <c r="N7" s="2144">
        <f>'Output-FR (show)'!N78</f>
        <v>1620.552920656</v>
      </c>
      <c r="O7" s="2144">
        <f>'Output-FR (show)'!O78</f>
        <v>1437.409436723</v>
      </c>
      <c r="P7" s="2145">
        <f>'Output-FR (show)'!P78</f>
        <v>1553.4944181630001</v>
      </c>
      <c r="Q7" s="2144">
        <f ca="1">'Output-FR (show)'!Q78</f>
        <v>2118.7146521174404</v>
      </c>
      <c r="R7" s="2144">
        <f ca="1">'Output-FR (show)'!R78</f>
        <v>2393.1115019692334</v>
      </c>
      <c r="S7" s="2144">
        <f ca="1">'Output-FR (show)'!S78</f>
        <v>2757.0831770043728</v>
      </c>
      <c r="T7" s="2144">
        <f ca="1">'Output-FR (show)'!T78</f>
        <v>2953.9377385449616</v>
      </c>
      <c r="U7" s="2144">
        <f ca="1">'Output-FR (show)'!U78</f>
        <v>3136.9893323021415</v>
      </c>
      <c r="V7" s="2144">
        <f ca="1">'Output-FR (show)'!V78</f>
        <v>3396.861648263126</v>
      </c>
      <c r="W7" s="2144">
        <f ca="1">'Output-FR (show)'!W78</f>
        <v>3566.890291418641</v>
      </c>
      <c r="X7" s="2144">
        <f ca="1">'Output-FR (show)'!X78</f>
        <v>3898.2513497739646</v>
      </c>
      <c r="Y7" s="2144">
        <f ca="1">'Output-FR (show)'!Y78</f>
        <v>4135.7737584808674</v>
      </c>
      <c r="Z7" s="2144">
        <f ca="1">'Output-FR (show)'!Z78</f>
        <v>4382.0576156570578</v>
      </c>
      <c r="AA7" s="2144"/>
      <c r="AB7" s="2143"/>
      <c r="AC7" s="2143"/>
      <c r="AD7" s="2143"/>
      <c r="AE7" s="2143"/>
      <c r="AF7" s="2143"/>
      <c r="AG7" s="2143"/>
      <c r="AH7" s="2143"/>
      <c r="AI7" s="2143"/>
      <c r="AJ7" s="2143"/>
      <c r="AK7" s="2143"/>
      <c r="AL7" s="2143"/>
      <c r="AM7" s="2143"/>
      <c r="AN7" s="2143"/>
      <c r="AO7" s="2143"/>
      <c r="AP7" s="2143"/>
      <c r="AQ7" s="2143"/>
      <c r="AR7" s="2143"/>
      <c r="AS7" s="2143"/>
      <c r="AT7" s="2143"/>
      <c r="AU7" s="2143"/>
      <c r="AV7" s="2143"/>
      <c r="AW7" s="2143"/>
      <c r="AX7" s="2143"/>
      <c r="AY7" s="2143"/>
      <c r="AZ7" s="2143"/>
      <c r="BA7" s="2143"/>
    </row>
    <row r="8" spans="1:53" s="2141" customFormat="1" x14ac:dyDescent="0.25">
      <c r="A8" s="2126" t="s">
        <v>1849</v>
      </c>
      <c r="B8" s="29" t="s">
        <v>1852</v>
      </c>
      <c r="C8" s="2126"/>
      <c r="D8" s="2126"/>
      <c r="E8" s="2143"/>
      <c r="F8" s="2143"/>
      <c r="G8" s="2143"/>
      <c r="H8" s="2143"/>
      <c r="I8" s="2143"/>
      <c r="J8" s="2144">
        <f>'Output-FR (show)'!J111</f>
        <v>554.14465451900014</v>
      </c>
      <c r="K8" s="2144">
        <f>'Output-FR (show)'!K111</f>
        <v>773.02927037399991</v>
      </c>
      <c r="L8" s="2144">
        <f>'Output-FR (show)'!L111</f>
        <v>833.01025166399995</v>
      </c>
      <c r="M8" s="2144">
        <f>'Output-FR (show)'!M111</f>
        <v>890.65428919099998</v>
      </c>
      <c r="N8" s="2144">
        <f>'Output-FR (show)'!N111</f>
        <v>932.50832086299988</v>
      </c>
      <c r="O8" s="2144">
        <f>'Output-FR (show)'!O111</f>
        <v>988.62553022999987</v>
      </c>
      <c r="P8" s="2145">
        <f>'Output-FR (show)'!P111</f>
        <v>1135.1413956440001</v>
      </c>
      <c r="Q8" s="2144">
        <f ca="1">'Output-FR (show)'!Q111</f>
        <v>1308.2149077333083</v>
      </c>
      <c r="R8" s="2144">
        <f ca="1">'Output-FR (show)'!R111</f>
        <v>1474.7873701366314</v>
      </c>
      <c r="S8" s="2144">
        <f ca="1">'Output-FR (show)'!S111</f>
        <v>1761.0102003002107</v>
      </c>
      <c r="T8" s="2144">
        <f ca="1">'Output-FR (show)'!T111</f>
        <v>2004.519728664689</v>
      </c>
      <c r="U8" s="2144">
        <f ca="1">'Output-FR (show)'!U111</f>
        <v>2303.8670760011514</v>
      </c>
      <c r="V8" s="2144">
        <f ca="1">'Output-FR (show)'!V111</f>
        <v>2603.2980976331228</v>
      </c>
      <c r="W8" s="2144">
        <f ca="1">'Output-FR (show)'!W111</f>
        <v>2894.4832574628331</v>
      </c>
      <c r="X8" s="2144">
        <f ca="1">'Output-FR (show)'!X111</f>
        <v>3195.983257992606</v>
      </c>
      <c r="Y8" s="2144">
        <f ca="1">'Output-FR (show)'!Y111</f>
        <v>3440.2643704161746</v>
      </c>
      <c r="Z8" s="2144">
        <f ca="1">'Output-FR (show)'!Z111</f>
        <v>3685.8241933566151</v>
      </c>
      <c r="AA8" s="2144"/>
      <c r="AB8" s="2143"/>
      <c r="AC8" s="2143"/>
      <c r="AD8" s="2143"/>
      <c r="AE8" s="2143"/>
      <c r="AF8" s="2143"/>
      <c r="AG8" s="2143"/>
      <c r="AH8" s="2143"/>
      <c r="AI8" s="2143"/>
      <c r="AJ8" s="2143"/>
      <c r="AK8" s="2143"/>
      <c r="AL8" s="2143"/>
      <c r="AM8" s="2143"/>
      <c r="AN8" s="2143"/>
      <c r="AO8" s="2143"/>
      <c r="AP8" s="2143"/>
      <c r="AQ8" s="2143"/>
      <c r="AR8" s="2143"/>
      <c r="AS8" s="2143"/>
      <c r="AT8" s="2143"/>
      <c r="AU8" s="2143"/>
      <c r="AV8" s="2143"/>
      <c r="AW8" s="2143"/>
      <c r="AX8" s="2143"/>
      <c r="AY8" s="2143"/>
      <c r="AZ8" s="2143"/>
      <c r="BA8" s="2143"/>
    </row>
    <row r="9" spans="1:53" s="2141" customFormat="1" x14ac:dyDescent="0.25">
      <c r="A9" s="2126" t="s">
        <v>1849</v>
      </c>
      <c r="B9" s="29" t="s">
        <v>1853</v>
      </c>
      <c r="C9" s="2126"/>
      <c r="D9" s="2126"/>
      <c r="E9" s="2143"/>
      <c r="F9" s="2143"/>
      <c r="G9" s="2143"/>
      <c r="H9" s="2143"/>
      <c r="I9" s="2143"/>
      <c r="J9" s="2144">
        <f>'Output-FR (show)'!J5</f>
        <v>1225.068036933</v>
      </c>
      <c r="K9" s="2144">
        <f>'Output-FR (show)'!K5</f>
        <v>1384.901834538</v>
      </c>
      <c r="L9" s="2144">
        <f>'Output-FR (show)'!L5</f>
        <v>1388.227398407</v>
      </c>
      <c r="M9" s="2144">
        <f>'Output-FR (show)'!M5</f>
        <v>1401.0243162510001</v>
      </c>
      <c r="N9" s="2144">
        <f>'Output-FR (show)'!N5</f>
        <v>1261.729021484</v>
      </c>
      <c r="O9" s="2144">
        <f>'Output-FR (show)'!O5</f>
        <v>1256.952371543</v>
      </c>
      <c r="P9" s="2145">
        <f>'Output-FR (show)'!P5</f>
        <v>1558.5043332830001</v>
      </c>
      <c r="Q9" s="2144">
        <f>'Output-FR (show)'!Q5</f>
        <v>1674.6241956129609</v>
      </c>
      <c r="R9" s="2144">
        <f>'Output-FR (show)'!R5</f>
        <v>1747.0633585486698</v>
      </c>
      <c r="S9" s="2144">
        <f>'Output-FR (show)'!S5</f>
        <v>2205.6779275070485</v>
      </c>
      <c r="T9" s="2144">
        <f>'Output-FR (show)'!T5</f>
        <v>2352.6624514638038</v>
      </c>
      <c r="U9" s="2144">
        <f>'Output-FR (show)'!U5</f>
        <v>2500.2090223576433</v>
      </c>
      <c r="V9" s="2144">
        <f>'Output-FR (show)'!V5</f>
        <v>2621.935344537902</v>
      </c>
      <c r="W9" s="2144">
        <f>'Output-FR (show)'!W5</f>
        <v>2773.8208160693039</v>
      </c>
      <c r="X9" s="2144">
        <f>'Output-FR (show)'!X5</f>
        <v>2880.957655097322</v>
      </c>
      <c r="Y9" s="2144">
        <f>'Output-FR (show)'!Y5</f>
        <v>2996.9379229805013</v>
      </c>
      <c r="Z9" s="2144">
        <f>'Output-FR (show)'!Z5</f>
        <v>3122.6339329848565</v>
      </c>
      <c r="AA9" s="2144"/>
      <c r="AB9" s="2143"/>
      <c r="AC9" s="2143"/>
      <c r="AD9" s="2143"/>
      <c r="AE9" s="2143"/>
      <c r="AF9" s="2143"/>
      <c r="AG9" s="2143"/>
      <c r="AH9" s="2143"/>
      <c r="AI9" s="2143"/>
      <c r="AJ9" s="2143"/>
      <c r="AK9" s="2143"/>
      <c r="AL9" s="2143"/>
      <c r="AM9" s="2143"/>
      <c r="AN9" s="2143"/>
      <c r="AO9" s="2143"/>
      <c r="AP9" s="2143"/>
      <c r="AQ9" s="2143"/>
      <c r="AR9" s="2143"/>
      <c r="AS9" s="2143"/>
      <c r="AT9" s="2143"/>
      <c r="AU9" s="2143"/>
      <c r="AV9" s="2143"/>
      <c r="AW9" s="2143"/>
      <c r="AX9" s="2143"/>
      <c r="AY9" s="2143"/>
      <c r="AZ9" s="2143"/>
      <c r="BA9" s="2143"/>
    </row>
    <row r="10" spans="1:53" s="2149" customFormat="1" x14ac:dyDescent="0.25">
      <c r="A10" s="2146" t="s">
        <v>1849</v>
      </c>
      <c r="B10" s="788" t="s">
        <v>1854</v>
      </c>
      <c r="C10" s="2147"/>
      <c r="D10" s="2147"/>
      <c r="E10" s="2148"/>
      <c r="F10" s="2148"/>
      <c r="G10" s="2148"/>
      <c r="H10" s="2148"/>
      <c r="I10" s="2148"/>
      <c r="J10" s="2148"/>
      <c r="K10" s="2153">
        <f>IFERROR(K9/J9-1,"")</f>
        <v>0.13046932316114401</v>
      </c>
      <c r="L10" s="2153">
        <f t="shared" ref="L10:Z10" si="2">IFERROR(L9/K9-1,"")</f>
        <v>2.4012993456026255E-3</v>
      </c>
      <c r="M10" s="2153">
        <f t="shared" si="2"/>
        <v>9.2181712150938289E-3</v>
      </c>
      <c r="N10" s="2153">
        <f t="shared" si="2"/>
        <v>-9.9423895182447874E-2</v>
      </c>
      <c r="O10" s="2153">
        <f t="shared" si="2"/>
        <v>-3.7857969973471572E-3</v>
      </c>
      <c r="P10" s="2232">
        <f t="shared" si="2"/>
        <v>0.23990723003276826</v>
      </c>
      <c r="Q10" s="2153">
        <f t="shared" si="2"/>
        <v>7.4507243804291301E-2</v>
      </c>
      <c r="R10" s="2153">
        <f t="shared" si="2"/>
        <v>4.3256966623006488E-2</v>
      </c>
      <c r="S10" s="2153">
        <f t="shared" si="2"/>
        <v>0.26250597421913846</v>
      </c>
      <c r="T10" s="2153">
        <f t="shared" si="2"/>
        <v>6.6639159835490291E-2</v>
      </c>
      <c r="U10" s="2153">
        <f t="shared" si="2"/>
        <v>6.2714721698404974E-2</v>
      </c>
      <c r="V10" s="2153">
        <f t="shared" si="2"/>
        <v>4.8686458248788034E-2</v>
      </c>
      <c r="W10" s="2153">
        <f t="shared" si="2"/>
        <v>5.7928763135908223E-2</v>
      </c>
      <c r="X10" s="2153">
        <f t="shared" si="2"/>
        <v>3.8624282580674629E-2</v>
      </c>
      <c r="Y10" s="2153">
        <f t="shared" si="2"/>
        <v>4.0257539946126464E-2</v>
      </c>
      <c r="Z10" s="2153">
        <f t="shared" si="2"/>
        <v>4.1941479348143629E-2</v>
      </c>
      <c r="AA10" s="2148"/>
      <c r="AB10" s="2148"/>
      <c r="AC10" s="2148"/>
      <c r="AD10" s="2148"/>
      <c r="AE10" s="2148"/>
      <c r="AF10" s="2148"/>
      <c r="AG10" s="2148"/>
      <c r="AH10" s="2148"/>
      <c r="AI10" s="2148"/>
      <c r="AJ10" s="2148"/>
      <c r="AK10" s="2148"/>
      <c r="AL10" s="2148"/>
      <c r="AM10" s="2148"/>
      <c r="AN10" s="2148"/>
      <c r="AO10" s="2148"/>
      <c r="AP10" s="2148"/>
      <c r="AQ10" s="2148"/>
      <c r="AR10" s="2148"/>
      <c r="AS10" s="2148"/>
      <c r="AT10" s="2148"/>
      <c r="AU10" s="2148"/>
      <c r="AV10" s="2148"/>
      <c r="AW10" s="2148"/>
      <c r="AX10" s="2148"/>
      <c r="AY10" s="2148"/>
      <c r="AZ10" s="2148"/>
      <c r="BA10" s="2148"/>
    </row>
    <row r="11" spans="1:53" s="2141" customFormat="1" x14ac:dyDescent="0.25">
      <c r="A11" s="2126" t="s">
        <v>1849</v>
      </c>
      <c r="B11" s="29" t="s">
        <v>1855</v>
      </c>
      <c r="C11" s="2126"/>
      <c r="D11" s="2126"/>
      <c r="E11" s="2150"/>
      <c r="F11" s="2150"/>
      <c r="G11" s="2150"/>
      <c r="H11" s="2150"/>
      <c r="I11" s="2150"/>
      <c r="J11" s="2151">
        <f>'Output-FR (show)'!J18</f>
        <v>127.87703163600001</v>
      </c>
      <c r="K11" s="2151">
        <f>'Output-FR (show)'!K18</f>
        <v>158.00894568399997</v>
      </c>
      <c r="L11" s="2151">
        <f>'Output-FR (show)'!L18</f>
        <v>186.93812527799997</v>
      </c>
      <c r="M11" s="2151">
        <f>'Output-FR (show)'!M18</f>
        <v>186.55696830200009</v>
      </c>
      <c r="N11" s="2151">
        <f>'Output-FR (show)'!N18</f>
        <v>160.74955490999997</v>
      </c>
      <c r="O11" s="2151">
        <f>'Output-FR (show)'!O18</f>
        <v>181.78307433800001</v>
      </c>
      <c r="P11" s="2233">
        <f>'Output-FR (show)'!P18</f>
        <v>217.12852030100004</v>
      </c>
      <c r="Q11" s="2151">
        <f>'Output-FR (show)'!Q18</f>
        <v>273.35082034359561</v>
      </c>
      <c r="R11" s="2151">
        <f>'Output-FR (show)'!R18</f>
        <v>272.7942275523551</v>
      </c>
      <c r="S11" s="2151">
        <f>'Output-FR (show)'!S18</f>
        <v>397.41417371342959</v>
      </c>
      <c r="T11" s="2151">
        <f>'Output-FR (show)'!T18</f>
        <v>449.32470313824018</v>
      </c>
      <c r="U11" s="2151">
        <f>'Output-FR (show)'!U18</f>
        <v>509.17464324136733</v>
      </c>
      <c r="V11" s="2151">
        <f>'Output-FR (show)'!V18</f>
        <v>547.73173872434927</v>
      </c>
      <c r="W11" s="2151">
        <f>'Output-FR (show)'!W18</f>
        <v>597.83741306465026</v>
      </c>
      <c r="X11" s="2151">
        <f>'Output-FR (show)'!X18</f>
        <v>621.98760542854041</v>
      </c>
      <c r="Y11" s="2151">
        <f>'Output-FR (show)'!Y18</f>
        <v>648.32482036026067</v>
      </c>
      <c r="Z11" s="2151">
        <f>'Output-FR (show)'!Z18</f>
        <v>677.07237183411826</v>
      </c>
      <c r="AA11" s="2151"/>
      <c r="AB11" s="2143"/>
      <c r="AC11" s="2143"/>
      <c r="AD11" s="2143"/>
      <c r="AE11" s="2143"/>
      <c r="AF11" s="2143"/>
      <c r="AG11" s="2143"/>
      <c r="AH11" s="2143"/>
      <c r="AI11" s="2143"/>
      <c r="AJ11" s="2143"/>
      <c r="AK11" s="2143"/>
      <c r="AL11" s="2143"/>
      <c r="AM11" s="2143"/>
      <c r="AN11" s="2143"/>
      <c r="AO11" s="2143"/>
      <c r="AP11" s="2143"/>
      <c r="AQ11" s="2143"/>
      <c r="AR11" s="2143"/>
      <c r="AS11" s="2143"/>
      <c r="AT11" s="2143"/>
      <c r="AU11" s="2143"/>
      <c r="AV11" s="2143"/>
      <c r="AW11" s="2143"/>
      <c r="AX11" s="2143"/>
      <c r="AY11" s="2143"/>
      <c r="AZ11" s="2143"/>
      <c r="BA11" s="2143"/>
    </row>
    <row r="12" spans="1:53" s="2141" customFormat="1" x14ac:dyDescent="0.25">
      <c r="A12" s="2126" t="s">
        <v>1849</v>
      </c>
      <c r="B12" s="29" t="s">
        <v>1856</v>
      </c>
      <c r="C12" s="2126"/>
      <c r="D12" s="2126"/>
      <c r="E12" s="2150"/>
      <c r="F12" s="2150"/>
      <c r="G12" s="2150"/>
      <c r="H12" s="2150"/>
      <c r="I12" s="2150"/>
      <c r="J12" s="2151">
        <f>'Output-FR (show)'!J32</f>
        <v>214.76550387699996</v>
      </c>
      <c r="K12" s="2151">
        <f>'Output-FR (show)'!K32</f>
        <v>141.49153793399995</v>
      </c>
      <c r="L12" s="2151">
        <f>'Output-FR (show)'!L32</f>
        <v>164.39079412699996</v>
      </c>
      <c r="M12" s="2151">
        <f>'Output-FR (show)'!M32</f>
        <v>163.00479829400007</v>
      </c>
      <c r="N12" s="2151">
        <f>'Output-FR (show)'!N32</f>
        <v>142.227417237</v>
      </c>
      <c r="O12" s="2151">
        <f>'Output-FR (show)'!O32</f>
        <v>157.85956481599999</v>
      </c>
      <c r="P12" s="2233">
        <f>'Output-FR (show)'!P32</f>
        <v>184.39927551800002</v>
      </c>
      <c r="Q12" s="2151">
        <f ca="1">'Output-FR (show)'!Q32</f>
        <v>229.61098663209702</v>
      </c>
      <c r="R12" s="2151">
        <f ca="1">'Output-FR (show)'!R32</f>
        <v>226.79776694610229</v>
      </c>
      <c r="S12" s="2151">
        <f ca="1">'Output-FR (show)'!S32</f>
        <v>329.50567241642386</v>
      </c>
      <c r="T12" s="2151">
        <f ca="1">'Output-FR (show)'!T32</f>
        <v>380.05354801585213</v>
      </c>
      <c r="U12" s="2151">
        <f ca="1">'Output-FR (show)'!U32</f>
        <v>438.52478762982804</v>
      </c>
      <c r="V12" s="2151">
        <f ca="1">'Output-FR (show)'!V32</f>
        <v>482.05233926565199</v>
      </c>
      <c r="W12" s="2151">
        <f ca="1">'Output-FR (show)'!W32</f>
        <v>534.2002740696314</v>
      </c>
      <c r="X12" s="2151">
        <f ca="1">'Output-FR (show)'!X32</f>
        <v>561.45375147956099</v>
      </c>
      <c r="Y12" s="2151">
        <f ca="1">'Output-FR (show)'!Y32</f>
        <v>592.44966018140326</v>
      </c>
      <c r="Z12" s="2151">
        <f ca="1">'Output-FR (show)'!Z32</f>
        <v>625.60119530217696</v>
      </c>
      <c r="AA12" s="2151"/>
      <c r="AB12" s="2143"/>
      <c r="AC12" s="2143"/>
      <c r="AD12" s="2143"/>
      <c r="AE12" s="2143"/>
      <c r="AF12" s="2143"/>
      <c r="AG12" s="2143"/>
      <c r="AH12" s="2143"/>
      <c r="AI12" s="2143"/>
      <c r="AJ12" s="2143"/>
      <c r="AK12" s="2143"/>
      <c r="AL12" s="2143"/>
      <c r="AM12" s="2143"/>
      <c r="AN12" s="2143"/>
      <c r="AO12" s="2143"/>
      <c r="AP12" s="2143"/>
      <c r="AQ12" s="2143"/>
      <c r="AR12" s="2143"/>
      <c r="AS12" s="2143"/>
      <c r="AT12" s="2143"/>
      <c r="AU12" s="2143"/>
      <c r="AV12" s="2143"/>
      <c r="AW12" s="2143"/>
      <c r="AX12" s="2143"/>
      <c r="AY12" s="2143"/>
      <c r="AZ12" s="2143"/>
      <c r="BA12" s="2143"/>
    </row>
    <row r="13" spans="1:53" s="2149" customFormat="1" x14ac:dyDescent="0.25">
      <c r="A13" s="2146" t="s">
        <v>1849</v>
      </c>
      <c r="B13" s="788" t="s">
        <v>1857</v>
      </c>
      <c r="C13" s="2147"/>
      <c r="D13" s="2147"/>
      <c r="E13" s="2152"/>
      <c r="F13" s="2148"/>
      <c r="G13" s="2148"/>
      <c r="H13" s="2148"/>
      <c r="I13" s="2148"/>
      <c r="J13" s="2148"/>
      <c r="K13" s="2153">
        <f>IFERROR(K12/J12-1,"")</f>
        <v>-0.34118126337908217</v>
      </c>
      <c r="L13" s="2153">
        <f t="shared" ref="L13:Z13" si="3">IFERROR(L12/K12-1,"")</f>
        <v>0.16184187780672499</v>
      </c>
      <c r="M13" s="2153">
        <f t="shared" si="3"/>
        <v>-8.4311037023712121E-3</v>
      </c>
      <c r="N13" s="2153">
        <f t="shared" si="3"/>
        <v>-0.12746484320986307</v>
      </c>
      <c r="O13" s="2153">
        <f t="shared" si="3"/>
        <v>0.10990952295049716</v>
      </c>
      <c r="P13" s="2232">
        <f t="shared" si="3"/>
        <v>0.16812228472145185</v>
      </c>
      <c r="Q13" s="2153">
        <f t="shared" ca="1" si="3"/>
        <v>0.24518377844539674</v>
      </c>
      <c r="R13" s="2153">
        <f t="shared" ca="1" si="3"/>
        <v>-1.2252112702700657E-2</v>
      </c>
      <c r="S13" s="2153">
        <f t="shared" ca="1" si="3"/>
        <v>0.45286118489310234</v>
      </c>
      <c r="T13" s="2153">
        <f t="shared" ca="1" si="3"/>
        <v>0.15340517578570445</v>
      </c>
      <c r="U13" s="2153">
        <f t="shared" ca="1" si="3"/>
        <v>0.15385000329358078</v>
      </c>
      <c r="V13" s="2153">
        <f t="shared" ca="1" si="3"/>
        <v>9.9259045015642089E-2</v>
      </c>
      <c r="W13" s="2153">
        <f t="shared" ca="1" si="3"/>
        <v>0.10817898920150548</v>
      </c>
      <c r="X13" s="2153">
        <f t="shared" ca="1" si="3"/>
        <v>5.1017340748082729E-2</v>
      </c>
      <c r="Y13" s="2153">
        <f t="shared" ca="1" si="3"/>
        <v>5.5206521677272358E-2</v>
      </c>
      <c r="Z13" s="2153">
        <f t="shared" ca="1" si="3"/>
        <v>5.5956712188210078E-2</v>
      </c>
      <c r="AA13" s="2153"/>
      <c r="AB13" s="2148"/>
      <c r="AC13" s="2148"/>
      <c r="AD13" s="2148"/>
      <c r="AE13" s="2148"/>
      <c r="AF13" s="2148"/>
      <c r="AG13" s="2148"/>
      <c r="AH13" s="2148"/>
      <c r="AI13" s="2148"/>
      <c r="AJ13" s="2148"/>
      <c r="AK13" s="2148"/>
      <c r="AL13" s="2148"/>
      <c r="AM13" s="2148"/>
      <c r="AN13" s="2148"/>
      <c r="AO13" s="2148"/>
      <c r="AP13" s="2148"/>
      <c r="AQ13" s="2148"/>
      <c r="AR13" s="2148"/>
      <c r="AS13" s="2148"/>
      <c r="AT13" s="2148"/>
      <c r="AU13" s="2148"/>
      <c r="AV13" s="2148"/>
      <c r="AW13" s="2148"/>
      <c r="AX13" s="2148"/>
      <c r="AY13" s="2148"/>
      <c r="AZ13" s="2148"/>
      <c r="BA13" s="2148"/>
    </row>
    <row r="14" spans="1:53" s="2150" customFormat="1" x14ac:dyDescent="0.25">
      <c r="A14" s="2126" t="s">
        <v>1849</v>
      </c>
      <c r="B14" s="31" t="s">
        <v>1858</v>
      </c>
      <c r="C14" s="1120"/>
      <c r="D14" s="1120"/>
      <c r="E14" s="2154"/>
      <c r="F14" s="2154"/>
      <c r="G14" s="2154"/>
      <c r="H14" s="2154"/>
      <c r="I14" s="2154"/>
      <c r="J14" s="2155">
        <f>DCF!G13+DCF!G14</f>
        <v>39.216981767999997</v>
      </c>
      <c r="K14" s="2155">
        <f>DCF!H13+DCF!H14</f>
        <v>33.793831392000001</v>
      </c>
      <c r="L14" s="2155">
        <f>DCF!I13+DCF!I14</f>
        <v>36.81384233</v>
      </c>
      <c r="M14" s="2155">
        <f>DCF!J13+DCF!J14</f>
        <v>36.516915462</v>
      </c>
      <c r="N14" s="2155">
        <f>DCF!K13+DCF!K14</f>
        <v>27.945021708999999</v>
      </c>
      <c r="O14" s="2155">
        <f>DCF!L13+DCF!L14</f>
        <v>31.808990529999999</v>
      </c>
      <c r="P14" s="2156">
        <f>DCF!M13+DCF!M14</f>
        <v>40.674128404000001</v>
      </c>
      <c r="Q14" s="2155">
        <f>DCF!N13+DCF!N14</f>
        <v>101.71289197524426</v>
      </c>
      <c r="R14" s="2155">
        <f>DCF!O13+DCF!O14</f>
        <v>133.59326505145162</v>
      </c>
      <c r="S14" s="2155">
        <f>DCF!P13+DCF!P14</f>
        <v>140.73852797752977</v>
      </c>
      <c r="T14" s="2155">
        <f>DCF!Q13+DCF!Q14</f>
        <v>99.91127477701157</v>
      </c>
      <c r="U14" s="2155">
        <f>DCF!R13+DCF!R14</f>
        <v>98.416263781680655</v>
      </c>
      <c r="V14" s="2155">
        <f>DCF!S13+DCF!S14</f>
        <v>107.27935621901526</v>
      </c>
      <c r="W14" s="2155">
        <f>DCF!T13+DCF!T14</f>
        <v>116.95323100091025</v>
      </c>
      <c r="X14" s="2155">
        <f>DCF!U13+DCF!U14</f>
        <v>125.34044754634992</v>
      </c>
      <c r="Y14" s="2155">
        <f>DCF!V13+DCF!V14</f>
        <v>134.08280931157887</v>
      </c>
      <c r="Z14" s="2155">
        <f>DCF!W13+DCF!W14</f>
        <v>143.21281857534004</v>
      </c>
      <c r="AA14" s="2155"/>
      <c r="AB14" s="2154"/>
      <c r="AC14" s="2154"/>
      <c r="AD14" s="2154"/>
      <c r="AE14" s="2154"/>
      <c r="AF14" s="2154"/>
      <c r="AG14" s="2154"/>
      <c r="AH14" s="2154"/>
      <c r="AI14" s="2154"/>
      <c r="AJ14" s="2154"/>
      <c r="AK14" s="2154"/>
      <c r="AL14" s="2154"/>
      <c r="AM14" s="2154"/>
      <c r="AN14" s="2154"/>
      <c r="AO14" s="2154"/>
      <c r="AP14" s="2154"/>
      <c r="AQ14" s="2154"/>
      <c r="AR14" s="2154"/>
      <c r="AS14" s="2154"/>
      <c r="AT14" s="2154"/>
      <c r="AU14" s="2154"/>
      <c r="AV14" s="2154"/>
      <c r="AW14" s="2154"/>
      <c r="AX14" s="2154"/>
      <c r="AY14" s="2154"/>
      <c r="AZ14" s="2154"/>
      <c r="BA14" s="2154"/>
    </row>
    <row r="15" spans="1:53" s="2150" customFormat="1" x14ac:dyDescent="0.25">
      <c r="A15" s="2126" t="s">
        <v>1849</v>
      </c>
      <c r="B15" s="1120" t="s">
        <v>1859</v>
      </c>
      <c r="C15" s="1120"/>
      <c r="D15" s="1120"/>
      <c r="E15" s="2154"/>
      <c r="F15" s="2154"/>
      <c r="G15" s="2154"/>
      <c r="H15" s="2154"/>
      <c r="I15" s="2154"/>
      <c r="J15" s="2155">
        <f>DCF!G15</f>
        <v>-40.701219500999997</v>
      </c>
      <c r="K15" s="2155">
        <f>DCF!H15</f>
        <v>-115.31445511699999</v>
      </c>
      <c r="L15" s="2155">
        <f>DCF!I15</f>
        <v>-49.726230184000002</v>
      </c>
      <c r="M15" s="2155">
        <f>DCF!J15</f>
        <v>-44.080067954999997</v>
      </c>
      <c r="N15" s="2155">
        <f>DCF!K15</f>
        <v>-149.62789548699999</v>
      </c>
      <c r="O15" s="2155">
        <f>DCF!L15</f>
        <v>-55.734319657999997</v>
      </c>
      <c r="P15" s="2156">
        <f>DCF!M15</f>
        <v>0</v>
      </c>
      <c r="Q15" s="2155">
        <f>DCF!N15</f>
        <v>-451.02885356693275</v>
      </c>
      <c r="R15" s="2155">
        <f>DCF!O15</f>
        <v>-354.63249581806161</v>
      </c>
      <c r="S15" s="2155">
        <f>DCF!P15</f>
        <v>-79.482834742685924</v>
      </c>
      <c r="T15" s="2155">
        <f>DCF!Q15</f>
        <v>-89.864940627648025</v>
      </c>
      <c r="U15" s="2155">
        <f>DCF!R15</f>
        <v>-91.651435783446118</v>
      </c>
      <c r="V15" s="2155">
        <f>DCF!S15</f>
        <v>-98.591712970382872</v>
      </c>
      <c r="W15" s="2155">
        <f>DCF!T15</f>
        <v>-107.61073435163705</v>
      </c>
      <c r="X15" s="2155">
        <f>DCF!U15</f>
        <v>-93.298140814281055</v>
      </c>
      <c r="Y15" s="2155">
        <f>DCF!V15</f>
        <v>-97.248723054039104</v>
      </c>
      <c r="Z15" s="2155">
        <f>DCF!W15</f>
        <v>-101.56085577511773</v>
      </c>
      <c r="AA15" s="2155"/>
      <c r="AB15" s="2154"/>
      <c r="AC15" s="2154"/>
      <c r="AD15" s="2154"/>
      <c r="AE15" s="2154"/>
      <c r="AF15" s="2154"/>
      <c r="AG15" s="2154"/>
      <c r="AH15" s="2154"/>
      <c r="AI15" s="2154"/>
      <c r="AJ15" s="2154"/>
      <c r="AK15" s="2154"/>
      <c r="AL15" s="2154"/>
      <c r="AM15" s="2154"/>
      <c r="AN15" s="2154"/>
      <c r="AO15" s="2154"/>
      <c r="AP15" s="2154"/>
      <c r="AQ15" s="2154"/>
      <c r="AR15" s="2154"/>
      <c r="AS15" s="2154"/>
      <c r="AT15" s="2154"/>
      <c r="AU15" s="2154"/>
      <c r="AV15" s="2154"/>
      <c r="AW15" s="2154"/>
      <c r="AX15" s="2154"/>
      <c r="AY15" s="2154"/>
      <c r="AZ15" s="2154"/>
      <c r="BA15" s="2154"/>
    </row>
    <row r="16" spans="1:53" s="2150" customFormat="1" x14ac:dyDescent="0.25">
      <c r="A16" s="2126" t="s">
        <v>1849</v>
      </c>
      <c r="B16" s="31" t="s">
        <v>1860</v>
      </c>
      <c r="C16" s="1120"/>
      <c r="D16" s="1120"/>
      <c r="E16" s="2154"/>
      <c r="F16" s="2154"/>
      <c r="G16" s="2154"/>
      <c r="H16" s="2154"/>
      <c r="I16" s="2154"/>
      <c r="J16" s="2155">
        <f>DCF!G16</f>
        <v>295.32854866499986</v>
      </c>
      <c r="K16" s="2155">
        <f>DCF!H16</f>
        <v>55.572382480000101</v>
      </c>
      <c r="L16" s="2155">
        <f>DCF!I16</f>
        <v>-129.91235881799992</v>
      </c>
      <c r="M16" s="2155">
        <f>DCF!J16</f>
        <v>-55.697109795000131</v>
      </c>
      <c r="N16" s="2155">
        <f>DCF!K16</f>
        <v>-113.74345900999998</v>
      </c>
      <c r="O16" s="2155">
        <f>DCF!L16</f>
        <v>96.219304960000159</v>
      </c>
      <c r="P16" s="2156">
        <f>DCF!M16</f>
        <v>-146.15067430300007</v>
      </c>
      <c r="Q16" s="2155">
        <f>DCF!N16</f>
        <v>-18.522000717817548</v>
      </c>
      <c r="R16" s="2155">
        <f>DCF!O16</f>
        <v>-36.474947043703821</v>
      </c>
      <c r="S16" s="2155">
        <f>DCF!P16</f>
        <v>-162.35135711808584</v>
      </c>
      <c r="T16" s="2155">
        <f>DCF!Q16</f>
        <v>-60.012537940326069</v>
      </c>
      <c r="U16" s="2155">
        <f>DCF!R16</f>
        <v>-155.54386414219914</v>
      </c>
      <c r="V16" s="2155">
        <f>DCF!S16</f>
        <v>-56.215878632847421</v>
      </c>
      <c r="W16" s="2155">
        <f>DCF!T16</f>
        <v>-217.78329050434911</v>
      </c>
      <c r="X16" s="2155">
        <f>DCF!U16</f>
        <v>-239.45948094152197</v>
      </c>
      <c r="Y16" s="2155">
        <f>DCF!V16</f>
        <v>-114.69990547327268</v>
      </c>
      <c r="Z16" s="2155">
        <f>DCF!W16</f>
        <v>-185.52858670503508</v>
      </c>
      <c r="AA16" s="2154"/>
      <c r="AB16" s="2154"/>
      <c r="AC16" s="2154"/>
      <c r="AD16" s="2154"/>
      <c r="AE16" s="2154"/>
      <c r="AF16" s="2154"/>
      <c r="AG16" s="2154"/>
      <c r="AH16" s="2154"/>
      <c r="AI16" s="2154"/>
      <c r="AJ16" s="2154"/>
      <c r="AK16" s="2154"/>
      <c r="AL16" s="2154"/>
      <c r="AM16" s="2154"/>
      <c r="AN16" s="2154"/>
      <c r="AO16" s="2154"/>
      <c r="AP16" s="2154"/>
      <c r="AQ16" s="2154"/>
      <c r="AR16" s="2154"/>
      <c r="AS16" s="2154"/>
      <c r="AT16" s="2154"/>
      <c r="AU16" s="2154"/>
      <c r="AV16" s="2154"/>
      <c r="AW16" s="2154"/>
      <c r="AX16" s="2154"/>
      <c r="AY16" s="2154"/>
      <c r="AZ16" s="2154"/>
      <c r="BA16" s="2154"/>
    </row>
    <row r="17" spans="1:53" s="2150" customFormat="1" x14ac:dyDescent="0.25">
      <c r="A17" s="2126" t="s">
        <v>1849</v>
      </c>
      <c r="B17" s="2157" t="s">
        <v>1861</v>
      </c>
      <c r="C17" s="1120"/>
      <c r="D17" s="1120"/>
      <c r="E17" s="2154"/>
      <c r="F17" s="2154"/>
      <c r="G17" s="2154"/>
      <c r="H17" s="2154"/>
      <c r="I17" s="2154"/>
      <c r="J17" s="2155">
        <f>DCF!G17</f>
        <v>-28.558979695000005</v>
      </c>
      <c r="K17" s="2155">
        <f>DCF!H17</f>
        <v>-11.967708891000001</v>
      </c>
      <c r="L17" s="2155">
        <f>DCF!I17</f>
        <v>119.34790403199997</v>
      </c>
      <c r="M17" s="2155">
        <f>DCF!J17</f>
        <v>-101.93763064299998</v>
      </c>
      <c r="N17" s="2155">
        <f>DCF!K17</f>
        <v>144.42526952499998</v>
      </c>
      <c r="O17" s="2155">
        <f>DCF!L17</f>
        <v>-159.698652998</v>
      </c>
      <c r="P17" s="2156">
        <f>DCF!M17</f>
        <v>0.93</v>
      </c>
      <c r="Q17" s="2155">
        <f ca="1">DCF!N17</f>
        <v>212.94587039615118</v>
      </c>
      <c r="R17" s="2155">
        <f ca="1">DCF!O17</f>
        <v>93.622062432706073</v>
      </c>
      <c r="S17" s="2155">
        <f ca="1">DCF!P17</f>
        <v>-41.448296561061667</v>
      </c>
      <c r="T17" s="2155">
        <f ca="1">DCF!Q17</f>
        <v>-81.397019598186674</v>
      </c>
      <c r="U17" s="2155">
        <f ca="1">DCF!R17</f>
        <v>-52.887153743431327</v>
      </c>
      <c r="V17" s="2155">
        <f ca="1">DCF!S17</f>
        <v>-69.026541023640348</v>
      </c>
      <c r="W17" s="2155">
        <f ca="1">DCF!T17</f>
        <v>-19.234319185649944</v>
      </c>
      <c r="X17" s="2155">
        <f ca="1">DCF!U17</f>
        <v>9.2819257317798431</v>
      </c>
      <c r="Y17" s="2155">
        <f ca="1">DCF!V17</f>
        <v>0.93287382800045293</v>
      </c>
      <c r="Z17" s="2155">
        <f ca="1">DCF!W17</f>
        <v>9.0633061116563738</v>
      </c>
      <c r="AA17" s="2155"/>
      <c r="AB17" s="2154"/>
      <c r="AC17" s="2154"/>
      <c r="AD17" s="2154"/>
      <c r="AE17" s="2154"/>
      <c r="AF17" s="2154"/>
      <c r="AG17" s="2154"/>
      <c r="AH17" s="2154"/>
      <c r="AI17" s="2154"/>
      <c r="AJ17" s="2154"/>
      <c r="AK17" s="2154"/>
      <c r="AL17" s="2154"/>
      <c r="AM17" s="2154"/>
      <c r="AN17" s="2154"/>
      <c r="AO17" s="2154"/>
      <c r="AP17" s="2154"/>
      <c r="AQ17" s="2154"/>
      <c r="AR17" s="2154"/>
      <c r="AS17" s="2154"/>
      <c r="AT17" s="2154"/>
      <c r="AU17" s="2154"/>
      <c r="AV17" s="2154"/>
      <c r="AW17" s="2154"/>
      <c r="AX17" s="2154"/>
      <c r="AY17" s="2154"/>
      <c r="AZ17" s="2154"/>
      <c r="BA17" s="2154"/>
    </row>
    <row r="18" spans="1:53" s="2141" customFormat="1" x14ac:dyDescent="0.25">
      <c r="A18" s="2126" t="s">
        <v>1849</v>
      </c>
      <c r="B18" s="29" t="s">
        <v>1862</v>
      </c>
      <c r="C18" s="2126"/>
      <c r="D18" s="2126"/>
      <c r="E18" s="2143"/>
      <c r="F18" s="2143"/>
      <c r="G18" s="2143"/>
      <c r="H18" s="2143"/>
      <c r="I18" s="2143"/>
      <c r="J18" s="2144">
        <f>DCF!G65</f>
        <v>482.88386425211394</v>
      </c>
      <c r="K18" s="2144">
        <f>DCF!H65</f>
        <v>89.3374443029671</v>
      </c>
      <c r="L18" s="2144">
        <f>DCF!I65</f>
        <v>-2.9887594606057517</v>
      </c>
      <c r="M18" s="2144">
        <f>DCF!J65</f>
        <v>73.127641963601661</v>
      </c>
      <c r="N18" s="2144">
        <f>DCF!K65</f>
        <v>-116.27555957967577</v>
      </c>
      <c r="O18" s="2144">
        <f>DCF!L65</f>
        <v>201.35584213657054</v>
      </c>
      <c r="P18" s="2145">
        <f>DCF!M65</f>
        <v>38.072400500366378</v>
      </c>
      <c r="Q18" s="2144">
        <f ca="1">DCF!N65</f>
        <v>-177.87707926896863</v>
      </c>
      <c r="R18" s="2144">
        <f ca="1">DCF!O65</f>
        <v>-62.926893944753147</v>
      </c>
      <c r="S18" s="2144">
        <f ca="1">DCF!P65</f>
        <v>179.2949974040707</v>
      </c>
      <c r="T18" s="2144">
        <f ca="1">DCF!Q65</f>
        <v>269.32789986935478</v>
      </c>
      <c r="U18" s="2144">
        <f ca="1">DCF!R65</f>
        <v>216.49095980693676</v>
      </c>
      <c r="V18" s="2144">
        <f ca="1">DCF!S65</f>
        <v>350.46445627092066</v>
      </c>
      <c r="W18" s="2144">
        <f ca="1">DCF!T65</f>
        <v>230.07293959513328</v>
      </c>
      <c r="X18" s="2144">
        <f ca="1">DCF!U65</f>
        <v>253.65943026440814</v>
      </c>
      <c r="Y18" s="2144">
        <f ca="1">DCF!V65</f>
        <v>409.14838106669328</v>
      </c>
      <c r="Z18" s="2144">
        <f ca="1">DCF!W65</f>
        <v>370.7836179694828</v>
      </c>
      <c r="AA18" s="2144"/>
      <c r="AB18" s="2143"/>
      <c r="AC18" s="2143"/>
      <c r="AD18" s="2143"/>
      <c r="AE18" s="2143"/>
      <c r="AF18" s="2143"/>
      <c r="AG18" s="2143"/>
      <c r="AH18" s="2143"/>
      <c r="AI18" s="2143"/>
      <c r="AJ18" s="2143"/>
      <c r="AK18" s="2143"/>
      <c r="AL18" s="2143"/>
      <c r="AM18" s="2143"/>
      <c r="AN18" s="2143"/>
      <c r="AO18" s="2143"/>
      <c r="AP18" s="2143"/>
      <c r="AQ18" s="2143"/>
      <c r="AR18" s="2143"/>
      <c r="AS18" s="2143"/>
      <c r="AT18" s="2143"/>
      <c r="AU18" s="2143"/>
      <c r="AV18" s="2143"/>
      <c r="AW18" s="2143"/>
      <c r="AX18" s="2143"/>
      <c r="AY18" s="2143"/>
      <c r="AZ18" s="2143"/>
      <c r="BA18" s="2143"/>
    </row>
    <row r="19" spans="1:53" s="2141" customFormat="1" x14ac:dyDescent="0.25">
      <c r="A19" s="2126" t="s">
        <v>1849</v>
      </c>
      <c r="B19" s="29" t="s">
        <v>1863</v>
      </c>
      <c r="C19" s="2126"/>
      <c r="D19" s="2126"/>
      <c r="E19" s="2143"/>
      <c r="F19" s="2143"/>
      <c r="G19" s="2143"/>
      <c r="H19" s="2143"/>
      <c r="I19" s="2143"/>
      <c r="J19" s="2144">
        <f>DCF!G18</f>
        <v>450.05083511399988</v>
      </c>
      <c r="K19" s="2144">
        <f>DCF!H18</f>
        <v>73.751205713000104</v>
      </c>
      <c r="L19" s="2144">
        <f>DCF!I18</f>
        <v>110.84582513500007</v>
      </c>
      <c r="M19" s="2144">
        <f>DCF!J18</f>
        <v>-35.593537439000102</v>
      </c>
      <c r="N19" s="2144">
        <f>DCF!K18</f>
        <v>19.719574384999987</v>
      </c>
      <c r="O19" s="2144">
        <f>DCF!L18</f>
        <v>36.273335629000144</v>
      </c>
      <c r="P19" s="2145">
        <f>DCF!M18</f>
        <v>37.954426895479905</v>
      </c>
      <c r="Q19" s="2144">
        <f ca="1">DCF!N18</f>
        <v>24.848847695483983</v>
      </c>
      <c r="R19" s="2144">
        <f ca="1">DCF!O18</f>
        <v>12.624912636015452</v>
      </c>
      <c r="S19" s="2144">
        <f ca="1">DCF!P18</f>
        <v>118.56804534019859</v>
      </c>
      <c r="T19" s="2144">
        <f ca="1">DCF!Q18</f>
        <v>172.23045421878373</v>
      </c>
      <c r="U19" s="2144">
        <f ca="1">DCF!R18</f>
        <v>151.60865622845341</v>
      </c>
      <c r="V19" s="2144">
        <f ca="1">DCF!S18</f>
        <v>272.70037844703131</v>
      </c>
      <c r="W19" s="2144">
        <f ca="1">DCF!T18</f>
        <v>204.32859002271749</v>
      </c>
      <c r="X19" s="2144">
        <f ca="1">DCF!U18</f>
        <v>256.69611955011788</v>
      </c>
      <c r="Y19" s="2144">
        <f ca="1">DCF!V18</f>
        <v>403.61904270609261</v>
      </c>
      <c r="Z19" s="2144">
        <f ca="1">DCF!W18</f>
        <v>373.16518116293469</v>
      </c>
      <c r="AA19" s="2143"/>
      <c r="AB19" s="2143"/>
      <c r="AC19" s="2143"/>
      <c r="AD19" s="2143"/>
      <c r="AE19" s="2143"/>
      <c r="AF19" s="2143"/>
      <c r="AG19" s="2143"/>
      <c r="AH19" s="2143"/>
      <c r="AI19" s="2143"/>
      <c r="AJ19" s="2143"/>
      <c r="AK19" s="2143"/>
      <c r="AL19" s="2143"/>
      <c r="AM19" s="2143"/>
      <c r="AN19" s="2143"/>
      <c r="AO19" s="2143"/>
      <c r="AP19" s="2143"/>
      <c r="AQ19" s="2143"/>
      <c r="AR19" s="2143"/>
      <c r="AS19" s="2143"/>
      <c r="AT19" s="2143"/>
      <c r="AU19" s="2143"/>
      <c r="AV19" s="2143"/>
      <c r="AW19" s="2143"/>
      <c r="AX19" s="2143"/>
      <c r="AY19" s="2143"/>
      <c r="AZ19" s="2143"/>
      <c r="BA19" s="2143"/>
    </row>
    <row r="20" spans="1:53" s="2162" customFormat="1" x14ac:dyDescent="0.25">
      <c r="A20" s="2158"/>
      <c r="B20" s="2159" t="s">
        <v>1864</v>
      </c>
      <c r="C20" s="2158"/>
      <c r="D20" s="2158"/>
      <c r="E20" s="2160"/>
      <c r="F20" s="2160"/>
      <c r="G20" s="2160"/>
      <c r="H20" s="2160"/>
      <c r="I20" s="2160"/>
      <c r="J20" s="2160">
        <f>IFERROR(J18/J6*1000,0)</f>
        <v>11519.668594900668</v>
      </c>
      <c r="K20" s="2160">
        <f t="shared" ref="K20:Z20" si="4">IFERROR(K18/K6*1000,0)</f>
        <v>1705.5989117869726</v>
      </c>
      <c r="L20" s="2160">
        <f t="shared" si="4"/>
        <v>-57.06035454544547</v>
      </c>
      <c r="M20" s="2160">
        <f t="shared" si="4"/>
        <v>1396.1274677721306</v>
      </c>
      <c r="N20" s="2160">
        <f t="shared" si="4"/>
        <v>-2219.8924811572706</v>
      </c>
      <c r="O20" s="2160">
        <f t="shared" si="4"/>
        <v>3847.1535402782147</v>
      </c>
      <c r="P20" s="2161">
        <f t="shared" si="4"/>
        <v>661.29651731599847</v>
      </c>
      <c r="Q20" s="2160">
        <f t="shared" ca="1" si="4"/>
        <v>-3089.6263824966532</v>
      </c>
      <c r="R20" s="2160">
        <f t="shared" ca="1" si="4"/>
        <v>-1093.0053073689953</v>
      </c>
      <c r="S20" s="2160">
        <f t="shared" ca="1" si="4"/>
        <v>3114.2548354509968</v>
      </c>
      <c r="T20" s="2160">
        <f t="shared" ca="1" si="4"/>
        <v>4678.076503159351</v>
      </c>
      <c r="U20" s="2160">
        <f t="shared" ca="1" si="4"/>
        <v>3760.3281082669682</v>
      </c>
      <c r="V20" s="2160">
        <f t="shared" ca="1" si="4"/>
        <v>6087.3735653409767</v>
      </c>
      <c r="W20" s="2160">
        <f t="shared" ca="1" si="4"/>
        <v>3996.2395773140593</v>
      </c>
      <c r="X20" s="2160">
        <f t="shared" ca="1" si="4"/>
        <v>4405.9238612127765</v>
      </c>
      <c r="Y20" s="2160">
        <f t="shared" ca="1" si="4"/>
        <v>7106.6808477778941</v>
      </c>
      <c r="Z20" s="2160">
        <f t="shared" ca="1" si="4"/>
        <v>6440.3061540258022</v>
      </c>
      <c r="AA20" s="2160"/>
      <c r="AB20" s="2160"/>
      <c r="AC20" s="2160"/>
      <c r="AD20" s="2160"/>
      <c r="AE20" s="2160"/>
      <c r="AF20" s="2160"/>
      <c r="AG20" s="2160"/>
      <c r="AH20" s="2160"/>
      <c r="AI20" s="2160"/>
      <c r="AJ20" s="2160"/>
      <c r="AK20" s="2160"/>
      <c r="AL20" s="2160"/>
      <c r="AM20" s="2160"/>
      <c r="AN20" s="2160"/>
      <c r="AO20" s="2160"/>
      <c r="AP20" s="2160"/>
      <c r="AQ20" s="2160"/>
      <c r="AR20" s="2160"/>
      <c r="AS20" s="2160"/>
      <c r="AT20" s="2160"/>
      <c r="AU20" s="2160"/>
      <c r="AV20" s="2160"/>
      <c r="AW20" s="2160"/>
      <c r="AX20" s="2160"/>
      <c r="AY20" s="2160"/>
      <c r="AZ20" s="2160"/>
      <c r="BA20" s="2160"/>
    </row>
    <row r="21" spans="1:53" s="2162" customFormat="1" x14ac:dyDescent="0.25">
      <c r="A21" s="2158"/>
      <c r="B21" s="2159" t="s">
        <v>1865</v>
      </c>
      <c r="C21" s="2158"/>
      <c r="D21" s="2158"/>
      <c r="E21" s="2160"/>
      <c r="F21" s="2160"/>
      <c r="G21" s="2160"/>
      <c r="H21" s="2160"/>
      <c r="I21" s="2160"/>
      <c r="J21" s="2160">
        <f>IFERROR(J19/J6*1000,0)</f>
        <v>10736.404454932803</v>
      </c>
      <c r="K21" s="2160">
        <f t="shared" ref="K21:Z21" si="5">IFERROR(K19/K6*1000,0)</f>
        <v>1408.031953326119</v>
      </c>
      <c r="L21" s="2160">
        <f t="shared" si="5"/>
        <v>2116.2298824822942</v>
      </c>
      <c r="M21" s="2160">
        <f t="shared" si="5"/>
        <v>-679.53941846638293</v>
      </c>
      <c r="N21" s="2160">
        <f t="shared" si="5"/>
        <v>376.47924522682433</v>
      </c>
      <c r="O21" s="2160">
        <f t="shared" si="5"/>
        <v>693.04714530288118</v>
      </c>
      <c r="P21" s="2161">
        <f t="shared" si="5"/>
        <v>659.24738111703755</v>
      </c>
      <c r="Q21" s="2160">
        <f t="shared" ca="1" si="5"/>
        <v>431.61072652041207</v>
      </c>
      <c r="R21" s="2160">
        <f t="shared" ca="1" si="5"/>
        <v>219.28774250878709</v>
      </c>
      <c r="S21" s="2160">
        <f t="shared" ca="1" si="5"/>
        <v>2059.4613005209426</v>
      </c>
      <c r="T21" s="2160">
        <f t="shared" ca="1" si="5"/>
        <v>2991.547631716528</v>
      </c>
      <c r="U21" s="2160">
        <f t="shared" ca="1" si="5"/>
        <v>2633.3584182029681</v>
      </c>
      <c r="V21" s="2160">
        <f t="shared" ca="1" si="5"/>
        <v>4736.6545888284918</v>
      </c>
      <c r="W21" s="2160">
        <f t="shared" ca="1" si="5"/>
        <v>3549.074478999853</v>
      </c>
      <c r="X21" s="2160">
        <f t="shared" ca="1" si="5"/>
        <v>4458.6694727954073</v>
      </c>
      <c r="Y21" s="2160">
        <f t="shared" ca="1" si="5"/>
        <v>7010.6393018582512</v>
      </c>
      <c r="Z21" s="2160">
        <f t="shared" ca="1" si="5"/>
        <v>6481.6725881066413</v>
      </c>
      <c r="AA21" s="2163"/>
      <c r="AB21" s="2160"/>
      <c r="AC21" s="2160"/>
      <c r="AD21" s="2160"/>
      <c r="AE21" s="2160"/>
      <c r="AF21" s="2160"/>
      <c r="AG21" s="2160"/>
      <c r="AH21" s="2160"/>
      <c r="AI21" s="2160"/>
      <c r="AJ21" s="2160"/>
      <c r="AK21" s="2160"/>
      <c r="AL21" s="2160"/>
      <c r="AM21" s="2160"/>
      <c r="AN21" s="2160"/>
      <c r="AO21" s="2160"/>
      <c r="AP21" s="2160"/>
      <c r="AQ21" s="2160"/>
      <c r="AR21" s="2160"/>
      <c r="AS21" s="2160"/>
      <c r="AT21" s="2160"/>
      <c r="AU21" s="2160"/>
      <c r="AV21" s="2160"/>
      <c r="AW21" s="2160"/>
      <c r="AX21" s="2160"/>
      <c r="AY21" s="2160"/>
      <c r="AZ21" s="2160"/>
      <c r="BA21" s="2160"/>
    </row>
    <row r="22" spans="1:53" x14ac:dyDescent="0.25">
      <c r="B22" s="29" t="s">
        <v>1866</v>
      </c>
      <c r="E22" s="2164"/>
      <c r="F22" s="2164"/>
      <c r="G22" s="2164"/>
      <c r="H22" s="2164"/>
      <c r="I22" s="2164"/>
      <c r="J22" s="2165">
        <f>Input!J142</f>
        <v>4407.7624663010401</v>
      </c>
      <c r="K22" s="2165">
        <f>Input!K142</f>
        <v>2336.6559849667797</v>
      </c>
      <c r="L22" s="2165">
        <f>Input!L142</f>
        <v>2717.7501462563705</v>
      </c>
      <c r="M22" s="2165">
        <f>Input!M142</f>
        <v>2676.3464694142676</v>
      </c>
      <c r="N22" s="2165">
        <f>Input!N142</f>
        <v>2389.513550805701</v>
      </c>
      <c r="O22" s="2165">
        <f>Input!O142</f>
        <v>2654.1707453813283</v>
      </c>
      <c r="P22" s="2166">
        <f>Input!P142</f>
        <v>2754.5180392465768</v>
      </c>
      <c r="Q22" s="2165">
        <f ca="1">Input!Q142</f>
        <v>3459.0731235411308</v>
      </c>
      <c r="R22" s="2165">
        <f ca="1">Input!R142</f>
        <v>3420.6375522683029</v>
      </c>
      <c r="S22" s="2165">
        <f ca="1">Input!S142</f>
        <v>4972.4222723153625</v>
      </c>
      <c r="T22" s="2165">
        <f ca="1">Input!T142</f>
        <v>5737.9120387334715</v>
      </c>
      <c r="U22" s="2165">
        <f ca="1">Input!U142</f>
        <v>6630.7080754108447</v>
      </c>
      <c r="V22" s="2165">
        <f ca="1">Input!V142</f>
        <v>7277.5288921702104</v>
      </c>
      <c r="W22" s="2165">
        <f ca="1">Input!W142</f>
        <v>8050.4464942349405</v>
      </c>
      <c r="X22" s="2165">
        <f ca="1">Input!X142</f>
        <v>8471.7749246771673</v>
      </c>
      <c r="Y22" s="2165">
        <f ca="1">Input!Y142</f>
        <v>8941.5093378811052</v>
      </c>
      <c r="Z22" s="2165">
        <f ca="1">Input!Z142</f>
        <v>9442.7505838418747</v>
      </c>
      <c r="AA22" s="2165"/>
      <c r="AB22" s="2167"/>
      <c r="AC22" s="2167"/>
      <c r="AD22" s="2167"/>
      <c r="AE22" s="2167"/>
      <c r="AF22" s="2167"/>
      <c r="AG22" s="2167"/>
      <c r="AH22" s="2167"/>
      <c r="AI22" s="2167"/>
      <c r="AJ22" s="2167"/>
      <c r="AK22" s="2167"/>
      <c r="AL22" s="2167"/>
      <c r="AM22" s="2167"/>
      <c r="AN22" s="2167"/>
      <c r="AO22" s="2167"/>
      <c r="AP22" s="2167"/>
      <c r="AQ22" s="2167"/>
      <c r="AR22" s="2167"/>
      <c r="AS22" s="2167"/>
      <c r="AT22" s="2167"/>
      <c r="AU22" s="2167"/>
      <c r="AV22" s="2167"/>
      <c r="AW22" s="2167"/>
      <c r="AX22" s="2167"/>
      <c r="AY22" s="2167"/>
      <c r="AZ22" s="2167"/>
      <c r="BA22" s="2167"/>
    </row>
    <row r="23" spans="1:53" x14ac:dyDescent="0.25">
      <c r="B23" s="29" t="s">
        <v>1867</v>
      </c>
      <c r="E23" s="2164"/>
      <c r="F23" s="2164"/>
      <c r="G23" s="2164"/>
      <c r="H23" s="2164"/>
      <c r="I23" s="2164"/>
      <c r="J23" s="2165">
        <f>IFERROR(J8/J6*1000,0)</f>
        <v>13219.664698428905</v>
      </c>
      <c r="K23" s="2165">
        <f t="shared" ref="K23:Z23" si="6">IFERROR(K8/K6*1000,0)</f>
        <v>14758.401615542767</v>
      </c>
      <c r="L23" s="2165">
        <f t="shared" si="6"/>
        <v>15903.541561790655</v>
      </c>
      <c r="M23" s="2165">
        <f t="shared" si="6"/>
        <v>17004.061447072741</v>
      </c>
      <c r="N23" s="2165">
        <f t="shared" si="6"/>
        <v>17803.124040713708</v>
      </c>
      <c r="O23" s="2165">
        <f t="shared" si="6"/>
        <v>18888.919081146403</v>
      </c>
      <c r="P23" s="2166">
        <f t="shared" si="6"/>
        <v>19716.777553686832</v>
      </c>
      <c r="Q23" s="2165">
        <f t="shared" ca="1" si="6"/>
        <v>22722.968633842298</v>
      </c>
      <c r="R23" s="2165">
        <f t="shared" ca="1" si="6"/>
        <v>25616.240080359246</v>
      </c>
      <c r="S23" s="2165">
        <f t="shared" ca="1" si="6"/>
        <v>30587.772168588937</v>
      </c>
      <c r="T23" s="2165">
        <f t="shared" ca="1" si="6"/>
        <v>34817.397853450631</v>
      </c>
      <c r="U23" s="2165">
        <f t="shared" ca="1" si="6"/>
        <v>40016.895538380697</v>
      </c>
      <c r="V23" s="2165">
        <f t="shared" ca="1" si="6"/>
        <v>45217.846599496173</v>
      </c>
      <c r="W23" s="2165">
        <f t="shared" ca="1" si="6"/>
        <v>50275.571606555728</v>
      </c>
      <c r="X23" s="2165">
        <f t="shared" ca="1" si="6"/>
        <v>55512.459685603746</v>
      </c>
      <c r="Y23" s="2165">
        <f t="shared" ca="1" si="6"/>
        <v>59755.487358372346</v>
      </c>
      <c r="Z23" s="2165">
        <f t="shared" ca="1" si="6"/>
        <v>64020.725524841095</v>
      </c>
      <c r="AA23" s="2165"/>
      <c r="AB23" s="2167"/>
      <c r="AC23" s="2167"/>
      <c r="AD23" s="2167"/>
      <c r="AE23" s="2167"/>
      <c r="AF23" s="2167"/>
      <c r="AG23" s="2167"/>
      <c r="AH23" s="2167"/>
      <c r="AI23" s="2167"/>
      <c r="AJ23" s="2167"/>
      <c r="AK23" s="2167"/>
      <c r="AL23" s="2167"/>
      <c r="AM23" s="2167"/>
      <c r="AN23" s="2167"/>
      <c r="AO23" s="2167"/>
      <c r="AP23" s="2167"/>
      <c r="AQ23" s="2167"/>
      <c r="AR23" s="2167"/>
      <c r="AS23" s="2167"/>
      <c r="AT23" s="2167"/>
      <c r="AU23" s="2167"/>
      <c r="AV23" s="2167"/>
      <c r="AW23" s="2167"/>
      <c r="AX23" s="2167"/>
      <c r="AY23" s="2167"/>
      <c r="AZ23" s="2167"/>
      <c r="BA23" s="2167"/>
    </row>
    <row r="24" spans="1:53" s="2141" customFormat="1" x14ac:dyDescent="0.25">
      <c r="A24" s="2126"/>
      <c r="B24" s="42"/>
      <c r="C24" s="2126"/>
      <c r="D24" s="2126"/>
      <c r="P24" s="2169"/>
      <c r="X24" s="2142"/>
      <c r="Y24" s="2142"/>
    </row>
    <row r="25" spans="1:53" s="2141" customFormat="1" ht="13.8" thickBot="1" x14ac:dyDescent="0.3">
      <c r="A25" s="2126"/>
      <c r="B25" s="2137" t="s">
        <v>1868</v>
      </c>
      <c r="C25" s="2138"/>
      <c r="D25" s="2138"/>
      <c r="E25" s="2139"/>
      <c r="F25" s="2139"/>
      <c r="G25" s="2139"/>
      <c r="H25" s="2139"/>
      <c r="I25" s="2139"/>
      <c r="J25" s="2139"/>
      <c r="K25" s="2139"/>
      <c r="L25" s="2139"/>
      <c r="M25" s="2139"/>
      <c r="N25" s="2139"/>
      <c r="O25" s="2139"/>
      <c r="P25" s="2140"/>
      <c r="Q25" s="2139"/>
      <c r="R25" s="2139"/>
      <c r="S25" s="2139"/>
      <c r="T25" s="2139"/>
      <c r="U25" s="2139"/>
      <c r="V25" s="2139"/>
      <c r="W25" s="2170"/>
      <c r="X25" s="2139"/>
      <c r="Y25" s="2139"/>
      <c r="Z25" s="2139"/>
      <c r="AA25" s="2139"/>
      <c r="AB25" s="2139"/>
      <c r="AC25" s="2139"/>
      <c r="AD25" s="2139"/>
      <c r="AE25" s="2139"/>
      <c r="AF25" s="2139"/>
      <c r="AG25" s="2139"/>
      <c r="AH25" s="2139"/>
      <c r="AI25" s="2139"/>
      <c r="AJ25" s="2139"/>
      <c r="AK25" s="2139"/>
      <c r="AL25" s="2139"/>
      <c r="AM25" s="2139"/>
      <c r="AN25" s="2139"/>
      <c r="AO25" s="2139"/>
      <c r="AP25" s="2139"/>
      <c r="AQ25" s="2139"/>
      <c r="AR25" s="2139"/>
      <c r="AS25" s="2139"/>
      <c r="AT25" s="2139"/>
      <c r="AU25" s="2139"/>
      <c r="AV25" s="2139"/>
      <c r="AW25" s="2139"/>
      <c r="AX25" s="2139"/>
      <c r="AY25" s="2139"/>
      <c r="AZ25" s="2139"/>
      <c r="BA25" s="2139"/>
    </row>
    <row r="26" spans="1:53" s="2141" customFormat="1" x14ac:dyDescent="0.25">
      <c r="A26" s="2126" t="s">
        <v>1849</v>
      </c>
      <c r="B26" s="29" t="s">
        <v>407</v>
      </c>
      <c r="C26" s="2126"/>
      <c r="D26" s="2126"/>
      <c r="E26" s="2168"/>
      <c r="F26" s="2168"/>
      <c r="G26" s="2168"/>
      <c r="H26" s="2168"/>
      <c r="I26" s="2168"/>
      <c r="J26" s="2171">
        <f>'Output-FR (show)'!J8</f>
        <v>0.36895184823822136</v>
      </c>
      <c r="K26" s="2171">
        <f>'Output-FR (show)'!K8</f>
        <v>0.36767905492512232</v>
      </c>
      <c r="L26" s="2171">
        <f>'Output-FR (show)'!L8</f>
        <v>0.35345251608925876</v>
      </c>
      <c r="M26" s="2171">
        <f>'Output-FR (show)'!M8</f>
        <v>0.30558216039078295</v>
      </c>
      <c r="N26" s="2171">
        <f>'Output-FR (show)'!N8</f>
        <v>0.3287520014655223</v>
      </c>
      <c r="O26" s="2171">
        <f>'Output-FR (show)'!O8</f>
        <v>0.39073817675533001</v>
      </c>
      <c r="P26" s="2172">
        <f>'Output-FR (show)'!P8</f>
        <v>0.39946351565193361</v>
      </c>
      <c r="Q26" s="2171">
        <f>'Output-FR (show)'!Q8</f>
        <v>0.39531197706322779</v>
      </c>
      <c r="R26" s="2171">
        <f>'Output-FR (show)'!R8</f>
        <v>0.38822527351430786</v>
      </c>
      <c r="S26" s="2171">
        <f>'Output-FR (show)'!S8</f>
        <v>0.41225862445598416</v>
      </c>
      <c r="T26" s="2171">
        <f>'Output-FR (show)'!T8</f>
        <v>0.4230664574139214</v>
      </c>
      <c r="U26" s="2171">
        <f>'Output-FR (show)'!U8</f>
        <v>0.43573366487953136</v>
      </c>
      <c r="V26" s="2171">
        <f>'Output-FR (show)'!V8</f>
        <v>0.44098443717723496</v>
      </c>
      <c r="W26" s="2171">
        <f>'Output-FR (show)'!W8</f>
        <v>0.44760932515819674</v>
      </c>
      <c r="X26" s="2171">
        <f>'Output-FR (show)'!X8</f>
        <v>0.44797696373924545</v>
      </c>
      <c r="Y26" s="2171">
        <f>'Output-FR (show)'!Y8</f>
        <v>0.44840991366798305</v>
      </c>
      <c r="Z26" s="2171">
        <f>'Output-FR (show)'!Z8</f>
        <v>0.44890816272413853</v>
      </c>
      <c r="AA26" s="2171"/>
      <c r="AB26" s="2168"/>
      <c r="AC26" s="2168"/>
      <c r="AD26" s="2168"/>
      <c r="AE26" s="2168"/>
      <c r="AF26" s="2168"/>
      <c r="AG26" s="2168"/>
      <c r="AH26" s="2168"/>
      <c r="AI26" s="2168"/>
      <c r="AJ26" s="2168"/>
      <c r="AK26" s="2168"/>
      <c r="AL26" s="2168"/>
      <c r="AM26" s="2168"/>
      <c r="AN26" s="2168"/>
      <c r="AO26" s="2168"/>
      <c r="AP26" s="2168"/>
      <c r="AQ26" s="2168"/>
      <c r="AR26" s="2168"/>
      <c r="AS26" s="2168"/>
      <c r="AT26" s="2168"/>
      <c r="AU26" s="2168"/>
      <c r="AV26" s="2168"/>
      <c r="AW26" s="2168"/>
      <c r="AX26" s="2168"/>
      <c r="AY26" s="2168"/>
      <c r="AZ26" s="2168"/>
      <c r="BA26" s="2168"/>
    </row>
    <row r="27" spans="1:53" s="2141" customFormat="1" x14ac:dyDescent="0.25">
      <c r="A27" s="2126" t="s">
        <v>1849</v>
      </c>
      <c r="B27" s="29" t="s">
        <v>418</v>
      </c>
      <c r="C27" s="2126"/>
      <c r="D27" s="2126"/>
      <c r="E27" s="2168"/>
      <c r="F27" s="2168"/>
      <c r="G27" s="2168"/>
      <c r="H27" s="2168"/>
      <c r="I27" s="2168"/>
      <c r="J27" s="2171">
        <f>'Output-FR (show)'!J13</f>
        <v>0.13639570078273008</v>
      </c>
      <c r="K27" s="2171">
        <f>'Output-FR (show)'!K13</f>
        <v>0.13849557585428784</v>
      </c>
      <c r="L27" s="2171">
        <f>'Output-FR (show)'!L13</f>
        <v>0.16117818151749261</v>
      </c>
      <c r="M27" s="2171">
        <f>'Output-FR (show)'!M13</f>
        <v>0.15922199292081049</v>
      </c>
      <c r="N27" s="2171">
        <f>'Output-FR (show)'!N13</f>
        <v>0.14955237884364761</v>
      </c>
      <c r="O27" s="2171">
        <f>'Output-FR (show)'!O13</f>
        <v>0.16992852689064128</v>
      </c>
      <c r="P27" s="2172">
        <f>'Output-FR (show)'!P13</f>
        <v>0.1654167031810152</v>
      </c>
      <c r="Q27" s="2171">
        <f>'Output-FR (show)'!Q13</f>
        <v>0.22396888406449644</v>
      </c>
      <c r="R27" s="2171">
        <f>'Output-FR (show)'!R13</f>
        <v>0.23261176568971328</v>
      </c>
      <c r="S27" s="2171">
        <f>'Output-FR (show)'!S13</f>
        <v>0.24398516890414848</v>
      </c>
      <c r="T27" s="2171">
        <f>'Output-FR (show)'!T13</f>
        <v>0.23345294501279706</v>
      </c>
      <c r="U27" s="2171">
        <f>'Output-FR (show)'!U13</f>
        <v>0.24301604449459302</v>
      </c>
      <c r="V27" s="2171">
        <f>'Output-FR (show)'!V13</f>
        <v>0.24981969761684023</v>
      </c>
      <c r="W27" s="2171">
        <f>'Output-FR (show)'!W13</f>
        <v>0.25769171531363311</v>
      </c>
      <c r="X27" s="2171">
        <f>'Output-FR (show)'!X13</f>
        <v>0.25940265093887493</v>
      </c>
      <c r="Y27" s="2171">
        <f>'Output-FR (show)'!Y13</f>
        <v>0.26106901436707874</v>
      </c>
      <c r="Z27" s="2171">
        <f>'Output-FR (show)'!Z13</f>
        <v>0.26269015453417749</v>
      </c>
      <c r="AA27" s="2171"/>
      <c r="AB27" s="2168"/>
      <c r="AC27" s="2168"/>
      <c r="AD27" s="2168"/>
      <c r="AE27" s="2168"/>
      <c r="AF27" s="2168"/>
      <c r="AG27" s="2168"/>
      <c r="AH27" s="2168"/>
      <c r="AI27" s="2168"/>
      <c r="AJ27" s="2168"/>
      <c r="AK27" s="2168"/>
      <c r="AL27" s="2168"/>
      <c r="AM27" s="2168"/>
      <c r="AN27" s="2168"/>
      <c r="AO27" s="2168"/>
      <c r="AP27" s="2168"/>
      <c r="AQ27" s="2168"/>
      <c r="AR27" s="2168"/>
      <c r="AS27" s="2168"/>
      <c r="AT27" s="2168"/>
      <c r="AU27" s="2168"/>
      <c r="AV27" s="2168"/>
      <c r="AW27" s="2168"/>
      <c r="AX27" s="2168"/>
      <c r="AY27" s="2168"/>
      <c r="AZ27" s="2168"/>
      <c r="BA27" s="2168"/>
    </row>
    <row r="28" spans="1:53" s="2141" customFormat="1" x14ac:dyDescent="0.25">
      <c r="A28" s="2126" t="s">
        <v>1849</v>
      </c>
      <c r="B28" s="29" t="s">
        <v>426</v>
      </c>
      <c r="C28" s="2126"/>
      <c r="D28" s="2126"/>
      <c r="E28" s="2168"/>
      <c r="F28" s="2168"/>
      <c r="G28" s="2168"/>
      <c r="H28" s="2168"/>
      <c r="I28" s="2168"/>
      <c r="J28" s="2171">
        <f>'Output-FR (show)'!J19</f>
        <v>0.10438361607747482</v>
      </c>
      <c r="K28" s="2171">
        <f>'Output-FR (show)'!K19</f>
        <v>0.11409396806576647</v>
      </c>
      <c r="L28" s="2171">
        <f>'Output-FR (show)'!L19</f>
        <v>0.13465958494444979</v>
      </c>
      <c r="M28" s="2171">
        <f>'Output-FR (show)'!M19</f>
        <v>0.13315755204107216</v>
      </c>
      <c r="N28" s="2171">
        <f>'Output-FR (show)'!N19</f>
        <v>0.12740418281013474</v>
      </c>
      <c r="O28" s="2171">
        <f>'Output-FR (show)'!O19</f>
        <v>0.14462208628863807</v>
      </c>
      <c r="P28" s="2172">
        <f>'Output-FR (show)'!P19</f>
        <v>0.13931852203684114</v>
      </c>
      <c r="Q28" s="2171">
        <f>'Output-FR (show)'!Q19</f>
        <v>0.16323114228236821</v>
      </c>
      <c r="R28" s="2171">
        <f>'Output-FR (show)'!R19</f>
        <v>0.15614443873344824</v>
      </c>
      <c r="S28" s="2171">
        <f>'Output-FR (show)'!S19</f>
        <v>0.18017778967512454</v>
      </c>
      <c r="T28" s="2171">
        <f>'Output-FR (show)'!T19</f>
        <v>0.19098562263306185</v>
      </c>
      <c r="U28" s="2171">
        <f>'Output-FR (show)'!U19</f>
        <v>0.20365283009867174</v>
      </c>
      <c r="V28" s="2171">
        <f>'Output-FR (show)'!V19</f>
        <v>0.20890360239637534</v>
      </c>
      <c r="W28" s="2171">
        <f>'Output-FR (show)'!W19</f>
        <v>0.2155284903773371</v>
      </c>
      <c r="X28" s="2171">
        <f>'Output-FR (show)'!X19</f>
        <v>0.21589612895838586</v>
      </c>
      <c r="Y28" s="2171">
        <f>'Output-FR (show)'!Y19</f>
        <v>0.21632907888712341</v>
      </c>
      <c r="Z28" s="2171">
        <f>'Output-FR (show)'!Z19</f>
        <v>0.21682732794327889</v>
      </c>
      <c r="AA28" s="2171"/>
      <c r="AB28" s="2168"/>
      <c r="AC28" s="2168"/>
      <c r="AD28" s="2168"/>
      <c r="AE28" s="2168"/>
      <c r="AF28" s="2168"/>
      <c r="AG28" s="2168"/>
      <c r="AH28" s="2168"/>
      <c r="AI28" s="2168"/>
      <c r="AJ28" s="2168"/>
      <c r="AK28" s="2168"/>
      <c r="AL28" s="2168"/>
      <c r="AM28" s="2168"/>
      <c r="AN28" s="2168"/>
      <c r="AO28" s="2168"/>
      <c r="AP28" s="2168"/>
      <c r="AQ28" s="2168"/>
      <c r="AR28" s="2168"/>
      <c r="AS28" s="2168"/>
      <c r="AT28" s="2168"/>
      <c r="AU28" s="2168"/>
      <c r="AV28" s="2168"/>
      <c r="AW28" s="2168"/>
      <c r="AX28" s="2168"/>
      <c r="AY28" s="2168"/>
      <c r="AZ28" s="2168"/>
      <c r="BA28" s="2168"/>
    </row>
    <row r="29" spans="1:53" s="2141" customFormat="1" x14ac:dyDescent="0.25">
      <c r="A29" s="2126" t="s">
        <v>1849</v>
      </c>
      <c r="B29" s="29" t="s">
        <v>465</v>
      </c>
      <c r="C29" s="2126"/>
      <c r="D29" s="2126"/>
      <c r="E29" s="2168"/>
      <c r="F29" s="2168"/>
      <c r="G29" s="2168"/>
      <c r="H29" s="2168"/>
      <c r="I29" s="2168"/>
      <c r="J29" s="2171">
        <f>'Output-FR (show)'!J32/'Output-FR (show)'!J5</f>
        <v>0.17530904194894578</v>
      </c>
      <c r="K29" s="2171">
        <f>'Output-FR (show)'!K32/'Output-FR (show)'!K5</f>
        <v>0.10216719655166115</v>
      </c>
      <c r="L29" s="2171">
        <f>'Output-FR (show)'!L32/'Output-FR (show)'!L5</f>
        <v>0.11841777097587865</v>
      </c>
      <c r="M29" s="2171">
        <f>'Output-FR (show)'!M32/'Output-FR (show)'!M5</f>
        <v>0.11634687307225651</v>
      </c>
      <c r="N29" s="2171">
        <f>'Output-FR (show)'!N32/'Output-FR (show)'!N5</f>
        <v>0.11272421797012901</v>
      </c>
      <c r="O29" s="2171">
        <f>'Output-FR (show)'!O32/'Output-FR (show)'!O5</f>
        <v>0.12558913797363375</v>
      </c>
      <c r="P29" s="2172">
        <f>'Output-FR (show)'!P32/'Output-FR (show)'!P5</f>
        <v>0.118318102542302</v>
      </c>
      <c r="Q29" s="2171">
        <f ca="1">'Output-FR (show)'!Q32/'Output-FR (show)'!Q5</f>
        <v>0.13711194859934098</v>
      </c>
      <c r="R29" s="2171">
        <f ca="1">'Output-FR (show)'!R32/'Output-FR (show)'!R5</f>
        <v>0.12981656666104485</v>
      </c>
      <c r="S29" s="2171">
        <f ca="1">'Output-FR (show)'!S32/'Output-FR (show)'!S5</f>
        <v>0.14938974920461087</v>
      </c>
      <c r="T29" s="2171">
        <f ca="1">'Output-FR (show)'!T32/'Output-FR (show)'!T5</f>
        <v>0.16154189385705819</v>
      </c>
      <c r="U29" s="2171">
        <f ca="1">'Output-FR (show)'!U32/'Output-FR (show)'!U5</f>
        <v>0.17539525044042462</v>
      </c>
      <c r="V29" s="2171">
        <f ca="1">'Output-FR (show)'!V32/'Output-FR (show)'!V5</f>
        <v>0.18385363325982793</v>
      </c>
      <c r="W29" s="2171">
        <f ca="1">'Output-FR (show)'!W32/'Output-FR (show)'!W5</f>
        <v>0.19258643924470586</v>
      </c>
      <c r="X29" s="2171">
        <f ca="1">'Output-FR (show)'!X32/'Output-FR (show)'!X5</f>
        <v>0.19488441646692459</v>
      </c>
      <c r="Y29" s="2171">
        <f ca="1">'Output-FR (show)'!Y32/'Output-FR (show)'!Y5</f>
        <v>0.19768499562119821</v>
      </c>
      <c r="Z29" s="2171">
        <f ca="1">'Output-FR (show)'!Z32/'Output-FR (show)'!Z5</f>
        <v>0.20034407129630422</v>
      </c>
      <c r="AA29" s="2171"/>
      <c r="AB29" s="2168"/>
      <c r="AC29" s="2168"/>
      <c r="AD29" s="2168"/>
      <c r="AE29" s="2168"/>
      <c r="AF29" s="2168"/>
      <c r="AG29" s="2168"/>
      <c r="AH29" s="2168"/>
      <c r="AI29" s="2168"/>
      <c r="AJ29" s="2168"/>
      <c r="AK29" s="2168"/>
      <c r="AL29" s="2168"/>
      <c r="AM29" s="2168"/>
      <c r="AN29" s="2168"/>
      <c r="AO29" s="2168"/>
      <c r="AP29" s="2168"/>
      <c r="AQ29" s="2168"/>
      <c r="AR29" s="2168"/>
      <c r="AS29" s="2168"/>
      <c r="AT29" s="2168"/>
      <c r="AU29" s="2168"/>
      <c r="AV29" s="2168"/>
      <c r="AW29" s="2168"/>
      <c r="AX29" s="2168"/>
      <c r="AY29" s="2168"/>
      <c r="AZ29" s="2168"/>
      <c r="BA29" s="2168"/>
    </row>
    <row r="30" spans="1:53" s="2141" customFormat="1" x14ac:dyDescent="0.25">
      <c r="A30" s="2126"/>
      <c r="B30" s="29" t="s">
        <v>1869</v>
      </c>
      <c r="C30" s="2126"/>
      <c r="D30" s="2126"/>
      <c r="E30" s="2173"/>
      <c r="F30" s="2173"/>
      <c r="G30" s="2173"/>
      <c r="H30" s="2173"/>
      <c r="I30" s="2173"/>
      <c r="J30" s="2171">
        <f>J9/('Output-FR (show)'!J63+'Output-FR (show)'!J64+'Output-FR (show)'!J70)</f>
        <v>2.140720430788122</v>
      </c>
      <c r="K30" s="2171">
        <f>K9/('Output-FR (show)'!K63+'Output-FR (show)'!K64+'Output-FR (show)'!K70)</f>
        <v>1.7625686938167682</v>
      </c>
      <c r="L30" s="2171">
        <f>L9/('Output-FR (show)'!L63+'Output-FR (show)'!L64+'Output-FR (show)'!L70)</f>
        <v>1.5590997943124358</v>
      </c>
      <c r="M30" s="2171">
        <f>M9/('Output-FR (show)'!M63+'Output-FR (show)'!M64+'Output-FR (show)'!M70)</f>
        <v>1.6168704639818283</v>
      </c>
      <c r="N30" s="2171">
        <f>N9/('Output-FR (show)'!N63+'Output-FR (show)'!N64+'Output-FR (show)'!N70)</f>
        <v>1.3445913205221223</v>
      </c>
      <c r="O30" s="2171">
        <f>O9/('Output-FR (show)'!O63+'Output-FR (show)'!O64+'Output-FR (show)'!O70)</f>
        <v>1.543218488644408</v>
      </c>
      <c r="P30" s="2172">
        <f>P9/('Output-FR (show)'!P63+'Output-FR (show)'!P64+'Output-FR (show)'!P70)</f>
        <v>1.6499129190901107</v>
      </c>
      <c r="Q30" s="2171">
        <f>Q9/('Output-FR (show)'!Q63+'Output-FR (show)'!Q64+'Output-FR (show)'!Q70)</f>
        <v>1.2513202044531844</v>
      </c>
      <c r="R30" s="2171">
        <f>R9/('Output-FR (show)'!R63+'Output-FR (show)'!R64+'Output-FR (show)'!R70)</f>
        <v>1.118454760870393</v>
      </c>
      <c r="S30" s="2171">
        <f>S9/('Output-FR (show)'!S63+'Output-FR (show)'!S64+'Output-FR (show)'!S70)</f>
        <v>1.2882201559548585</v>
      </c>
      <c r="T30" s="2171">
        <f>T9/('Output-FR (show)'!T63+'Output-FR (show)'!T64+'Output-FR (show)'!T70)</f>
        <v>1.3326948198066344</v>
      </c>
      <c r="U30" s="2171">
        <f>U9/('Output-FR (show)'!U63+'Output-FR (show)'!U64+'Output-FR (show)'!U70)</f>
        <v>1.3806852756558943</v>
      </c>
      <c r="V30" s="2171">
        <f>V9/('Output-FR (show)'!V63+'Output-FR (show)'!V64+'Output-FR (show)'!V70)</f>
        <v>1.4180443224142061</v>
      </c>
      <c r="W30" s="2171">
        <f>W9/('Output-FR (show)'!W63+'Output-FR (show)'!W64+'Output-FR (show)'!W70)</f>
        <v>1.4578275895889481</v>
      </c>
      <c r="X30" s="2171">
        <f>X9/('Output-FR (show)'!X63+'Output-FR (show)'!X64+'Output-FR (show)'!X70)</f>
        <v>1.3829916619887201</v>
      </c>
      <c r="Y30" s="2171">
        <f>Y9/('Output-FR (show)'!Y63+'Output-FR (show)'!Y64+'Output-FR (show)'!Y70)</f>
        <v>1.4282471896799815</v>
      </c>
      <c r="Z30" s="2171">
        <f>Z9/('Output-FR (show)'!Z63+'Output-FR (show)'!Z64+'Output-FR (show)'!Z70)</f>
        <v>1.4404381353253382</v>
      </c>
      <c r="AA30" s="2171"/>
      <c r="AB30" s="2173"/>
      <c r="AC30" s="2173"/>
      <c r="AD30" s="2173"/>
      <c r="AE30" s="2173"/>
      <c r="AF30" s="2173"/>
      <c r="AG30" s="2173"/>
      <c r="AH30" s="2173"/>
      <c r="AI30" s="2173"/>
      <c r="AJ30" s="2173"/>
      <c r="AK30" s="2173"/>
      <c r="AL30" s="2173"/>
      <c r="AM30" s="2173"/>
      <c r="AN30" s="2173"/>
      <c r="AO30" s="2173"/>
      <c r="AP30" s="2173"/>
      <c r="AQ30" s="2173"/>
      <c r="AR30" s="2173"/>
      <c r="AS30" s="2173"/>
      <c r="AT30" s="2173"/>
      <c r="AU30" s="2173"/>
      <c r="AV30" s="2173"/>
      <c r="AW30" s="2173"/>
      <c r="AX30" s="2173"/>
      <c r="AY30" s="2173"/>
      <c r="AZ30" s="2173"/>
      <c r="BA30" s="2173"/>
    </row>
    <row r="31" spans="1:53" x14ac:dyDescent="0.25">
      <c r="B31" s="29" t="s">
        <v>1870</v>
      </c>
      <c r="J31" s="2171">
        <f>J11/('Output-FR (show)'!J82+'Output-FR (show)'!J92+'Output-FR (show)'!J111)</f>
        <v>0.19954786804351898</v>
      </c>
      <c r="K31" s="2171">
        <f>K11/('Output-FR (show)'!K82+'Output-FR (show)'!K92+'Output-FR (show)'!K111)</f>
        <v>0.18638608281029606</v>
      </c>
      <c r="L31" s="2171">
        <f>L11/('Output-FR (show)'!L82+'Output-FR (show)'!L92+'Output-FR (show)'!L111)</f>
        <v>0.1817209206058234</v>
      </c>
      <c r="M31" s="2171">
        <f>M11/('Output-FR (show)'!M82+'Output-FR (show)'!M92+'Output-FR (show)'!M111)</f>
        <v>0.18908297510811933</v>
      </c>
      <c r="N31" s="2171">
        <f>N11/('Output-FR (show)'!N82+'Output-FR (show)'!N92+'Output-FR (show)'!N111)</f>
        <v>0.13688357416660402</v>
      </c>
      <c r="O31" s="2171">
        <f>O11/('Output-FR (show)'!O82+'Output-FR (show)'!O92+'Output-FR (show)'!O111)</f>
        <v>0.16966146714636188</v>
      </c>
      <c r="P31" s="2172">
        <f>P11/('Output-FR (show)'!P82+'Output-FR (show)'!P92+'Output-FR (show)'!P111)</f>
        <v>0.1762162425425694</v>
      </c>
      <c r="Q31" s="2171">
        <f ca="1">Q11/('Output-FR (show)'!Q82+'Output-FR (show)'!Q92+'Output-FR (show)'!Q111)</f>
        <v>0.16892378413509485</v>
      </c>
      <c r="R31" s="2171">
        <f ca="1">R11/('Output-FR (show)'!R82+'Output-FR (show)'!R92+'Output-FR (show)'!R111)</f>
        <v>0.1452280870908792</v>
      </c>
      <c r="S31" s="2171">
        <f ca="1">S11/('Output-FR (show)'!S82+'Output-FR (show)'!S92+'Output-FR (show)'!S111)</f>
        <v>0.18718057203037708</v>
      </c>
      <c r="T31" s="2171">
        <f ca="1">T11/('Output-FR (show)'!T82+'Output-FR (show)'!T92+'Output-FR (show)'!T111)</f>
        <v>0.19661761892604301</v>
      </c>
      <c r="U31" s="2171">
        <f ca="1">U11/('Output-FR (show)'!U82+'Output-FR (show)'!U92+'Output-FR (show)'!U111)</f>
        <v>0.20111711714855462</v>
      </c>
      <c r="V31" s="2171">
        <f ca="1">V11/('Output-FR (show)'!V82+'Output-FR (show)'!V92+'Output-FR (show)'!V111)</f>
        <v>0.19830002629820437</v>
      </c>
      <c r="W31" s="2171">
        <f ca="1">W11/('Output-FR (show)'!W82+'Output-FR (show)'!W92+'Output-FR (show)'!W111)</f>
        <v>0.19704027860673853</v>
      </c>
      <c r="X31" s="2171">
        <f ca="1">X11/('Output-FR (show)'!X82+'Output-FR (show)'!X92+'Output-FR (show)'!X111)</f>
        <v>0.18595274061419831</v>
      </c>
      <c r="Y31" s="2171">
        <f ca="1">Y11/('Output-FR (show)'!Y82+'Output-FR (show)'!Y92+'Output-FR (show)'!Y111)</f>
        <v>0.1805876845581284</v>
      </c>
      <c r="Z31" s="2171">
        <f ca="1">Z11/('Output-FR (show)'!Z82+'Output-FR (show)'!Z92+'Output-FR (show)'!Z111)</f>
        <v>0.17610509260819163</v>
      </c>
      <c r="AA31" s="2171"/>
    </row>
    <row r="32" spans="1:53" x14ac:dyDescent="0.25">
      <c r="A32" s="2126" t="s">
        <v>1849</v>
      </c>
      <c r="B32" s="29" t="s">
        <v>1871</v>
      </c>
      <c r="J32" s="2171">
        <f>'Output-FR (show)'!J32/'Output-FR (show)'!J78</f>
        <v>0.20110387461500046</v>
      </c>
      <c r="K32" s="2171">
        <f>'Output-FR (show)'!K32/'Output-FR (show)'!K78</f>
        <v>9.8651250445365157E-2</v>
      </c>
      <c r="L32" s="2171">
        <f>'Output-FR (show)'!L32/'Output-FR (show)'!L78</f>
        <v>0.10645761983081682</v>
      </c>
      <c r="M32" s="2171">
        <f>'Output-FR (show)'!M32/'Output-FR (show)'!M78</f>
        <v>0.11364439296599356</v>
      </c>
      <c r="N32" s="2171">
        <f>'Output-FR (show)'!N32/'Output-FR (show)'!N78</f>
        <v>8.7764747095964213E-2</v>
      </c>
      <c r="O32" s="2171">
        <f>'Output-FR (show)'!O32/'Output-FR (show)'!O78</f>
        <v>0.10982226829948158</v>
      </c>
      <c r="P32" s="2172">
        <f>'Output-FR (show)'!P32/'Output-FR (show)'!P78</f>
        <v>0.11869967047326202</v>
      </c>
      <c r="Q32" s="2171">
        <f ca="1">'Output-FR (show)'!Q32/'Output-FR (show)'!Q78</f>
        <v>0.10837277516470853</v>
      </c>
      <c r="R32" s="2171">
        <f ca="1">'Output-FR (show)'!R32/'Output-FR (show)'!R78</f>
        <v>9.4771082233099421E-2</v>
      </c>
      <c r="S32" s="2171">
        <f ca="1">'Output-FR (show)'!S32/'Output-FR (show)'!S78</f>
        <v>0.11951241629729811</v>
      </c>
      <c r="T32" s="2171">
        <f ca="1">'Output-FR (show)'!T32/'Output-FR (show)'!T78</f>
        <v>0.12865997243498345</v>
      </c>
      <c r="U32" s="2171">
        <f ca="1">'Output-FR (show)'!U32/'Output-FR (show)'!U78</f>
        <v>0.13979160946269714</v>
      </c>
      <c r="V32" s="2171">
        <f ca="1">'Output-FR (show)'!V32/'Output-FR (show)'!V78</f>
        <v>0.1419110900534126</v>
      </c>
      <c r="W32" s="2171">
        <f ca="1">'Output-FR (show)'!W32/'Output-FR (show)'!W78</f>
        <v>0.14976638764439448</v>
      </c>
      <c r="X32" s="2171">
        <f ca="1">'Output-FR (show)'!X32/'Output-FR (show)'!X78</f>
        <v>0.14402707806722526</v>
      </c>
      <c r="Y32" s="2171">
        <f ca="1">'Output-FR (show)'!Y32/'Output-FR (show)'!Y78</f>
        <v>0.14325001675116267</v>
      </c>
      <c r="Z32" s="2171">
        <f ca="1">'Output-FR (show)'!Z32/'Output-FR (show)'!Z78</f>
        <v>0.14276425601226894</v>
      </c>
      <c r="AA32" s="2171"/>
    </row>
    <row r="33" spans="1:53" x14ac:dyDescent="0.25">
      <c r="A33" s="2126" t="s">
        <v>1849</v>
      </c>
      <c r="B33" s="29" t="s">
        <v>1872</v>
      </c>
      <c r="J33" s="2171">
        <f>'Output-FR (show)'!J32/AVERAGE('Output-FR (show)'!I78:J78)</f>
        <v>0.19896019401739709</v>
      </c>
      <c r="K33" s="2171">
        <f>'Output-FR (show)'!K32/AVERAGE('Output-FR (show)'!J78:K78)</f>
        <v>0.11309401741117951</v>
      </c>
      <c r="L33" s="2171">
        <f>'Output-FR (show)'!L32/AVERAGE('Output-FR (show)'!K78:L78)</f>
        <v>0.11038680893835422</v>
      </c>
      <c r="M33" s="2171">
        <f>'Output-FR (show)'!M32/AVERAGE('Output-FR (show)'!L78:M78)</f>
        <v>0.10945315251351984</v>
      </c>
      <c r="N33" s="2171">
        <f>'Output-FR (show)'!N32/AVERAGE('Output-FR (show)'!M78:N78)</f>
        <v>9.3114475755273096E-2</v>
      </c>
      <c r="O33" s="2171">
        <f>'Output-FR (show)'!O32/AVERAGE('Output-FR (show)'!N78:O78)</f>
        <v>0.10324493657358326</v>
      </c>
      <c r="P33" s="2172">
        <f>'Output-FR (show)'!P32/AVERAGE('Output-FR (show)'!O78:P78)</f>
        <v>0.12330672229183276</v>
      </c>
      <c r="Q33" s="2171">
        <f ca="1">'Output-FR (show)'!Q32/AVERAGE('Output-FR (show)'!P78:Q78)</f>
        <v>0.12505333015506223</v>
      </c>
      <c r="R33" s="2171">
        <f ca="1">'Output-FR (show)'!R32/AVERAGE('Output-FR (show)'!Q78:R78)</f>
        <v>0.10053479863831892</v>
      </c>
      <c r="S33" s="2171">
        <f ca="1">'Output-FR (show)'!S32/AVERAGE('Output-FR (show)'!R78:S78)</f>
        <v>0.12795853087328021</v>
      </c>
      <c r="T33" s="2171">
        <f ca="1">'Output-FR (show)'!T32/AVERAGE('Output-FR (show)'!S78:T78)</f>
        <v>0.13309478415009285</v>
      </c>
      <c r="U33" s="2171">
        <f ca="1">'Output-FR (show)'!U32/AVERAGE('Output-FR (show)'!T78:U78)</f>
        <v>0.14399278879194974</v>
      </c>
      <c r="V33" s="2171">
        <f ca="1">'Output-FR (show)'!V32/AVERAGE('Output-FR (show)'!U78:V78)</f>
        <v>0.14755535156816443</v>
      </c>
      <c r="W33" s="2171">
        <f ca="1">'Output-FR (show)'!W32/AVERAGE('Output-FR (show)'!V78:W78)</f>
        <v>0.15342311980574183</v>
      </c>
      <c r="X33" s="2171">
        <f ca="1">'Output-FR (show)'!X32/AVERAGE('Output-FR (show)'!W78:X78)</f>
        <v>0.15042012019744211</v>
      </c>
      <c r="Y33" s="2171">
        <f ca="1">'Output-FR (show)'!Y32/AVERAGE('Output-FR (show)'!X78:Y78)</f>
        <v>0.14748514031221305</v>
      </c>
      <c r="Z33" s="2171">
        <f ca="1">'Output-FR (show)'!Z32/AVERAGE('Output-FR (show)'!Y78:Z78)</f>
        <v>0.14689212965676796</v>
      </c>
      <c r="AA33" s="2171"/>
    </row>
    <row r="34" spans="1:53" x14ac:dyDescent="0.25">
      <c r="A34" s="2126" t="s">
        <v>1849</v>
      </c>
      <c r="B34" s="29" t="s">
        <v>1873</v>
      </c>
      <c r="K34" s="2171">
        <f>'Output-FR (show)'!K35/'Output-FR (show)'!J111</f>
        <v>0.2553332181049644</v>
      </c>
      <c r="L34" s="2171">
        <f>'Output-FR (show)'!L35/'Output-FR (show)'!K111</f>
        <v>0.21265791662386335</v>
      </c>
      <c r="M34" s="2171">
        <f>'Output-FR (show)'!M35/'Output-FR (show)'!L111</f>
        <v>0.195681623327427</v>
      </c>
      <c r="N34" s="2171">
        <f>'Output-FR (show)'!N35/'Output-FR (show)'!M111</f>
        <v>0.15968869062112545</v>
      </c>
      <c r="O34" s="2171">
        <f>'Output-FR (show)'!O35/'Output-FR (show)'!N111</f>
        <v>0.16928488602644012</v>
      </c>
      <c r="P34" s="2172">
        <f>'Output-FR (show)'!P35/'Output-FR (show)'!O111</f>
        <v>0.18652158412002579</v>
      </c>
      <c r="Q34" s="2171">
        <f ca="1">'Output-FR (show)'!Q35/'Output-FR (show)'!P111</f>
        <v>0.20227522977596263</v>
      </c>
      <c r="R34" s="2171">
        <f ca="1">'Output-FR (show)'!R35/'Output-FR (show)'!Q111</f>
        <v>0.17336430398814651</v>
      </c>
      <c r="S34" s="2171">
        <f ca="1">'Output-FR (show)'!S35/'Output-FR (show)'!R111</f>
        <v>0.22342588436046673</v>
      </c>
      <c r="T34" s="2171">
        <f ca="1">'Output-FR (show)'!T35/'Output-FR (show)'!S111</f>
        <v>0.21581564260732952</v>
      </c>
      <c r="U34" s="2171">
        <f ca="1">'Output-FR (show)'!U35/'Output-FR (show)'!T111</f>
        <v>0.21876800779703545</v>
      </c>
      <c r="V34" s="2171">
        <f ca="1">'Output-FR (show)'!V35/'Output-FR (show)'!U111</f>
        <v>0.2092361769856774</v>
      </c>
      <c r="W34" s="2171">
        <f ca="1">'Output-FR (show)'!W35/'Output-FR (show)'!V111</f>
        <v>0.20520134615214361</v>
      </c>
      <c r="X34" s="2171">
        <f ca="1">'Output-FR (show)'!X35/'Output-FR (show)'!W111</f>
        <v>0.19397374299262823</v>
      </c>
      <c r="Y34" s="2171">
        <f ca="1">'Output-FR (show)'!Y35/'Output-FR (show)'!X111</f>
        <v>0.18537320516300837</v>
      </c>
      <c r="Z34" s="2171">
        <f ca="1">'Output-FR (show)'!Z35/'Output-FR (show)'!Y111</f>
        <v>0.18184683731921944</v>
      </c>
      <c r="AA34" s="2171"/>
    </row>
    <row r="35" spans="1:53" x14ac:dyDescent="0.25">
      <c r="A35" s="2126" t="s">
        <v>1849</v>
      </c>
      <c r="B35" s="29" t="s">
        <v>1874</v>
      </c>
      <c r="K35" s="2171">
        <f>'Output-FR (show)'!K35/AVERAGE('Output-FR (show)'!J111:K111)</f>
        <v>0.21322229932359077</v>
      </c>
      <c r="L35" s="2171">
        <f>'Output-FR (show)'!L35/AVERAGE('Output-FR (show)'!K111:L111)</f>
        <v>0.20471575184948707</v>
      </c>
      <c r="M35" s="2171">
        <f>'Output-FR (show)'!M35/AVERAGE('Output-FR (show)'!L111:M111)</f>
        <v>0.18913749680450437</v>
      </c>
      <c r="N35" s="2171">
        <f>'Output-FR (show)'!N35/AVERAGE('Output-FR (show)'!M111:N111)</f>
        <v>0.15602274471039904</v>
      </c>
      <c r="O35" s="2171">
        <f>'Output-FR (show)'!O35/AVERAGE('Output-FR (show)'!N111:O111)</f>
        <v>0.16433999611863401</v>
      </c>
      <c r="P35" s="2172">
        <f>'Output-FR (show)'!P35/AVERAGE('Output-FR (show)'!O111:P111)</f>
        <v>0.17365370724389953</v>
      </c>
      <c r="Q35" s="2171">
        <f ca="1">'Output-FR (show)'!Q35/AVERAGE('Output-FR (show)'!P111:Q111)</f>
        <v>0.18794719895311149</v>
      </c>
      <c r="R35" s="2171">
        <f ca="1">'Output-FR (show)'!R35/AVERAGE('Output-FR (show)'!Q111:R111)</f>
        <v>0.1629878414039167</v>
      </c>
      <c r="S35" s="2171">
        <f ca="1">'Output-FR (show)'!S35/AVERAGE('Output-FR (show)'!R111:S111)</f>
        <v>0.20366272317334094</v>
      </c>
      <c r="T35" s="2171">
        <f ca="1">'Output-FR (show)'!T35/AVERAGE('Output-FR (show)'!S111:T111)</f>
        <v>0.20185926293796547</v>
      </c>
      <c r="U35" s="2171">
        <f ca="1">'Output-FR (show)'!U35/AVERAGE('Output-FR (show)'!T111:U111)</f>
        <v>0.20356797451654998</v>
      </c>
      <c r="V35" s="2171">
        <f ca="1">'Output-FR (show)'!V35/AVERAGE('Output-FR (show)'!U111:V111)</f>
        <v>0.19646876443274125</v>
      </c>
      <c r="W35" s="2171">
        <f ca="1">'Output-FR (show)'!W35/AVERAGE('Output-FR (show)'!V111:W111)</f>
        <v>0.19433303711668165</v>
      </c>
      <c r="X35" s="2171">
        <f ca="1">'Output-FR (show)'!X35/AVERAGE('Output-FR (show)'!W111:X111)</f>
        <v>0.18437134497161786</v>
      </c>
      <c r="Y35" s="2171">
        <f ca="1">'Output-FR (show)'!Y35/AVERAGE('Output-FR (show)'!X111:Y111)</f>
        <v>0.17854959409447446</v>
      </c>
      <c r="Z35" s="2171">
        <f ca="1">'Output-FR (show)'!Z35/AVERAGE('Output-FR (show)'!Y111:Z111)</f>
        <v>0.17558052771967311</v>
      </c>
      <c r="AA35" s="2171"/>
    </row>
    <row r="36" spans="1:53" x14ac:dyDescent="0.25">
      <c r="A36" s="2126" t="s">
        <v>1849</v>
      </c>
      <c r="B36" s="29" t="s">
        <v>1875</v>
      </c>
      <c r="J36" s="2168">
        <f>'Output-FR (show)'!J35/('Output-FR (show)'!J82+'Output-FR (show)'!J92+'Output-FR (show)'!J111)</f>
        <v>0.33513444814653182</v>
      </c>
      <c r="K36" s="2168">
        <f>'Output-FR (show)'!K35/('Output-FR (show)'!K82+'Output-FR (show)'!K92+'Output-FR (show)'!K111)</f>
        <v>0.1669022813370567</v>
      </c>
      <c r="L36" s="2168">
        <f>'Output-FR (show)'!L35/('Output-FR (show)'!L82+'Output-FR (show)'!L92+'Output-FR (show)'!L111)</f>
        <v>0.15980285671237815</v>
      </c>
      <c r="M36" s="2168">
        <f>'Output-FR (show)'!M35/('Output-FR (show)'!M82+'Output-FR (show)'!M92+'Output-FR (show)'!M111)</f>
        <v>0.16521190550456635</v>
      </c>
      <c r="N36" s="2168">
        <f>'Output-FR (show)'!N35/('Output-FR (show)'!N82+'Output-FR (show)'!N92+'Output-FR (show)'!N111)</f>
        <v>0.12111136000833998</v>
      </c>
      <c r="O36" s="2168">
        <f>'Output-FR (show)'!O35/('Output-FR (show)'!O82+'Output-FR (show)'!O92+'Output-FR (show)'!O111)</f>
        <v>0.14733321827295173</v>
      </c>
      <c r="P36" s="2177">
        <f>'Output-FR (show)'!P35/('Output-FR (show)'!P82+'Output-FR (show)'!P92+'Output-FR (show)'!P111)</f>
        <v>0.14965456900734997</v>
      </c>
      <c r="Q36" s="2168">
        <f ca="1">'Output-FR (show)'!Q35/('Output-FR (show)'!Q82+'Output-FR (show)'!Q92+'Output-FR (show)'!Q111)</f>
        <v>0.14189369065047056</v>
      </c>
      <c r="R36" s="2168">
        <f ca="1">'Output-FR (show)'!R35/('Output-FR (show)'!R82+'Output-FR (show)'!R92+'Output-FR (show)'!R111)</f>
        <v>0.12074084611538954</v>
      </c>
      <c r="S36" s="2168">
        <f ca="1">'Output-FR (show)'!S35/('Output-FR (show)'!S82+'Output-FR (show)'!S92+'Output-FR (show)'!S111)</f>
        <v>0.15519592488071354</v>
      </c>
      <c r="T36" s="2168">
        <f ca="1">'Output-FR (show)'!T35/('Output-FR (show)'!T82+'Output-FR (show)'!T92+'Output-FR (show)'!T111)</f>
        <v>0.16630562075346494</v>
      </c>
      <c r="U36" s="2168">
        <f ca="1">'Output-FR (show)'!U35/('Output-FR (show)'!U82+'Output-FR (show)'!U92+'Output-FR (show)'!U111)</f>
        <v>0.17321137699405348</v>
      </c>
      <c r="V36" s="2168">
        <f ca="1">'Output-FR (show)'!V35/('Output-FR (show)'!V82+'Output-FR (show)'!V92+'Output-FR (show)'!V111)</f>
        <v>0.17452154913665999</v>
      </c>
      <c r="W36" s="2168">
        <f ca="1">'Output-FR (show)'!W35/('Output-FR (show)'!W82+'Output-FR (show)'!W92+'Output-FR (show)'!W111)</f>
        <v>0.17606621555331387</v>
      </c>
      <c r="X36" s="2168">
        <f ca="1">'Output-FR (show)'!X35/('Output-FR (show)'!X82+'Output-FR (show)'!X92+'Output-FR (show)'!X111)</f>
        <v>0.16785521593121558</v>
      </c>
      <c r="Y36" s="2168">
        <f ca="1">'Output-FR (show)'!Y35/('Output-FR (show)'!Y82+'Output-FR (show)'!Y92+'Output-FR (show)'!Y111)</f>
        <v>0.1650239339748831</v>
      </c>
      <c r="Z36" s="2168">
        <f ca="1">'Output-FR (show)'!Z35/('Output-FR (show)'!Z82+'Output-FR (show)'!Z92+'Output-FR (show)'!Z111)</f>
        <v>0.16271754840039038</v>
      </c>
      <c r="AA36" s="2171"/>
    </row>
    <row r="37" spans="1:53" x14ac:dyDescent="0.25">
      <c r="A37" s="2214"/>
      <c r="B37" s="29" t="s">
        <v>1876</v>
      </c>
      <c r="E37" s="2174"/>
      <c r="F37" s="2174"/>
      <c r="G37" s="2174"/>
      <c r="H37" s="2174"/>
      <c r="I37" s="2174"/>
      <c r="J37" s="2175">
        <f>J9/J18</f>
        <v>2.5369827563618719</v>
      </c>
      <c r="K37" s="2175">
        <f t="shared" ref="K37:Z37" si="7">K9/K18</f>
        <v>15.501919103947372</v>
      </c>
      <c r="L37" s="2175">
        <f t="shared" si="7"/>
        <v>-464.48281191743638</v>
      </c>
      <c r="M37" s="2175">
        <f t="shared" si="7"/>
        <v>19.158614699327263</v>
      </c>
      <c r="N37" s="2175">
        <f t="shared" si="7"/>
        <v>-10.851197156522154</v>
      </c>
      <c r="O37" s="2175">
        <f t="shared" si="7"/>
        <v>6.2424430212979178</v>
      </c>
      <c r="P37" s="2176">
        <f t="shared" si="7"/>
        <v>40.935278910716498</v>
      </c>
      <c r="Q37" s="2175">
        <f t="shared" ca="1" si="7"/>
        <v>-9.4145024333391216</v>
      </c>
      <c r="R37" s="2175">
        <f t="shared" ca="1" si="7"/>
        <v>-27.763381426111852</v>
      </c>
      <c r="S37" s="2175">
        <f t="shared" ca="1" si="7"/>
        <v>12.301949075222614</v>
      </c>
      <c r="T37" s="2175">
        <f t="shared" ca="1" si="7"/>
        <v>8.735309088308453</v>
      </c>
      <c r="U37" s="2175">
        <f t="shared" ca="1" si="7"/>
        <v>11.548791804458212</v>
      </c>
      <c r="V37" s="2175">
        <f t="shared" ca="1" si="7"/>
        <v>7.4813160011612103</v>
      </c>
      <c r="W37" s="2175">
        <f t="shared" ca="1" si="7"/>
        <v>12.05626711663912</v>
      </c>
      <c r="X37" s="2175">
        <f t="shared" ca="1" si="7"/>
        <v>11.357581510351439</v>
      </c>
      <c r="Y37" s="2175">
        <f t="shared" ca="1" si="7"/>
        <v>7.3248192139173716</v>
      </c>
      <c r="Z37" s="2175">
        <f t="shared" ca="1" si="7"/>
        <v>8.421714934670776</v>
      </c>
      <c r="AA37" s="2175"/>
      <c r="AB37" s="2174"/>
      <c r="AC37" s="2174"/>
      <c r="AD37" s="2174"/>
      <c r="AE37" s="2174"/>
      <c r="AF37" s="2174"/>
      <c r="AG37" s="2174"/>
      <c r="AH37" s="2174"/>
      <c r="AI37" s="2174"/>
      <c r="AJ37" s="2174"/>
      <c r="AK37" s="2174"/>
      <c r="AL37" s="2174"/>
      <c r="AM37" s="2174"/>
      <c r="AN37" s="2174"/>
      <c r="AO37" s="2174"/>
      <c r="AP37" s="2174"/>
      <c r="AQ37" s="2174"/>
      <c r="AR37" s="2174"/>
      <c r="AS37" s="2174"/>
      <c r="AT37" s="2174"/>
      <c r="AU37" s="2174"/>
      <c r="AV37" s="2174"/>
      <c r="AW37" s="2174"/>
      <c r="AX37" s="2174"/>
      <c r="AY37" s="2174"/>
      <c r="AZ37" s="2174"/>
      <c r="BA37" s="2174"/>
    </row>
    <row r="38" spans="1:53" x14ac:dyDescent="0.25">
      <c r="P38" s="2177"/>
    </row>
    <row r="39" spans="1:53" ht="13.8" thickBot="1" x14ac:dyDescent="0.3">
      <c r="B39" s="2137" t="s">
        <v>1877</v>
      </c>
      <c r="C39" s="2138"/>
      <c r="D39" s="2138"/>
      <c r="E39" s="2178"/>
      <c r="F39" s="2178"/>
      <c r="G39" s="2178"/>
      <c r="H39" s="2178"/>
      <c r="I39" s="2178"/>
      <c r="J39" s="2178"/>
      <c r="K39" s="2178"/>
      <c r="L39" s="2178"/>
      <c r="M39" s="2178"/>
      <c r="N39" s="2178"/>
      <c r="O39" s="2178"/>
      <c r="P39" s="2179"/>
      <c r="Q39" s="2178"/>
      <c r="R39" s="2178"/>
      <c r="S39" s="2178"/>
      <c r="T39" s="2178"/>
      <c r="U39" s="2178"/>
      <c r="V39" s="2178"/>
      <c r="W39" s="2178"/>
      <c r="X39" s="2178"/>
      <c r="Y39" s="2178"/>
      <c r="Z39" s="2178"/>
      <c r="AA39" s="2178"/>
      <c r="AB39" s="2178"/>
      <c r="AC39" s="2178"/>
      <c r="AD39" s="2178"/>
      <c r="AE39" s="2178"/>
      <c r="AF39" s="2178"/>
      <c r="AG39" s="2178"/>
      <c r="AH39" s="2178"/>
      <c r="AI39" s="2178"/>
      <c r="AJ39" s="2178"/>
      <c r="AK39" s="2178"/>
      <c r="AL39" s="2178"/>
      <c r="AM39" s="2178"/>
      <c r="AN39" s="2178"/>
      <c r="AO39" s="2178"/>
      <c r="AP39" s="2178"/>
      <c r="AQ39" s="2178"/>
      <c r="AR39" s="2178"/>
      <c r="AS39" s="2178"/>
      <c r="AT39" s="2178"/>
      <c r="AU39" s="2178"/>
      <c r="AV39" s="2178"/>
      <c r="AW39" s="2178"/>
      <c r="AX39" s="2178"/>
      <c r="AY39" s="2178"/>
      <c r="AZ39" s="2178"/>
      <c r="BA39" s="2178"/>
    </row>
    <row r="40" spans="1:53" x14ac:dyDescent="0.25">
      <c r="A40" s="2126" t="s">
        <v>1849</v>
      </c>
      <c r="B40" s="29" t="s">
        <v>1878</v>
      </c>
      <c r="E40" s="2174"/>
      <c r="F40" s="2174"/>
      <c r="G40" s="2174"/>
      <c r="H40" s="2174"/>
      <c r="I40" s="2174"/>
      <c r="J40" s="2174">
        <f>365/ ('Output-FR (show)'!J5/AVERAGE('Output-FR (show)'!I64:J64))</f>
        <v>74.340984128511181</v>
      </c>
      <c r="K40" s="2174">
        <f>365/ ('Output-FR (show)'!K5/AVERAGE('Output-FR (show)'!J64:K64))</f>
        <v>53.411475332651364</v>
      </c>
      <c r="L40" s="2174">
        <f>365/ ('Output-FR (show)'!L5/AVERAGE('Output-FR (show)'!K64:L64))</f>
        <v>68.494099799878668</v>
      </c>
      <c r="M40" s="2174">
        <f>365/ ('Output-FR (show)'!M5/AVERAGE('Output-FR (show)'!L64:M64))</f>
        <v>72.897884080719706</v>
      </c>
      <c r="N40" s="2174">
        <f>365/ ('Output-FR (show)'!N5/AVERAGE('Output-FR (show)'!M64:N64))</f>
        <v>84.282830518885334</v>
      </c>
      <c r="O40" s="2174">
        <f>365/ ('Output-FR (show)'!O5/AVERAGE('Output-FR (show)'!N64:O64))</f>
        <v>76.643520028224344</v>
      </c>
      <c r="P40" s="2234">
        <f>365/ ('Output-FR (show)'!P5/AVERAGE('Output-FR (show)'!O64:P64))</f>
        <v>54.918692227016095</v>
      </c>
      <c r="Q40" s="2174">
        <f>365/ ('Output-FR (show)'!Q5/AVERAGE('Output-FR (show)'!P64:Q64))</f>
        <v>58.153750744207848</v>
      </c>
      <c r="R40" s="2174">
        <f>365/ ('Output-FR (show)'!R5/AVERAGE('Output-FR (show)'!Q64:R64))</f>
        <v>60.021435801867788</v>
      </c>
      <c r="S40" s="2174">
        <f>365/ ('Output-FR (show)'!S5/AVERAGE('Output-FR (show)'!R64:S64))</f>
        <v>54.022406701759841</v>
      </c>
      <c r="T40" s="2174">
        <f>365/ ('Output-FR (show)'!T5/AVERAGE('Output-FR (show)'!S64:T64))</f>
        <v>56.825621347188012</v>
      </c>
      <c r="U40" s="2174">
        <f>365/ ('Output-FR (show)'!U5/AVERAGE('Output-FR (show)'!T64:U64))</f>
        <v>55.777610883421879</v>
      </c>
      <c r="V40" s="2174">
        <f>365/ ('Output-FR (show)'!V5/AVERAGE('Output-FR (show)'!U64:V64))</f>
        <v>55.270406761924484</v>
      </c>
      <c r="W40" s="2174">
        <f>365/ ('Output-FR (show)'!W5/AVERAGE('Output-FR (show)'!V64:W64))</f>
        <v>54.449785922108582</v>
      </c>
      <c r="X40" s="2174">
        <f>365/ ('Output-FR (show)'!X5/AVERAGE('Output-FR (show)'!W64:X64))</f>
        <v>59.915543848776764</v>
      </c>
      <c r="Y40" s="2174">
        <f>365/ ('Output-FR (show)'!Y5/AVERAGE('Output-FR (show)'!X64:Y64))</f>
        <v>64.93500345609462</v>
      </c>
      <c r="Z40" s="2174">
        <f>365/ ('Output-FR (show)'!Z5/AVERAGE('Output-FR (show)'!Y64:Z64))</f>
        <v>65.930903108443431</v>
      </c>
      <c r="AA40" s="2174"/>
      <c r="AB40" s="2180"/>
      <c r="AC40" s="2180"/>
      <c r="AD40" s="2180"/>
      <c r="AE40" s="2180"/>
      <c r="AF40" s="2180"/>
      <c r="AG40" s="2180"/>
      <c r="AH40" s="2180"/>
      <c r="AI40" s="2180"/>
      <c r="AJ40" s="2180"/>
      <c r="AK40" s="2180"/>
      <c r="AL40" s="2180"/>
      <c r="AM40" s="2180"/>
      <c r="AN40" s="2180"/>
      <c r="AO40" s="2180"/>
      <c r="AP40" s="2180"/>
      <c r="AQ40" s="2180"/>
      <c r="AR40" s="2180"/>
      <c r="AS40" s="2180"/>
      <c r="AT40" s="2180"/>
      <c r="AU40" s="2180"/>
      <c r="AV40" s="2180"/>
      <c r="AW40" s="2180"/>
      <c r="AX40" s="2180"/>
      <c r="AY40" s="2180"/>
      <c r="AZ40" s="2180"/>
      <c r="BA40" s="2180"/>
    </row>
    <row r="41" spans="1:53" x14ac:dyDescent="0.25">
      <c r="A41" s="2126" t="s">
        <v>1849</v>
      </c>
      <c r="B41" s="29" t="s">
        <v>1879</v>
      </c>
      <c r="E41" s="2174"/>
      <c r="F41" s="2174"/>
      <c r="G41" s="2174"/>
      <c r="H41" s="2174"/>
      <c r="I41" s="2174"/>
      <c r="J41" s="2174">
        <f>365/ ('Output-FR (show)'!J6/AVERAGE('Output-FR (show)'!I64:J64))</f>
        <v>117.80556510777164</v>
      </c>
      <c r="K41" s="2174">
        <f>365/ ('Output-FR (show)'!K6/AVERAGE('Output-FR (show)'!J64:K64))</f>
        <v>84.468932665715386</v>
      </c>
      <c r="L41" s="2174">
        <f>365/ ('Output-FR (show)'!L6/AVERAGE('Output-FR (show)'!K64:L64))</f>
        <v>105.93823578986286</v>
      </c>
      <c r="M41" s="2174">
        <f>365/ ('Output-FR (show)'!M6/AVERAGE('Output-FR (show)'!L64:M64))</f>
        <v>104.97697484520691</v>
      </c>
      <c r="N41" s="2174">
        <f>365/ ('Output-FR (show)'!N6/AVERAGE('Output-FR (show)'!M64:N64))</f>
        <v>125.56138819467374</v>
      </c>
      <c r="O41" s="2174">
        <f>365/ ('Output-FR (show)'!O6/AVERAGE('Output-FR (show)'!N64:O64))</f>
        <v>125.79734541720252</v>
      </c>
      <c r="P41" s="2234">
        <f>365/ ('Output-FR (show)'!P6/AVERAGE('Output-FR (show)'!O64:P64))</f>
        <v>91.449385105444534</v>
      </c>
      <c r="Q41" s="2174">
        <f>365/ ('Output-FR (show)'!Q6/AVERAGE('Output-FR (show)'!P64:Q64))</f>
        <v>96.171494288532585</v>
      </c>
      <c r="R41" s="2174">
        <f>365/ ('Output-FR (show)'!R6/AVERAGE('Output-FR (show)'!Q64:R64))</f>
        <v>98.110355337262419</v>
      </c>
      <c r="S41" s="2174">
        <f>365/ ('Output-FR (show)'!S6/AVERAGE('Output-FR (show)'!R64:S64))</f>
        <v>91.915269112637304</v>
      </c>
      <c r="T41" s="2174">
        <f>365/ ('Output-FR (show)'!T6/AVERAGE('Output-FR (show)'!S64:T64))</f>
        <v>98.495956904273115</v>
      </c>
      <c r="U41" s="2174">
        <f>365/ ('Output-FR (show)'!U6/AVERAGE('Output-FR (show)'!T64:U64))</f>
        <v>98.84979381503166</v>
      </c>
      <c r="V41" s="2174">
        <f>365/ ('Output-FR (show)'!V6/AVERAGE('Output-FR (show)'!U64:V64))</f>
        <v>98.870962523538694</v>
      </c>
      <c r="W41" s="2174">
        <f>365/ ('Output-FR (show)'!W6/AVERAGE('Output-FR (show)'!V64:W64))</f>
        <v>98.571153355733628</v>
      </c>
      <c r="X41" s="2174">
        <f>365/ ('Output-FR (show)'!X6/AVERAGE('Output-FR (show)'!W64:X64))</f>
        <v>108.53812234834881</v>
      </c>
      <c r="Y41" s="2174">
        <f>365/ ('Output-FR (show)'!Y6/AVERAGE('Output-FR (show)'!X64:Y64))</f>
        <v>117.72329681974828</v>
      </c>
      <c r="Z41" s="2174">
        <f>365/ ('Output-FR (show)'!Z6/AVERAGE('Output-FR (show)'!Y64:Z64))</f>
        <v>119.63687111453299</v>
      </c>
      <c r="AA41" s="2174"/>
      <c r="AB41" s="2180"/>
      <c r="AC41" s="2180"/>
      <c r="AD41" s="2180"/>
      <c r="AE41" s="2180"/>
      <c r="AF41" s="2180"/>
      <c r="AG41" s="2180"/>
      <c r="AH41" s="2180"/>
      <c r="AI41" s="2180"/>
      <c r="AJ41" s="2180"/>
      <c r="AK41" s="2180"/>
      <c r="AL41" s="2180"/>
      <c r="AM41" s="2180"/>
      <c r="AN41" s="2180"/>
      <c r="AO41" s="2180"/>
      <c r="AP41" s="2180"/>
      <c r="AQ41" s="2180"/>
      <c r="AR41" s="2180"/>
      <c r="AS41" s="2180"/>
      <c r="AT41" s="2180"/>
      <c r="AU41" s="2180"/>
      <c r="AV41" s="2180"/>
      <c r="AW41" s="2180"/>
      <c r="AX41" s="2180"/>
      <c r="AY41" s="2180"/>
      <c r="AZ41" s="2180"/>
      <c r="BA41" s="2180"/>
    </row>
    <row r="42" spans="1:53" x14ac:dyDescent="0.25">
      <c r="A42" s="2126" t="s">
        <v>1849</v>
      </c>
      <c r="B42" s="29" t="s">
        <v>1880</v>
      </c>
      <c r="E42" s="2174"/>
      <c r="F42" s="2174"/>
      <c r="G42" s="2174"/>
      <c r="H42" s="2174"/>
      <c r="I42" s="2174"/>
      <c r="J42" s="2174">
        <f>365/ (('Output-FR (show)'!J64-'Output-FR (show)'!I64+'Output-FR (show)'!J6)/AVERAGE('Output-FR (show)'!I86:J86))</f>
        <v>69.398281805961844</v>
      </c>
      <c r="K42" s="2174">
        <f>365/ (('Output-FR (show)'!K64-'Output-FR (show)'!J64+'Output-FR (show)'!K6)/AVERAGE('Output-FR (show)'!J86:K86))</f>
        <v>78.532144092221102</v>
      </c>
      <c r="L42" s="2174">
        <f>365/ (('Output-FR (show)'!L64-'Output-FR (show)'!K64+'Output-FR (show)'!L6)/AVERAGE('Output-FR (show)'!K86:L86))</f>
        <v>85.09208013070041</v>
      </c>
      <c r="M42" s="2174">
        <f>365/ (('Output-FR (show)'!M64-'Output-FR (show)'!L64+'Output-FR (show)'!M6)/AVERAGE('Output-FR (show)'!L86:M86))</f>
        <v>76.766713573310511</v>
      </c>
      <c r="N42" s="2174">
        <f>365/ (('Output-FR (show)'!N64-'Output-FR (show)'!M64+'Output-FR (show)'!N6)/AVERAGE('Output-FR (show)'!M86:N86))</f>
        <v>85.267178761155307</v>
      </c>
      <c r="O42" s="2174">
        <f>365/ (('Output-FR (show)'!O64-'Output-FR (show)'!N64+'Output-FR (show)'!O6)/AVERAGE('Output-FR (show)'!N86:O86))</f>
        <v>85.830700938465625</v>
      </c>
      <c r="P42" s="2234">
        <f>365/ (('Output-FR (show)'!P64-'Output-FR (show)'!O64+'Output-FR (show)'!P6)/AVERAGE('Output-FR (show)'!O86:P86))</f>
        <v>37.331403129696731</v>
      </c>
      <c r="Q42" s="2174">
        <f>365/ (('Output-FR (show)'!Q64-'Output-FR (show)'!P64+'Output-FR (show)'!Q6)/AVERAGE('Output-FR (show)'!P86:Q86))</f>
        <v>47.573152970969559</v>
      </c>
      <c r="R42" s="2174">
        <f>365/ (('Output-FR (show)'!R64-'Output-FR (show)'!Q64+'Output-FR (show)'!R6)/AVERAGE('Output-FR (show)'!Q86:R86))</f>
        <v>59.765113345055667</v>
      </c>
      <c r="S42" s="2174">
        <f>365/ (('Output-FR (show)'!S64-'Output-FR (show)'!R64+'Output-FR (show)'!S6)/AVERAGE('Output-FR (show)'!R86:S86))</f>
        <v>55.078725735378789</v>
      </c>
      <c r="T42" s="2174">
        <f>365/ (('Output-FR (show)'!T64-'Output-FR (show)'!S64+'Output-FR (show)'!T6)/AVERAGE('Output-FR (show)'!S86:T86))</f>
        <v>62.825269122695573</v>
      </c>
      <c r="U42" s="2174">
        <f>365/ (('Output-FR (show)'!U64-'Output-FR (show)'!T64+'Output-FR (show)'!U6)/AVERAGE('Output-FR (show)'!T86:U86))</f>
        <v>64.473887527379844</v>
      </c>
      <c r="V42" s="2174">
        <f>365/ (('Output-FR (show)'!V64-'Output-FR (show)'!U64+'Output-FR (show)'!V6)/AVERAGE('Output-FR (show)'!U86:V86))</f>
        <v>65.509052963109852</v>
      </c>
      <c r="W42" s="2174">
        <f>365/ (('Output-FR (show)'!W64-'Output-FR (show)'!V64+'Output-FR (show)'!W6)/AVERAGE('Output-FR (show)'!V86:W86))</f>
        <v>65.904850567744106</v>
      </c>
      <c r="X42" s="2174">
        <f>365/ (('Output-FR (show)'!X64-'Output-FR (show)'!W64+'Output-FR (show)'!X6)/AVERAGE('Output-FR (show)'!W86:X86))</f>
        <v>63.362516877725092</v>
      </c>
      <c r="Y42" s="2174">
        <f>365/ (('Output-FR (show)'!Y64-'Output-FR (show)'!X64+'Output-FR (show)'!Y6)/AVERAGE('Output-FR (show)'!X86:Y86))</f>
        <v>66.513183251891988</v>
      </c>
      <c r="Z42" s="2174">
        <f>365/ (('Output-FR (show)'!Z64-'Output-FR (show)'!Y64+'Output-FR (show)'!Z6)/AVERAGE('Output-FR (show)'!Y86:Z86))</f>
        <v>65.777846216001635</v>
      </c>
      <c r="AA42" s="2174"/>
      <c r="AB42" s="2180"/>
      <c r="AC42" s="2180"/>
      <c r="AD42" s="2180"/>
      <c r="AE42" s="2180"/>
      <c r="AF42" s="2180"/>
      <c r="AG42" s="2180"/>
      <c r="AH42" s="2180"/>
      <c r="AI42" s="2180"/>
      <c r="AJ42" s="2180"/>
      <c r="AK42" s="2180"/>
      <c r="AL42" s="2180"/>
      <c r="AM42" s="2180"/>
      <c r="AN42" s="2180"/>
      <c r="AO42" s="2180"/>
      <c r="AP42" s="2180"/>
      <c r="AQ42" s="2180"/>
      <c r="AR42" s="2180"/>
      <c r="AS42" s="2180"/>
      <c r="AT42" s="2180"/>
      <c r="AU42" s="2180"/>
      <c r="AV42" s="2180"/>
      <c r="AW42" s="2180"/>
      <c r="AX42" s="2180"/>
      <c r="AY42" s="2180"/>
      <c r="AZ42" s="2180"/>
      <c r="BA42" s="2180"/>
    </row>
    <row r="43" spans="1:53" x14ac:dyDescent="0.25">
      <c r="A43" s="2126" t="s">
        <v>1849</v>
      </c>
      <c r="B43" s="29" t="s">
        <v>1881</v>
      </c>
      <c r="E43" s="2174"/>
      <c r="F43" s="2174"/>
      <c r="G43" s="2174"/>
      <c r="H43" s="2174"/>
      <c r="I43" s="2174"/>
      <c r="J43" s="2174">
        <f>J40+J41-J42</f>
        <v>122.74826743032098</v>
      </c>
      <c r="K43" s="2174">
        <f t="shared" ref="K43:Z43" si="8">K40+K41-K42</f>
        <v>59.348263906145661</v>
      </c>
      <c r="L43" s="2174">
        <f t="shared" si="8"/>
        <v>89.340255459041103</v>
      </c>
      <c r="M43" s="2174">
        <f t="shared" si="8"/>
        <v>101.10814535261611</v>
      </c>
      <c r="N43" s="2174">
        <f t="shared" si="8"/>
        <v>124.57703995240378</v>
      </c>
      <c r="O43" s="2174">
        <f t="shared" si="8"/>
        <v>116.61016450696125</v>
      </c>
      <c r="P43" s="2234">
        <f t="shared" si="8"/>
        <v>109.03667420276392</v>
      </c>
      <c r="Q43" s="2174">
        <f t="shared" si="8"/>
        <v>106.75209206177088</v>
      </c>
      <c r="R43" s="2174">
        <f t="shared" si="8"/>
        <v>98.366677794074533</v>
      </c>
      <c r="S43" s="2174">
        <f t="shared" si="8"/>
        <v>90.858950079018371</v>
      </c>
      <c r="T43" s="2174">
        <f t="shared" si="8"/>
        <v>92.496309128765546</v>
      </c>
      <c r="U43" s="2174">
        <f t="shared" si="8"/>
        <v>90.153517171073702</v>
      </c>
      <c r="V43" s="2174">
        <f t="shared" si="8"/>
        <v>88.632316322353333</v>
      </c>
      <c r="W43" s="2174">
        <f t="shared" si="8"/>
        <v>87.116088710098111</v>
      </c>
      <c r="X43" s="2174">
        <f t="shared" si="8"/>
        <v>105.0911493194005</v>
      </c>
      <c r="Y43" s="2174">
        <f t="shared" si="8"/>
        <v>116.14511702395093</v>
      </c>
      <c r="Z43" s="2174">
        <f t="shared" si="8"/>
        <v>119.78992800697479</v>
      </c>
      <c r="AA43" s="2174"/>
      <c r="AB43" s="2180"/>
      <c r="AC43" s="2180"/>
      <c r="AD43" s="2180"/>
      <c r="AE43" s="2180"/>
      <c r="AF43" s="2180"/>
      <c r="AG43" s="2180"/>
      <c r="AH43" s="2180"/>
      <c r="AI43" s="2180"/>
      <c r="AJ43" s="2180"/>
      <c r="AK43" s="2180"/>
      <c r="AL43" s="2180"/>
      <c r="AM43" s="2180"/>
      <c r="AN43" s="2180"/>
      <c r="AO43" s="2180"/>
      <c r="AP43" s="2180"/>
      <c r="AQ43" s="2180"/>
      <c r="AR43" s="2180"/>
      <c r="AS43" s="2180"/>
      <c r="AT43" s="2180"/>
      <c r="AU43" s="2180"/>
      <c r="AV43" s="2180"/>
      <c r="AW43" s="2180"/>
      <c r="AX43" s="2180"/>
      <c r="AY43" s="2180"/>
      <c r="AZ43" s="2180"/>
      <c r="BA43" s="2180"/>
    </row>
    <row r="44" spans="1:53" x14ac:dyDescent="0.25">
      <c r="B44" s="29" t="s">
        <v>1882</v>
      </c>
      <c r="J44" s="2171">
        <f>J50/J9</f>
        <v>0.23711141001868011</v>
      </c>
      <c r="K44" s="2171">
        <f t="shared" ref="K44:Z44" si="9">K50/K9</f>
        <v>0.29676033764090093</v>
      </c>
      <c r="L44" s="2171">
        <f t="shared" si="9"/>
        <v>0.33107476874711017</v>
      </c>
      <c r="M44" s="2171">
        <f t="shared" si="9"/>
        <v>0.37395314287973991</v>
      </c>
      <c r="N44" s="2171">
        <f t="shared" si="9"/>
        <v>0.35546153032011185</v>
      </c>
      <c r="O44" s="2171">
        <f t="shared" si="9"/>
        <v>0.38821947687085173</v>
      </c>
      <c r="P44" s="2172">
        <f t="shared" si="9"/>
        <v>0.43570572730431756</v>
      </c>
      <c r="Q44" s="2171">
        <f t="shared" ca="1" si="9"/>
        <v>0.38546616353839575</v>
      </c>
      <c r="R44" s="2171">
        <f t="shared" ca="1" si="9"/>
        <v>0.39601605576684124</v>
      </c>
      <c r="S44" s="2171">
        <f t="shared" ca="1" si="9"/>
        <v>0.44713549016755288</v>
      </c>
      <c r="T44" s="2171">
        <f t="shared" ca="1" si="9"/>
        <v>0.48832995506904503</v>
      </c>
      <c r="U44" s="2171">
        <f t="shared" ca="1" si="9"/>
        <v>0.55844708442722801</v>
      </c>
      <c r="V44" s="2171">
        <f t="shared" ca="1" si="9"/>
        <v>0.62429098125768623</v>
      </c>
      <c r="W44" s="2171">
        <f t="shared" ca="1" si="9"/>
        <v>0.68842196367197273</v>
      </c>
      <c r="X44" s="2171">
        <f t="shared" ca="1" si="9"/>
        <v>0.77462133448332571</v>
      </c>
      <c r="Y44" s="2171">
        <f t="shared" ca="1" si="9"/>
        <v>0.83705042399554741</v>
      </c>
      <c r="Z44" s="2171">
        <f t="shared" ca="1" si="9"/>
        <v>0.89341209462691396</v>
      </c>
      <c r="AA44" s="2171"/>
    </row>
    <row r="45" spans="1:53" x14ac:dyDescent="0.25">
      <c r="B45" s="29" t="s">
        <v>1883</v>
      </c>
      <c r="E45" s="2181"/>
      <c r="F45" s="2181"/>
      <c r="G45" s="2181"/>
      <c r="H45" s="2181"/>
      <c r="I45" s="2181"/>
      <c r="J45" s="2182">
        <f>'Output-FR (show)'!J5/'Output-FR (show)'!J77</f>
        <v>4.1476153249841534</v>
      </c>
      <c r="K45" s="2182">
        <f>'Output-FR (show)'!K5/'Output-FR (show)'!K77</f>
        <v>3.3686078479831632</v>
      </c>
      <c r="L45" s="2182">
        <f>'Output-FR (show)'!L5/'Output-FR (show)'!L77</f>
        <v>3.2376796598791411</v>
      </c>
      <c r="M45" s="2182">
        <f>'Output-FR (show)'!M5/'Output-FR (show)'!M77</f>
        <v>3.3914589244975137</v>
      </c>
      <c r="N45" s="2182">
        <f>'Output-FR (show)'!N5/'Output-FR (show)'!N77</f>
        <v>2.1322186073830713</v>
      </c>
      <c r="O45" s="2182">
        <f>'Output-FR (show)'!O5/'Output-FR (show)'!O77</f>
        <v>2.0894750956892558</v>
      </c>
      <c r="P45" s="2183">
        <f>'Output-FR (show)'!P5/'Output-FR (show)'!P77</f>
        <v>2.6816028238783041</v>
      </c>
      <c r="Q45" s="2182">
        <f>'Output-FR (show)'!Q5/'Output-FR (show)'!Q77</f>
        <v>1.802130717469469</v>
      </c>
      <c r="R45" s="2182">
        <f>'Output-FR (show)'!R5/'Output-FR (show)'!R77</f>
        <v>1.5113982352380624</v>
      </c>
      <c r="S45" s="2182">
        <f>'Output-FR (show)'!S5/'Output-FR (show)'!S77</f>
        <v>1.9887486874032112</v>
      </c>
      <c r="T45" s="2182">
        <f>'Output-FR (show)'!T5/'Output-FR (show)'!T77</f>
        <v>2.1323791002556751</v>
      </c>
      <c r="U45" s="2182">
        <f>'Output-FR (show)'!U5/'Output-FR (show)'!U77</f>
        <v>2.2680776898728867</v>
      </c>
      <c r="V45" s="2182">
        <f>'Output-FR (show)'!V5/'Output-FR (show)'!V77</f>
        <v>2.3962315380166044</v>
      </c>
      <c r="W45" s="2182">
        <f>'Output-FR (show)'!W5/'Output-FR (show)'!W77</f>
        <v>2.5557141630500535</v>
      </c>
      <c r="X45" s="2182">
        <f>'Output-FR (show)'!X5/'Output-FR (show)'!X77</f>
        <v>2.727566264562566</v>
      </c>
      <c r="Y45" s="2182">
        <f>'Output-FR (show)'!Y5/'Output-FR (show)'!Y77</f>
        <v>2.9277631294615487</v>
      </c>
      <c r="Z45" s="2182">
        <f>'Output-FR (show)'!Z5/'Output-FR (show)'!Z77</f>
        <v>3.1679190092462628</v>
      </c>
      <c r="AA45" s="2182"/>
      <c r="AB45" s="2184"/>
      <c r="AC45" s="2184"/>
      <c r="AD45" s="2184"/>
      <c r="AE45" s="2184"/>
      <c r="AF45" s="2184"/>
      <c r="AG45" s="2184"/>
      <c r="AH45" s="2184"/>
      <c r="AI45" s="2184"/>
      <c r="AJ45" s="2184"/>
      <c r="AK45" s="2184"/>
      <c r="AL45" s="2184"/>
      <c r="AM45" s="2184"/>
      <c r="AN45" s="2184"/>
      <c r="AO45" s="2184"/>
      <c r="AP45" s="2184"/>
      <c r="AQ45" s="2184"/>
      <c r="AR45" s="2184"/>
      <c r="AS45" s="2184"/>
      <c r="AT45" s="2184"/>
      <c r="AU45" s="2184"/>
      <c r="AV45" s="2184"/>
      <c r="AW45" s="2184"/>
      <c r="AX45" s="2184"/>
      <c r="AY45" s="2184"/>
      <c r="AZ45" s="2184"/>
      <c r="BA45" s="2184"/>
    </row>
    <row r="46" spans="1:53" x14ac:dyDescent="0.25">
      <c r="B46" s="29" t="s">
        <v>1884</v>
      </c>
      <c r="E46" s="2185"/>
      <c r="F46" s="2185"/>
      <c r="G46" s="2185"/>
      <c r="H46" s="2185"/>
      <c r="I46" s="2185"/>
      <c r="J46" s="2165">
        <f>'Output-FR (show)'!J5/'Output-FR (show)'!J78</f>
        <v>1.1471392027432719</v>
      </c>
      <c r="K46" s="2165">
        <f>'Output-FR (show)'!K5/'Output-FR (show)'!K78</f>
        <v>0.96558635036522567</v>
      </c>
      <c r="L46" s="2165">
        <f>'Output-FR (show)'!L5/'Output-FR (show)'!L78</f>
        <v>0.89900036923091486</v>
      </c>
      <c r="M46" s="2165">
        <f>'Output-FR (show)'!M5/'Output-FR (show)'!M78</f>
        <v>0.97677221540294779</v>
      </c>
      <c r="N46" s="2165">
        <f>'Output-FR (show)'!N5/'Output-FR (show)'!N78</f>
        <v>0.77857933881804486</v>
      </c>
      <c r="O46" s="2165">
        <f>'Output-FR (show)'!O5/'Output-FR (show)'!O78</f>
        <v>0.87445674101639037</v>
      </c>
      <c r="P46" s="2166">
        <f>'Output-FR (show)'!P5/'Output-FR (show)'!P78</f>
        <v>1.0032249328104597</v>
      </c>
      <c r="Q46" s="2165">
        <f ca="1">'Output-FR (show)'!Q5/'Output-FR (show)'!Q78</f>
        <v>0.79039628764512659</v>
      </c>
      <c r="R46" s="2165">
        <f ca="1">'Output-FR (show)'!R5/'Output-FR (show)'!R78</f>
        <v>0.73003842784218531</v>
      </c>
      <c r="S46" s="2165">
        <f ca="1">'Output-FR (show)'!S5/'Output-FR (show)'!S78</f>
        <v>0.80000412969171375</v>
      </c>
      <c r="T46" s="2165">
        <f ca="1">'Output-FR (show)'!T5/'Output-FR (show)'!T78</f>
        <v>0.79644957331520083</v>
      </c>
      <c r="U46" s="2165">
        <f ca="1">'Output-FR (show)'!U5/'Output-FR (show)'!U78</f>
        <v>0.79700909295818856</v>
      </c>
      <c r="V46" s="2165">
        <f ca="1">'Output-FR (show)'!V5/'Output-FR (show)'!V78</f>
        <v>0.77186992466370918</v>
      </c>
      <c r="W46" s="2165">
        <f ca="1">'Output-FR (show)'!W5/'Output-FR (show)'!W78</f>
        <v>0.77765801284739999</v>
      </c>
      <c r="X46" s="2165">
        <f ca="1">'Output-FR (show)'!X5/'Output-FR (show)'!X78</f>
        <v>0.73903845509201727</v>
      </c>
      <c r="Y46" s="2165">
        <f ca="1">'Output-FR (show)'!Y5/'Output-FR (show)'!Y78</f>
        <v>0.72463778194707684</v>
      </c>
      <c r="Z46" s="2165">
        <f ca="1">'Output-FR (show)'!Z5/'Output-FR (show)'!Z78</f>
        <v>0.71259536201160611</v>
      </c>
      <c r="AA46" s="2165"/>
      <c r="AB46" s="2186"/>
      <c r="AC46" s="2186"/>
      <c r="AD46" s="2186"/>
      <c r="AE46" s="2186"/>
      <c r="AF46" s="2186"/>
      <c r="AG46" s="2186"/>
      <c r="AH46" s="2186"/>
      <c r="AI46" s="2186"/>
      <c r="AJ46" s="2186"/>
      <c r="AK46" s="2186"/>
      <c r="AL46" s="2186"/>
      <c r="AM46" s="2186"/>
      <c r="AN46" s="2186"/>
      <c r="AO46" s="2186"/>
      <c r="AP46" s="2186"/>
      <c r="AQ46" s="2186"/>
      <c r="AR46" s="2186"/>
      <c r="AS46" s="2186"/>
      <c r="AT46" s="2186"/>
      <c r="AU46" s="2186"/>
      <c r="AV46" s="2186"/>
      <c r="AW46" s="2186"/>
      <c r="AX46" s="2186"/>
      <c r="AY46" s="2186"/>
      <c r="AZ46" s="2186"/>
      <c r="BA46" s="2186"/>
    </row>
    <row r="47" spans="1:53" x14ac:dyDescent="0.25">
      <c r="B47" s="29"/>
      <c r="P47" s="2177"/>
    </row>
    <row r="48" spans="1:53" ht="13.8" thickBot="1" x14ac:dyDescent="0.3">
      <c r="B48" s="2137" t="s">
        <v>1885</v>
      </c>
      <c r="C48" s="2138"/>
      <c r="D48" s="2138"/>
      <c r="E48" s="2178"/>
      <c r="F48" s="2178"/>
      <c r="G48" s="2178"/>
      <c r="H48" s="2178"/>
      <c r="I48" s="2178"/>
      <c r="J48" s="2178"/>
      <c r="K48" s="2178"/>
      <c r="L48" s="2178"/>
      <c r="M48" s="2178"/>
      <c r="N48" s="2178"/>
      <c r="O48" s="2178"/>
      <c r="P48" s="2179"/>
      <c r="Q48" s="2178"/>
      <c r="R48" s="2178"/>
      <c r="S48" s="2178"/>
      <c r="T48" s="2178"/>
      <c r="U48" s="2178"/>
      <c r="V48" s="2178"/>
      <c r="W48" s="2178"/>
      <c r="X48" s="2178"/>
      <c r="Y48" s="2178"/>
      <c r="Z48" s="2178"/>
      <c r="AA48" s="2178"/>
      <c r="AB48" s="2178"/>
      <c r="AC48" s="2178"/>
      <c r="AD48" s="2178"/>
      <c r="AE48" s="2178"/>
      <c r="AF48" s="2178"/>
      <c r="AG48" s="2178"/>
      <c r="AH48" s="2178"/>
      <c r="AI48" s="2178"/>
      <c r="AJ48" s="2178"/>
      <c r="AK48" s="2178"/>
      <c r="AL48" s="2178"/>
      <c r="AM48" s="2178"/>
      <c r="AN48" s="2178"/>
      <c r="AO48" s="2178"/>
      <c r="AP48" s="2178"/>
      <c r="AQ48" s="2178"/>
      <c r="AR48" s="2178"/>
      <c r="AS48" s="2178"/>
      <c r="AT48" s="2178"/>
      <c r="AU48" s="2178"/>
      <c r="AV48" s="2178"/>
      <c r="AW48" s="2178"/>
      <c r="AX48" s="2178"/>
      <c r="AY48" s="2178"/>
      <c r="AZ48" s="2178"/>
      <c r="BA48" s="2178"/>
    </row>
    <row r="49" spans="1:74" x14ac:dyDescent="0.25">
      <c r="A49" s="2214" t="s">
        <v>1849</v>
      </c>
      <c r="B49" s="2213" t="s">
        <v>1886</v>
      </c>
      <c r="E49" s="2174"/>
      <c r="F49" s="2174"/>
      <c r="G49" s="2174"/>
      <c r="H49" s="2174"/>
      <c r="I49" s="2174"/>
      <c r="J49" s="2175">
        <f>'Output-FR (show)'!J66-'Output-FR (show)'!J88</f>
        <v>290.4776096060001</v>
      </c>
      <c r="K49" s="2175">
        <f>'Output-FR (show)'!K66-'Output-FR (show)'!K88</f>
        <v>410.98393601700002</v>
      </c>
      <c r="L49" s="2175">
        <f>'Output-FR (show)'!L66-'Output-FR (show)'!L88</f>
        <v>459.60706489599988</v>
      </c>
      <c r="M49" s="2175">
        <f>'Output-FR (show)'!M66-'Output-FR (show)'!M88</f>
        <v>523.91744631300014</v>
      </c>
      <c r="N49" s="2175">
        <f>'Output-FR (show)'!N66-'Output-FR (show)'!N88</f>
        <v>448.4961288259999</v>
      </c>
      <c r="O49" s="2175">
        <f>'Output-FR (show)'!O66-'Output-FR (show)'!O88</f>
        <v>487.97339213199996</v>
      </c>
      <c r="P49" s="2176">
        <f>'Output-FR (show)'!P66-'Output-FR (show)'!P88</f>
        <v>679.04926404000003</v>
      </c>
      <c r="Q49" s="2175">
        <f ca="1">'Output-FR (show)'!Q66-'Output-FR (show)'!Q88</f>
        <v>669.04538840147075</v>
      </c>
      <c r="R49" s="2175">
        <f ca="1">'Output-FR (show)'!R66-'Output-FR (show)'!R88</f>
        <v>701.42045689380075</v>
      </c>
      <c r="S49" s="2175">
        <f ca="1">'Output-FR (show)'!S66-'Output-FR (show)'!S88</f>
        <v>988.59701275843406</v>
      </c>
      <c r="T49" s="2175">
        <f ca="1">'Output-FR (show)'!T66-'Output-FR (show)'!T88</f>
        <v>1154.7395339746738</v>
      </c>
      <c r="U49" s="2175">
        <f ca="1">'Output-FR (show)'!U66-'Output-FR (show)'!U88</f>
        <v>1400.6165798275033</v>
      </c>
      <c r="V49" s="2175">
        <f ca="1">'Output-FR (show)'!V66-'Output-FR (show)'!V88</f>
        <v>1637.2225211734394</v>
      </c>
      <c r="W49" s="2175">
        <f ca="1">'Output-FR (show)'!W66-'Output-FR (show)'!W88</f>
        <v>1914.9520366819233</v>
      </c>
      <c r="X49" s="2175">
        <f ca="1">'Output-FR (show)'!X66-'Output-FR (show)'!X88</f>
        <v>2240.0593200650828</v>
      </c>
      <c r="Y49" s="2175">
        <f ca="1">'Output-FR (show)'!Y66-'Output-FR (show)'!Y88</f>
        <v>2514.2270293946467</v>
      </c>
      <c r="Z49" s="2175">
        <f ca="1">'Output-FR (show)'!Z66-'Output-FR (show)'!Z88</f>
        <v>2798.4797786492254</v>
      </c>
      <c r="AA49" s="2187"/>
      <c r="AB49" s="2187"/>
      <c r="AC49" s="2187"/>
      <c r="AD49" s="2187"/>
      <c r="AE49" s="2187"/>
      <c r="AF49" s="2187"/>
      <c r="AG49" s="2187"/>
      <c r="AH49" s="2187"/>
      <c r="AI49" s="2187"/>
      <c r="AJ49" s="2187"/>
      <c r="AK49" s="2187"/>
      <c r="AL49" s="2187"/>
      <c r="AM49" s="2187"/>
      <c r="AN49" s="2187"/>
      <c r="AO49" s="2187"/>
      <c r="AP49" s="2187"/>
      <c r="AQ49" s="2187"/>
      <c r="AR49" s="2187"/>
      <c r="AS49" s="2187"/>
      <c r="AT49" s="2187"/>
      <c r="AU49" s="2187"/>
      <c r="AV49" s="2187"/>
      <c r="AW49" s="2187"/>
      <c r="AX49" s="2187"/>
      <c r="AY49" s="2187"/>
      <c r="AZ49" s="2187"/>
      <c r="BA49" s="2187"/>
    </row>
    <row r="50" spans="1:74" x14ac:dyDescent="0.25">
      <c r="A50" s="2214"/>
      <c r="B50" s="2213" t="s">
        <v>1887</v>
      </c>
      <c r="E50" s="2174"/>
      <c r="F50" s="2174"/>
      <c r="G50" s="2174"/>
      <c r="H50" s="2174"/>
      <c r="I50" s="2174"/>
      <c r="J50" s="2175">
        <f>J49-'Output-FR (show)'!J60</f>
        <v>290.4776096060001</v>
      </c>
      <c r="K50" s="2175">
        <f>K49-'Output-FR (show)'!K60</f>
        <v>410.98393601700002</v>
      </c>
      <c r="L50" s="2175">
        <f>L49-'Output-FR (show)'!L60</f>
        <v>459.60706489599988</v>
      </c>
      <c r="M50" s="2175">
        <f>M49-'Output-FR (show)'!M60</f>
        <v>523.91744631300014</v>
      </c>
      <c r="N50" s="2175">
        <f>N49-'Output-FR (show)'!N60</f>
        <v>448.4961288259999</v>
      </c>
      <c r="O50" s="2175">
        <f>O49-'Output-FR (show)'!O60</f>
        <v>487.97339213199996</v>
      </c>
      <c r="P50" s="2176">
        <f>P49-'Output-FR (show)'!P60</f>
        <v>679.04926404000003</v>
      </c>
      <c r="Q50" s="2175">
        <f ca="1">Q49-'Output-FR (show)'!Q60</f>
        <v>645.51096405149997</v>
      </c>
      <c r="R50" s="2175">
        <f ca="1">R49-'Output-FR (show)'!R60</f>
        <v>691.86514042721501</v>
      </c>
      <c r="S50" s="2175">
        <f ca="1">S49-'Output-FR (show)'!S60</f>
        <v>986.23688126761624</v>
      </c>
      <c r="T50" s="2175">
        <f ca="1">T49-'Output-FR (show)'!T60</f>
        <v>1148.8755492159487</v>
      </c>
      <c r="U50" s="2175">
        <f ca="1">U49-'Output-FR (show)'!U60</f>
        <v>1396.2344389942759</v>
      </c>
      <c r="V50" s="2175">
        <f ca="1">V49-'Output-FR (show)'!V60</f>
        <v>1636.8505890357765</v>
      </c>
      <c r="W50" s="2175">
        <f ca="1">W49-'Output-FR (show)'!W60</f>
        <v>1909.5591730726242</v>
      </c>
      <c r="X50" s="2175">
        <f ca="1">X49-'Output-FR (show)'!X60</f>
        <v>2231.6512633814405</v>
      </c>
      <c r="Y50" s="2175">
        <f ca="1">Y49-'Output-FR (show)'!Y60</f>
        <v>2508.5881591191637</v>
      </c>
      <c r="Z50" s="2175">
        <f ca="1">Z49-'Output-FR (show)'!Z60</f>
        <v>2789.798922821079</v>
      </c>
      <c r="AA50" s="2175"/>
      <c r="AB50" s="2187"/>
      <c r="AC50" s="2187"/>
      <c r="AD50" s="2187"/>
      <c r="AE50" s="2187"/>
      <c r="AF50" s="2187"/>
      <c r="AG50" s="2187"/>
      <c r="AH50" s="2187"/>
      <c r="AI50" s="2187"/>
      <c r="AJ50" s="2187"/>
      <c r="AK50" s="2187"/>
      <c r="AL50" s="2187"/>
      <c r="AM50" s="2187"/>
      <c r="AN50" s="2187"/>
      <c r="AO50" s="2187"/>
      <c r="AP50" s="2187"/>
      <c r="AQ50" s="2187"/>
      <c r="AR50" s="2187"/>
      <c r="AS50" s="2187"/>
      <c r="AT50" s="2187"/>
      <c r="AU50" s="2187"/>
      <c r="AV50" s="2187"/>
      <c r="AW50" s="2187"/>
      <c r="AX50" s="2187"/>
      <c r="AY50" s="2187"/>
      <c r="AZ50" s="2187"/>
      <c r="BA50" s="2187"/>
    </row>
    <row r="51" spans="1:74" x14ac:dyDescent="0.25">
      <c r="A51" s="2214" t="s">
        <v>1849</v>
      </c>
      <c r="B51" s="2213" t="s">
        <v>1860</v>
      </c>
      <c r="E51" s="2174"/>
      <c r="F51" s="2174"/>
      <c r="G51" s="2174"/>
      <c r="H51" s="2174"/>
      <c r="I51" s="2174"/>
      <c r="J51" s="2175">
        <f>DCF!G16</f>
        <v>295.32854866499986</v>
      </c>
      <c r="K51" s="2175">
        <f>DCF!H16</f>
        <v>55.572382480000101</v>
      </c>
      <c r="L51" s="2175">
        <f>DCF!I16</f>
        <v>-129.91235881799992</v>
      </c>
      <c r="M51" s="2175">
        <f>DCF!J16</f>
        <v>-55.697109795000131</v>
      </c>
      <c r="N51" s="2175">
        <f>DCF!K16</f>
        <v>-113.74345900999998</v>
      </c>
      <c r="O51" s="2175">
        <f>DCF!L16</f>
        <v>96.219304960000159</v>
      </c>
      <c r="P51" s="2176">
        <f>DCF!M16</f>
        <v>-146.15067430300007</v>
      </c>
      <c r="Q51" s="2175">
        <f>DCF!N16</f>
        <v>-18.522000717817548</v>
      </c>
      <c r="R51" s="2175">
        <f>DCF!O16</f>
        <v>-36.474947043703821</v>
      </c>
      <c r="S51" s="2175">
        <f>DCF!P16</f>
        <v>-162.35135711808584</v>
      </c>
      <c r="T51" s="2175">
        <f>DCF!Q16</f>
        <v>-60.012537940326069</v>
      </c>
      <c r="U51" s="2175">
        <f>DCF!R16</f>
        <v>-155.54386414219914</v>
      </c>
      <c r="V51" s="2175">
        <f>DCF!S16</f>
        <v>-56.215878632847421</v>
      </c>
      <c r="W51" s="2175">
        <f>DCF!T16</f>
        <v>-217.78329050434911</v>
      </c>
      <c r="X51" s="2175">
        <f>DCF!U16</f>
        <v>-239.45948094152197</v>
      </c>
      <c r="Y51" s="2175">
        <f>DCF!V16</f>
        <v>-114.69990547327268</v>
      </c>
      <c r="Z51" s="2175">
        <f>DCF!W16</f>
        <v>-185.52858670503508</v>
      </c>
      <c r="AA51" s="2175"/>
      <c r="AB51" s="2175"/>
      <c r="AC51" s="2187"/>
      <c r="AD51" s="2187"/>
      <c r="AE51" s="2187"/>
      <c r="AF51" s="2187"/>
      <c r="AG51" s="2187"/>
      <c r="AH51" s="2187"/>
      <c r="AI51" s="2187"/>
      <c r="AJ51" s="2187"/>
      <c r="AK51" s="2187"/>
      <c r="AL51" s="2187"/>
      <c r="AM51" s="2187"/>
      <c r="AN51" s="2187"/>
      <c r="AO51" s="2187"/>
      <c r="AP51" s="2187"/>
      <c r="AQ51" s="2187"/>
      <c r="AR51" s="2187"/>
      <c r="AS51" s="2187"/>
      <c r="AT51" s="2187"/>
      <c r="AU51" s="2187"/>
      <c r="AV51" s="2187"/>
      <c r="AW51" s="2187"/>
      <c r="AX51" s="2187"/>
      <c r="AY51" s="2187"/>
      <c r="AZ51" s="2187"/>
      <c r="BA51" s="2187"/>
    </row>
    <row r="52" spans="1:74" x14ac:dyDescent="0.25">
      <c r="A52" s="2214" t="s">
        <v>1849</v>
      </c>
      <c r="B52" s="2213" t="s">
        <v>1888</v>
      </c>
      <c r="E52" s="2188"/>
      <c r="F52" s="2188"/>
      <c r="G52" s="2188"/>
      <c r="H52" s="2188"/>
      <c r="I52" s="2188"/>
      <c r="J52" s="2175">
        <f>'Output-FR (show)'!J66/'Output-FR (show)'!J88</f>
        <v>1.6025397014374363</v>
      </c>
      <c r="K52" s="2175">
        <f>'Output-FR (show)'!K66/'Output-FR (show)'!K88</f>
        <v>1.6713711525481787</v>
      </c>
      <c r="L52" s="2175">
        <f>'Output-FR (show)'!L66/'Output-FR (show)'!L88</f>
        <v>1.7008228223073758</v>
      </c>
      <c r="M52" s="2175">
        <f>'Output-FR (show)'!M66/'Output-FR (show)'!M88</f>
        <v>2.0534821776582461</v>
      </c>
      <c r="N52" s="2175">
        <f>'Output-FR (show)'!N66/'Output-FR (show)'!N88</f>
        <v>1.7728532993219086</v>
      </c>
      <c r="O52" s="2175">
        <f>'Output-FR (show)'!O66/'Output-FR (show)'!O88</f>
        <v>2.4027369551213891</v>
      </c>
      <c r="P52" s="2176">
        <f>'Output-FR (show)'!P66/'Output-FR (show)'!P88</f>
        <v>3.3155094910632452</v>
      </c>
      <c r="Q52" s="2175">
        <f ca="1">'Output-FR (show)'!Q66/'Output-FR (show)'!Q88</f>
        <v>2.2855812925322678</v>
      </c>
      <c r="R52" s="2175">
        <f ca="1">'Output-FR (show)'!R66/'Output-FR (show)'!R88</f>
        <v>2.3091922669060807</v>
      </c>
      <c r="S52" s="2175">
        <f ca="1">'Output-FR (show)'!S66/'Output-FR (show)'!S88</f>
        <v>2.4992192262893105</v>
      </c>
      <c r="T52" s="2175">
        <f ca="1">'Output-FR (show)'!T66/'Output-FR (show)'!T88</f>
        <v>2.6593608246421816</v>
      </c>
      <c r="U52" s="2175">
        <f ca="1">'Output-FR (show)'!U66/'Output-FR (show)'!U88</f>
        <v>3.2090852769027243</v>
      </c>
      <c r="V52" s="2175">
        <f ca="1">'Output-FR (show)'!V66/'Output-FR (show)'!V88</f>
        <v>3.4603313555542794</v>
      </c>
      <c r="W52" s="2175">
        <f ca="1">'Output-FR (show)'!W66/'Output-FR (show)'!W88</f>
        <v>4.3797398313759057</v>
      </c>
      <c r="X52" s="2175">
        <f ca="1">'Output-FR (show)'!X66/'Output-FR (show)'!X88</f>
        <v>4.7213095832254792</v>
      </c>
      <c r="Y52" s="2175">
        <f ca="1">'Output-FR (show)'!Y66/'Output-FR (show)'!Y88</f>
        <v>5.2049587496837377</v>
      </c>
      <c r="Z52" s="2175">
        <f ca="1">'Output-FR (show)'!Z66/'Output-FR (show)'!Z88</f>
        <v>5.6807282202300824</v>
      </c>
      <c r="AA52" s="2175"/>
      <c r="AB52" s="2180"/>
      <c r="AC52" s="2180"/>
      <c r="AD52" s="2180"/>
      <c r="AE52" s="2180"/>
      <c r="AF52" s="2180"/>
      <c r="AG52" s="2180"/>
      <c r="AH52" s="2180"/>
      <c r="AI52" s="2180"/>
      <c r="AJ52" s="2180"/>
      <c r="AK52" s="2180"/>
      <c r="AL52" s="2180"/>
      <c r="AM52" s="2180"/>
      <c r="AN52" s="2180"/>
      <c r="AO52" s="2180"/>
      <c r="AP52" s="2180"/>
      <c r="AQ52" s="2180"/>
      <c r="AR52" s="2180"/>
      <c r="AS52" s="2180"/>
      <c r="AT52" s="2180"/>
      <c r="AU52" s="2180"/>
      <c r="AV52" s="2180"/>
      <c r="AW52" s="2180"/>
      <c r="AX52" s="2180"/>
      <c r="AY52" s="2180"/>
      <c r="AZ52" s="2180"/>
      <c r="BA52" s="2180"/>
    </row>
    <row r="53" spans="1:74" x14ac:dyDescent="0.25">
      <c r="A53" s="2214" t="s">
        <v>1849</v>
      </c>
      <c r="B53" s="2213" t="s">
        <v>1889</v>
      </c>
      <c r="E53" s="2188"/>
      <c r="F53" s="2188"/>
      <c r="G53" s="2188"/>
      <c r="H53" s="2188"/>
      <c r="I53" s="2188"/>
      <c r="J53" s="2175">
        <f>('Output-FR (show)'!J66-'Output-FR (show)'!J64)/'Output-FR (show)'!J88</f>
        <v>1.2412076941574326</v>
      </c>
      <c r="K53" s="2175">
        <f>('Output-FR (show)'!K66-'Output-FR (show)'!K64)/'Output-FR (show)'!K88</f>
        <v>1.2938219246977805</v>
      </c>
      <c r="L53" s="2175">
        <f>('Output-FR (show)'!L66-'Output-FR (show)'!L64)/'Output-FR (show)'!L88</f>
        <v>1.258779436586017</v>
      </c>
      <c r="M53" s="2175">
        <f>('Output-FR (show)'!M66-'Output-FR (show)'!M64)/'Output-FR (show)'!M88</f>
        <v>1.5111166954740975</v>
      </c>
      <c r="N53" s="2175">
        <f>('Output-FR (show)'!N66-'Output-FR (show)'!N64)/'Output-FR (show)'!N88</f>
        <v>1.2335446164741244</v>
      </c>
      <c r="O53" s="2175">
        <f>('Output-FR (show)'!O66-'Output-FR (show)'!O64)/'Output-FR (show)'!O88</f>
        <v>1.7849585945649402</v>
      </c>
      <c r="P53" s="2176">
        <f>('Output-FR (show)'!P66-'Output-FR (show)'!P64)/'Output-FR (show)'!P88</f>
        <v>2.4491015965036143</v>
      </c>
      <c r="Q53" s="2175">
        <f ca="1">('Output-FR (show)'!Q66-'Output-FR (show)'!Q64)/'Output-FR (show)'!Q88</f>
        <v>1.7484479287803443</v>
      </c>
      <c r="R53" s="2175">
        <f ca="1">('Output-FR (show)'!R66-'Output-FR (show)'!R64)/'Output-FR (show)'!R88</f>
        <v>1.7584928348892257</v>
      </c>
      <c r="S53" s="2175">
        <f ca="1">('Output-FR (show)'!S66-'Output-FR (show)'!S64)/'Output-FR (show)'!S88</f>
        <v>1.9565144425414969</v>
      </c>
      <c r="T53" s="2175">
        <f ca="1">('Output-FR (show)'!T66-'Output-FR (show)'!T64)/'Output-FR (show)'!T88</f>
        <v>2.1209278527048485</v>
      </c>
      <c r="U53" s="2175">
        <f ca="1">('Output-FR (show)'!U66-'Output-FR (show)'!U64)/'Output-FR (show)'!U88</f>
        <v>2.5948381765991568</v>
      </c>
      <c r="V53" s="2175">
        <f ca="1">('Output-FR (show)'!V66-'Output-FR (show)'!V64)/'Output-FR (show)'!V88</f>
        <v>2.8523066775219013</v>
      </c>
      <c r="W53" s="2175">
        <f ca="1">('Output-FR (show)'!W66-'Output-FR (show)'!W64)/'Output-FR (show)'!W88</f>
        <v>3.6332230945681214</v>
      </c>
      <c r="X53" s="2175">
        <f ca="1">('Output-FR (show)'!X66-'Output-FR (show)'!X64)/'Output-FR (show)'!X88</f>
        <v>3.8527117529720778</v>
      </c>
      <c r="Y53" s="2175">
        <f ca="1">('Output-FR (show)'!Y66-'Output-FR (show)'!Y64)/'Output-FR (show)'!Y88</f>
        <v>4.2960090935305857</v>
      </c>
      <c r="Z53" s="2175">
        <f ca="1">('Output-FR (show)'!Z66-'Output-FR (show)'!Z64)/'Output-FR (show)'!Z88</f>
        <v>4.702894238324185</v>
      </c>
      <c r="AA53" s="2175"/>
      <c r="AB53" s="2180"/>
      <c r="AC53" s="2180"/>
      <c r="AD53" s="2180"/>
      <c r="AE53" s="2180"/>
      <c r="AF53" s="2180"/>
      <c r="AG53" s="2180"/>
      <c r="AH53" s="2180"/>
      <c r="AI53" s="2180"/>
      <c r="AJ53" s="2180"/>
      <c r="AK53" s="2180"/>
      <c r="AL53" s="2180"/>
      <c r="AM53" s="2180"/>
      <c r="AN53" s="2180"/>
      <c r="AO53" s="2180"/>
      <c r="AP53" s="2180"/>
      <c r="AQ53" s="2180"/>
      <c r="AR53" s="2180"/>
      <c r="AS53" s="2180"/>
      <c r="AT53" s="2180"/>
      <c r="AU53" s="2180"/>
      <c r="AV53" s="2180"/>
      <c r="AW53" s="2180"/>
      <c r="AX53" s="2180"/>
      <c r="AY53" s="2180"/>
      <c r="AZ53" s="2180"/>
      <c r="BA53" s="2180"/>
    </row>
    <row r="54" spans="1:74" x14ac:dyDescent="0.25">
      <c r="A54" s="2214" t="s">
        <v>1849</v>
      </c>
      <c r="B54" s="2213" t="s">
        <v>1890</v>
      </c>
      <c r="E54" s="2188"/>
      <c r="F54" s="2188"/>
      <c r="G54" s="2188"/>
      <c r="H54" s="2188"/>
      <c r="I54" s="2188"/>
      <c r="J54" s="2175">
        <f>('Output-FR (show)'!J59+'Output-FR (show)'!J62)/'Output-FR (show)'!J88</f>
        <v>0.66521603396980533</v>
      </c>
      <c r="K54" s="2175">
        <f>('Output-FR (show)'!K59+'Output-FR (show)'!K62)/'Output-FR (show)'!K88</f>
        <v>0.66921049366328988</v>
      </c>
      <c r="L54" s="2175">
        <f>('Output-FR (show)'!L59+'Output-FR (show)'!L62)/'Output-FR (show)'!L88</f>
        <v>0.6256397295421493</v>
      </c>
      <c r="M54" s="2175">
        <f>('Output-FR (show)'!M59+'Output-FR (show)'!M62)/'Output-FR (show)'!M88</f>
        <v>0.63391439204443434</v>
      </c>
      <c r="N54" s="2175">
        <f>('Output-FR (show)'!N59+'Output-FR (show)'!N62)/'Output-FR (show)'!N88</f>
        <v>0.43442755432497748</v>
      </c>
      <c r="O54" s="2175">
        <f>('Output-FR (show)'!O59+'Output-FR (show)'!O62)/'Output-FR (show)'!O88</f>
        <v>0.58087431118441446</v>
      </c>
      <c r="P54" s="2176">
        <f>('Output-FR (show)'!P59+'Output-FR (show)'!P62)/'Output-FR (show)'!P88</f>
        <v>0.70808931111798878</v>
      </c>
      <c r="Q54" s="2175">
        <f ca="1">('Output-FR (show)'!Q59+'Output-FR (show)'!Q62)/'Output-FR (show)'!Q88</f>
        <v>0.63386017076431167</v>
      </c>
      <c r="R54" s="2175">
        <f ca="1">('Output-FR (show)'!R59+'Output-FR (show)'!R62)/'Output-FR (show)'!R88</f>
        <v>0.62797411922946467</v>
      </c>
      <c r="S54" s="2175">
        <f ca="1">('Output-FR (show)'!S59+'Output-FR (show)'!S62)/'Output-FR (show)'!S88</f>
        <v>0.80111954494364501</v>
      </c>
      <c r="T54" s="2175">
        <f ca="1">('Output-FR (show)'!T59+'Output-FR (show)'!T62)/'Output-FR (show)'!T88</f>
        <v>0.94896673007891941</v>
      </c>
      <c r="U54" s="2175">
        <f ca="1">('Output-FR (show)'!U59+'Output-FR (show)'!U62)/'Output-FR (show)'!U88</f>
        <v>1.2381204080791695</v>
      </c>
      <c r="V54" s="2175">
        <f ca="1">('Output-FR (show)'!V59+'Output-FR (show)'!V62)/'Output-FR (show)'!V88</f>
        <v>1.5005628349026296</v>
      </c>
      <c r="W54" s="2175">
        <f ca="1">('Output-FR (show)'!W59+'Output-FR (show)'!W62)/'Output-FR (show)'!W88</f>
        <v>1.9514403943126857</v>
      </c>
      <c r="X54" s="2175">
        <f ca="1">('Output-FR (show)'!X59+'Output-FR (show)'!X62)/'Output-FR (show)'!X88</f>
        <v>2.0716469567151017</v>
      </c>
      <c r="Y54" s="2175">
        <f ca="1">('Output-FR (show)'!Y59+'Output-FR (show)'!Y62)/'Output-FR (show)'!Y88</f>
        <v>2.4387173750208397</v>
      </c>
      <c r="Z54" s="2175">
        <f ca="1">('Output-FR (show)'!Z59+'Output-FR (show)'!Z62)/'Output-FR (show)'!Z88</f>
        <v>2.7160400415541317</v>
      </c>
      <c r="AA54" s="2175"/>
      <c r="AB54" s="2175"/>
      <c r="AC54" s="2180"/>
      <c r="AD54" s="2180"/>
      <c r="AE54" s="2180"/>
      <c r="AF54" s="2180"/>
      <c r="AG54" s="2180"/>
      <c r="AH54" s="2180"/>
      <c r="AI54" s="2180"/>
      <c r="AJ54" s="2180"/>
      <c r="AK54" s="2180"/>
      <c r="AL54" s="2180"/>
      <c r="AM54" s="2180"/>
      <c r="AN54" s="2180"/>
      <c r="AO54" s="2180"/>
      <c r="AP54" s="2180"/>
      <c r="AQ54" s="2180"/>
      <c r="AR54" s="2180"/>
      <c r="AS54" s="2180"/>
      <c r="AT54" s="2180"/>
      <c r="AU54" s="2180"/>
      <c r="AV54" s="2180"/>
      <c r="AW54" s="2180"/>
      <c r="AX54" s="2180"/>
      <c r="AY54" s="2180"/>
      <c r="AZ54" s="2180"/>
      <c r="BA54" s="2180"/>
      <c r="BJ54" s="196"/>
      <c r="BK54" s="196"/>
      <c r="BL54" s="196"/>
      <c r="BM54" s="196"/>
      <c r="BN54" s="196"/>
      <c r="BO54" s="196"/>
      <c r="BP54" s="196"/>
      <c r="BQ54" s="196"/>
      <c r="BR54" s="196"/>
      <c r="BS54" s="196"/>
      <c r="BT54" s="196"/>
      <c r="BU54" s="196"/>
      <c r="BV54" s="196"/>
    </row>
    <row r="55" spans="1:74" x14ac:dyDescent="0.25">
      <c r="A55" s="2214"/>
      <c r="B55" s="2213"/>
      <c r="P55" s="2177"/>
      <c r="BJ55" s="196"/>
      <c r="BK55" s="196"/>
      <c r="BL55" s="196"/>
      <c r="BM55" s="196"/>
      <c r="BN55" s="196"/>
      <c r="BO55" s="196"/>
      <c r="BP55" s="196"/>
      <c r="BQ55" s="196"/>
      <c r="BR55" s="196"/>
      <c r="BS55" s="196"/>
      <c r="BT55" s="196"/>
      <c r="BU55" s="196"/>
      <c r="BV55" s="196"/>
    </row>
    <row r="56" spans="1:74" ht="13.8" thickBot="1" x14ac:dyDescent="0.3">
      <c r="B56" s="2137" t="s">
        <v>1891</v>
      </c>
      <c r="C56" s="2138"/>
      <c r="D56" s="2138"/>
      <c r="E56" s="2178"/>
      <c r="F56" s="2178"/>
      <c r="G56" s="2178"/>
      <c r="H56" s="2178"/>
      <c r="I56" s="2178"/>
      <c r="J56" s="2178"/>
      <c r="K56" s="2178"/>
      <c r="L56" s="2178"/>
      <c r="M56" s="2178"/>
      <c r="N56" s="2178"/>
      <c r="O56" s="2178"/>
      <c r="P56" s="2179"/>
      <c r="Q56" s="2178"/>
      <c r="R56" s="2178"/>
      <c r="S56" s="2178"/>
      <c r="T56" s="2178"/>
      <c r="U56" s="2178"/>
      <c r="V56" s="2178"/>
      <c r="W56" s="2178"/>
      <c r="X56" s="2178"/>
      <c r="Y56" s="2178"/>
      <c r="Z56" s="2178"/>
      <c r="AA56" s="2178"/>
      <c r="AB56" s="2178"/>
      <c r="AC56" s="2178"/>
      <c r="AD56" s="2178"/>
      <c r="AE56" s="2178"/>
      <c r="AF56" s="2178"/>
      <c r="AG56" s="2178"/>
      <c r="AH56" s="2178"/>
      <c r="AI56" s="2178"/>
      <c r="AJ56" s="2178"/>
      <c r="AK56" s="2178"/>
      <c r="AL56" s="2178"/>
      <c r="AM56" s="2178"/>
      <c r="AN56" s="2178"/>
      <c r="AO56" s="2178"/>
      <c r="AP56" s="2178"/>
      <c r="AQ56" s="2178"/>
      <c r="AR56" s="2178"/>
      <c r="AS56" s="2178"/>
      <c r="AT56" s="2178"/>
      <c r="AU56" s="2178"/>
      <c r="AV56" s="2178"/>
      <c r="AW56" s="2178"/>
      <c r="AX56" s="2178"/>
      <c r="AY56" s="2178"/>
      <c r="AZ56" s="2178"/>
      <c r="BA56" s="2178"/>
      <c r="BJ56" s="196"/>
      <c r="BK56" s="196"/>
      <c r="BL56" s="196"/>
      <c r="BM56" s="196"/>
      <c r="BN56" s="196"/>
      <c r="BO56" s="196"/>
      <c r="BP56" s="196"/>
      <c r="BQ56" s="196"/>
      <c r="BR56" s="196"/>
      <c r="BS56" s="196"/>
      <c r="BT56" s="196"/>
      <c r="BU56" s="196"/>
      <c r="BV56" s="196"/>
    </row>
    <row r="57" spans="1:74" x14ac:dyDescent="0.25">
      <c r="B57" s="2213" t="s">
        <v>1892</v>
      </c>
      <c r="E57" s="2173"/>
      <c r="F57" s="2173"/>
      <c r="G57" s="2173"/>
      <c r="H57" s="2173"/>
      <c r="I57" s="2173"/>
      <c r="J57" s="2171">
        <f>'Output-FR (show)'!J99/'Output-FR (show)'!J111</f>
        <v>0.92717404912074919</v>
      </c>
      <c r="K57" s="2171">
        <f>'Output-FR (show)'!K99/'Output-FR (show)'!K111</f>
        <v>0.85537599810300757</v>
      </c>
      <c r="L57" s="2171">
        <f>'Output-FR (show)'!L99/'Output-FR (show)'!L111</f>
        <v>0.85374671825390569</v>
      </c>
      <c r="M57" s="2171">
        <f>'Output-FR (show)'!M99/'Output-FR (show)'!M111</f>
        <v>0.61043504151071004</v>
      </c>
      <c r="N57" s="2171">
        <f>'Output-FR (show)'!N99/'Output-FR (show)'!N111</f>
        <v>0.73784285287260676</v>
      </c>
      <c r="O57" s="2171">
        <f>'Output-FR (show)'!O99/'Output-FR (show)'!O111</f>
        <v>0.45394731652195158</v>
      </c>
      <c r="P57" s="2172">
        <f>'Output-FR (show)'!P99/'Output-FR (show)'!P111</f>
        <v>0.36854705865312548</v>
      </c>
      <c r="Q57" s="2171">
        <f ca="1">'Output-FR (show)'!Q99/'Output-FR (show)'!Q111</f>
        <v>0.6195463295770367</v>
      </c>
      <c r="R57" s="2171">
        <f ca="1">'Output-FR (show)'!R99/'Output-FR (show)'!R111</f>
        <v>0.62268239505436218</v>
      </c>
      <c r="S57" s="2171">
        <f ca="1">'Output-FR (show)'!S99/'Output-FR (show)'!S111</f>
        <v>0.56562589843849609</v>
      </c>
      <c r="T57" s="2171">
        <f ca="1">'Output-FR (show)'!T99/'Output-FR (show)'!T111</f>
        <v>0.47363864585794191</v>
      </c>
      <c r="U57" s="2171">
        <f ca="1">'Output-FR (show)'!U99/'Output-FR (show)'!U111</f>
        <v>0.36161906430255064</v>
      </c>
      <c r="V57" s="2171">
        <f ca="1">'Output-FR (show)'!V99/'Output-FR (show)'!V111</f>
        <v>0.30483007357148145</v>
      </c>
      <c r="W57" s="2171">
        <f ca="1">'Output-FR (show)'!W99/'Output-FR (show)'!W111</f>
        <v>0.23230641677478836</v>
      </c>
      <c r="X57" s="2171">
        <f ca="1">'Output-FR (show)'!X99/'Output-FR (show)'!X111</f>
        <v>0.21973459655181432</v>
      </c>
      <c r="Y57" s="2171">
        <f ca="1">'Output-FR (show)'!Y99/'Output-FR (show)'!Y111</f>
        <v>0.20216742470304858</v>
      </c>
      <c r="Z57" s="2171">
        <f ca="1">'Output-FR (show)'!Z99/'Output-FR (show)'!Z111</f>
        <v>0.18889490810640003</v>
      </c>
      <c r="AA57" s="2171"/>
      <c r="AB57" s="2173"/>
      <c r="AC57" s="2173"/>
      <c r="AD57" s="2173"/>
      <c r="AE57" s="2173"/>
      <c r="AF57" s="2173"/>
      <c r="AG57" s="2173"/>
      <c r="AH57" s="2173"/>
      <c r="AI57" s="2173"/>
      <c r="AJ57" s="2173"/>
      <c r="AK57" s="2173"/>
      <c r="AL57" s="2173"/>
      <c r="AM57" s="2173"/>
      <c r="AN57" s="2173"/>
      <c r="AO57" s="2173"/>
      <c r="AP57" s="2173"/>
      <c r="AQ57" s="2173"/>
      <c r="AR57" s="2173"/>
      <c r="AS57" s="2173"/>
      <c r="AT57" s="2173"/>
      <c r="AU57" s="2173"/>
      <c r="AV57" s="2173"/>
      <c r="AW57" s="2173"/>
      <c r="AX57" s="2173"/>
      <c r="AY57" s="2173"/>
      <c r="AZ57" s="2173"/>
      <c r="BA57" s="2173"/>
      <c r="BJ57" s="196"/>
      <c r="BK57" s="196"/>
      <c r="BL57" s="196"/>
      <c r="BM57" s="196"/>
      <c r="BN57" s="196"/>
      <c r="BO57" s="196"/>
      <c r="BP57" s="196"/>
      <c r="BQ57" s="196"/>
      <c r="BR57" s="196"/>
      <c r="BS57" s="196"/>
      <c r="BT57" s="196"/>
      <c r="BU57" s="196"/>
      <c r="BV57" s="196"/>
    </row>
    <row r="58" spans="1:74" x14ac:dyDescent="0.25">
      <c r="B58" s="2213" t="s">
        <v>1893</v>
      </c>
      <c r="E58" s="2173"/>
      <c r="F58" s="2173"/>
      <c r="G58" s="2173"/>
      <c r="H58" s="2173"/>
      <c r="I58" s="2173"/>
      <c r="J58" s="2171">
        <f>('Output-FR (show)'!J82+'Output-FR (show)'!J92)/'Output-FR (show)'!J78</f>
        <v>8.1174750629461653E-2</v>
      </c>
      <c r="K58" s="2171">
        <f>('Output-FR (show)'!K82+'Output-FR (show)'!K92)/'Output-FR (show)'!K78</f>
        <v>5.2097600511180349E-2</v>
      </c>
      <c r="L58" s="2171">
        <f>('Output-FR (show)'!L82+'Output-FR (show)'!L92)/'Output-FR (show)'!L78</f>
        <v>0.12673293408458922</v>
      </c>
      <c r="M58" s="2171">
        <f>('Output-FR (show)'!M82+'Output-FR (show)'!M92)/'Output-FR (show)'!M78</f>
        <v>6.6920257214157147E-2</v>
      </c>
      <c r="N58" s="2171">
        <f>('Output-FR (show)'!N82+'Output-FR (show)'!N92)/'Output-FR (show)'!N78</f>
        <v>0.14923553797496567</v>
      </c>
      <c r="O58" s="2171">
        <f>('Output-FR (show)'!O82+'Output-FR (show)'!O92)/'Output-FR (show)'!O78</f>
        <v>5.761776322466159E-2</v>
      </c>
      <c r="P58" s="2172">
        <f>('Output-FR (show)'!P82+'Output-FR (show)'!P92)/'Output-FR (show)'!P78</f>
        <v>6.2458847566853111E-2</v>
      </c>
      <c r="Q58" s="2171">
        <f ca="1">('Output-FR (show)'!Q82+'Output-FR (show)'!Q92)/'Output-FR (show)'!Q78</f>
        <v>0.14630348694967596</v>
      </c>
      <c r="R58" s="2171">
        <f ca="1">('Output-FR (show)'!R82+'Output-FR (show)'!R92)/'Output-FR (show)'!R78</f>
        <v>0.16864964443016831</v>
      </c>
      <c r="S58" s="2171">
        <f ca="1">('Output-FR (show)'!S82+'Output-FR (show)'!S92)/'Output-FR (show)'!S78</f>
        <v>0.13135226037006181</v>
      </c>
      <c r="T58" s="2171">
        <f ca="1">('Output-FR (show)'!T82+'Output-FR (show)'!T92)/'Output-FR (show)'!T78</f>
        <v>9.5043332859107779E-2</v>
      </c>
      <c r="U58" s="2171">
        <f ca="1">('Output-FR (show)'!U82+'Output-FR (show)'!U92)/'Output-FR (show)'!U78</f>
        <v>7.263809654684239E-2</v>
      </c>
      <c r="V58" s="2171">
        <f ca="1">('Output-FR (show)'!V82+'Output-FR (show)'!V92)/'Output-FR (show)'!V78</f>
        <v>4.6760336277974122E-2</v>
      </c>
      <c r="W58" s="2171">
        <f ca="1">('Output-FR (show)'!W82+'Output-FR (show)'!W92)/'Output-FR (show)'!W78</f>
        <v>3.9138875146441154E-2</v>
      </c>
      <c r="X58" s="2171">
        <f ca="1">('Output-FR (show)'!X82+'Output-FR (show)'!X92)/'Output-FR (show)'!X78</f>
        <v>3.8193021985947651E-2</v>
      </c>
      <c r="Y58" s="2171">
        <f ca="1">('Output-FR (show)'!Y82+'Output-FR (show)'!Y92)/'Output-FR (show)'!Y78</f>
        <v>3.622511338523951E-2</v>
      </c>
      <c r="Z58" s="2171">
        <f ca="1">('Output-FR (show)'!Z82+'Output-FR (show)'!Z92)/'Output-FR (show)'!Z78</f>
        <v>3.6257437346473763E-2</v>
      </c>
      <c r="AA58" s="2171"/>
      <c r="AB58" s="2173"/>
      <c r="AC58" s="2173"/>
      <c r="AD58" s="2173"/>
      <c r="AE58" s="2173"/>
      <c r="AF58" s="2173"/>
      <c r="AG58" s="2173"/>
      <c r="AH58" s="2173"/>
      <c r="AI58" s="2173"/>
      <c r="AJ58" s="2173"/>
      <c r="AK58" s="2173"/>
      <c r="AL58" s="2173"/>
      <c r="AM58" s="2173"/>
      <c r="AN58" s="2173"/>
      <c r="AO58" s="2173"/>
      <c r="AP58" s="2173"/>
      <c r="AQ58" s="2173"/>
      <c r="AR58" s="2173"/>
      <c r="AS58" s="2173"/>
      <c r="AT58" s="2173"/>
      <c r="AU58" s="2173"/>
      <c r="AV58" s="2173"/>
      <c r="AW58" s="2173"/>
      <c r="AX58" s="2173"/>
      <c r="AY58" s="2173"/>
      <c r="AZ58" s="2173"/>
      <c r="BA58" s="2173"/>
      <c r="BJ58" s="196"/>
      <c r="BK58" s="196"/>
      <c r="BL58" s="196"/>
      <c r="BM58" s="196"/>
      <c r="BN58" s="196"/>
      <c r="BO58" s="196"/>
      <c r="BP58" s="196"/>
      <c r="BQ58" s="196"/>
      <c r="BR58" s="196"/>
      <c r="BS58" s="196"/>
      <c r="BT58" s="196"/>
      <c r="BU58" s="196"/>
      <c r="BV58" s="196"/>
    </row>
    <row r="59" spans="1:74" x14ac:dyDescent="0.25">
      <c r="B59" s="2213" t="s">
        <v>1894</v>
      </c>
      <c r="E59" s="2173"/>
      <c r="F59" s="2173"/>
      <c r="G59" s="2173"/>
      <c r="H59" s="2173"/>
      <c r="I59" s="2173"/>
      <c r="J59" s="2171">
        <f>('Output-FR (show)'!J92+'Output-FR (show)'!J82)/'Output-FR (show)'!J111</f>
        <v>0.15643787285694671</v>
      </c>
      <c r="K59" s="2171">
        <f>('Output-FR (show)'!K92+'Output-FR (show)'!K82)/'Output-FR (show)'!K111</f>
        <v>9.6660637547203013E-2</v>
      </c>
      <c r="L59" s="2171">
        <f>('Output-FR (show)'!L92+'Output-FR (show)'!L82)/'Output-FR (show)'!L111</f>
        <v>0.23493076065399582</v>
      </c>
      <c r="M59" s="2171">
        <f>('Output-FR (show)'!M92+'Output-FR (show)'!M82)/'Output-FR (show)'!M111</f>
        <v>0.10777072720458857</v>
      </c>
      <c r="N59" s="2171">
        <f>('Output-FR (show)'!N92+'Output-FR (show)'!N82)/'Output-FR (show)'!N111</f>
        <v>0.25934791306439259</v>
      </c>
      <c r="O59" s="2171">
        <f>('Output-FR (show)'!O92+'Output-FR (show)'!O82)/'Output-FR (show)'!O111</f>
        <v>8.377319222449392E-2</v>
      </c>
      <c r="P59" s="2172">
        <f>('Output-FR (show)'!P92+'Output-FR (show)'!P82)/'Output-FR (show)'!P111</f>
        <v>8.547787212442573E-2</v>
      </c>
      <c r="Q59" s="2171">
        <f ca="1">('Output-FR (show)'!Q92+'Output-FR (show)'!Q82)/'Output-FR (show)'!Q111</f>
        <v>0.23694527529366949</v>
      </c>
      <c r="R59" s="2171">
        <f ca="1">('Output-FR (show)'!R92+'Output-FR (show)'!R82)/'Output-FR (show)'!R111</f>
        <v>0.27366480894901213</v>
      </c>
      <c r="S59" s="2171">
        <f ca="1">('Output-FR (show)'!S92+'Output-FR (show)'!S82)/'Output-FR (show)'!S111</f>
        <v>0.20564850065380524</v>
      </c>
      <c r="T59" s="2171">
        <f ca="1">('Output-FR (show)'!T92+'Output-FR (show)'!T82)/'Output-FR (show)'!T111</f>
        <v>0.14005952833232124</v>
      </c>
      <c r="U59" s="2171">
        <f ca="1">('Output-FR (show)'!U92+'Output-FR (show)'!U82)/'Output-FR (show)'!U111</f>
        <v>9.8905417052829875E-2</v>
      </c>
      <c r="V59" s="2171">
        <f ca="1">('Output-FR (show)'!V92+'Output-FR (show)'!V82)/'Output-FR (show)'!V111</f>
        <v>6.1014293025816201E-2</v>
      </c>
      <c r="W59" s="2171">
        <f ca="1">('Output-FR (show)'!W92+'Output-FR (show)'!W82)/'Output-FR (show)'!W111</f>
        <v>4.8231086988306721E-2</v>
      </c>
      <c r="X59" s="2171">
        <f ca="1">('Output-FR (show)'!X92+'Output-FR (show)'!X82)/'Output-FR (show)'!X111</f>
        <v>4.6585350263124436E-2</v>
      </c>
      <c r="Y59" s="2171">
        <f ca="1">('Output-FR (show)'!Y92+'Output-FR (show)'!Y82)/'Output-FR (show)'!Y111</f>
        <v>4.354865126790932E-2</v>
      </c>
      <c r="Z59" s="2171">
        <f ca="1">('Output-FR (show)'!Z92+'Output-FR (show)'!Z82)/'Output-FR (show)'!Z111</f>
        <v>4.3106282642209469E-2</v>
      </c>
      <c r="AA59" s="2171"/>
      <c r="AB59" s="2173"/>
      <c r="AC59" s="2173"/>
      <c r="AD59" s="2173"/>
      <c r="AE59" s="2173"/>
      <c r="AF59" s="2173"/>
      <c r="AG59" s="2173"/>
      <c r="AH59" s="2173"/>
      <c r="AI59" s="2173"/>
      <c r="AJ59" s="2173"/>
      <c r="AK59" s="2173"/>
      <c r="AL59" s="2173"/>
      <c r="AM59" s="2173"/>
      <c r="AN59" s="2173"/>
      <c r="AO59" s="2173"/>
      <c r="AP59" s="2173"/>
      <c r="AQ59" s="2173"/>
      <c r="AR59" s="2173"/>
      <c r="AS59" s="2173"/>
      <c r="AT59" s="2173"/>
      <c r="AU59" s="2173"/>
      <c r="AV59" s="2173"/>
      <c r="AW59" s="2173"/>
      <c r="AX59" s="2173"/>
      <c r="AY59" s="2173"/>
      <c r="AZ59" s="2173"/>
      <c r="BA59" s="2173"/>
      <c r="BJ59" s="196"/>
      <c r="BK59" s="196"/>
      <c r="BL59" s="196"/>
      <c r="BM59" s="196"/>
      <c r="BN59" s="196"/>
      <c r="BO59" s="196"/>
      <c r="BP59" s="196"/>
      <c r="BQ59" s="196"/>
      <c r="BR59" s="196"/>
      <c r="BS59" s="196"/>
      <c r="BT59" s="196"/>
      <c r="BU59" s="196"/>
      <c r="BV59" s="196"/>
    </row>
    <row r="60" spans="1:74" x14ac:dyDescent="0.25">
      <c r="B60" s="2213" t="s">
        <v>1895</v>
      </c>
      <c r="E60" s="2173"/>
      <c r="F60" s="2173"/>
      <c r="G60" s="2173"/>
      <c r="H60" s="2173"/>
      <c r="I60" s="2173"/>
      <c r="J60" s="2171">
        <f>('Output-FR (show)'!J82+'Output-FR (show)'!J92)/('Output-FR (show)'!J82+'Output-FR (show)'!J92+'Output-FR (show)'!J111)</f>
        <v>0.13527563955551836</v>
      </c>
      <c r="K60" s="2171">
        <f>('Output-FR (show)'!K82+'Output-FR (show)'!K92)/('Output-FR (show)'!K82+'Output-FR (show)'!K92+'Output-FR (show)'!K111)</f>
        <v>8.8140883549349139E-2</v>
      </c>
      <c r="L60" s="2171">
        <f>('Output-FR (show)'!L82+'Output-FR (show)'!L92)/('Output-FR (show)'!L82+'Output-FR (show)'!L92+'Output-FR (show)'!L111)</f>
        <v>0.19023800211242692</v>
      </c>
      <c r="M60" s="2171">
        <f>('Output-FR (show)'!M82+'Output-FR (show)'!M92)/('Output-FR (show)'!M82+'Output-FR (show)'!M92+'Output-FR (show)'!M111)</f>
        <v>9.7286130205429172E-2</v>
      </c>
      <c r="N60" s="2171">
        <f>('Output-FR (show)'!N82+'Output-FR (show)'!N92)/('Output-FR (show)'!N82+'Output-FR (show)'!N92+'Output-FR (show)'!N111)</f>
        <v>0.20593825611964284</v>
      </c>
      <c r="O60" s="2171">
        <f>('Output-FR (show)'!O82+'Output-FR (show)'!O92)/('Output-FR (show)'!O82+'Output-FR (show)'!O92+'Output-FR (show)'!O111)</f>
        <v>7.729771581869968E-2</v>
      </c>
      <c r="P60" s="2172">
        <f>('Output-FR (show)'!P82+'Output-FR (show)'!P92)/('Output-FR (show)'!P82+'Output-FR (show)'!P92+'Output-FR (show)'!P111)</f>
        <v>7.8746766119823397E-2</v>
      </c>
      <c r="Q60" s="2171">
        <f ca="1">('Output-FR (show)'!Q82+'Output-FR (show)'!Q92)/('Output-FR (show)'!Q82+'Output-FR (show)'!Q92+'Output-FR (show)'!Q111)</f>
        <v>0.19155679723778815</v>
      </c>
      <c r="R60" s="2171">
        <f ca="1">('Output-FR (show)'!R82+'Output-FR (show)'!R92)/('Output-FR (show)'!R82+'Output-FR (show)'!R92+'Output-FR (show)'!R111)</f>
        <v>0.21486407336230923</v>
      </c>
      <c r="S60" s="2171">
        <f ca="1">('Output-FR (show)'!S82+'Output-FR (show)'!S92)/('Output-FR (show)'!S82+'Output-FR (show)'!S92+'Output-FR (show)'!S111)</f>
        <v>0.17057085920339563</v>
      </c>
      <c r="T60" s="2171">
        <f ca="1">('Output-FR (show)'!T82+'Output-FR (show)'!T92)/('Output-FR (show)'!T82+'Output-FR (show)'!T92+'Output-FR (show)'!T111)</f>
        <v>0.12285282027088558</v>
      </c>
      <c r="U60" s="2171">
        <f ca="1">('Output-FR (show)'!U82+'Output-FR (show)'!U92)/('Output-FR (show)'!U82+'Output-FR (show)'!U92+'Output-FR (show)'!U111)</f>
        <v>9.0003575847397058E-2</v>
      </c>
      <c r="V60" s="2171">
        <f ca="1">('Output-FR (show)'!V82+'Output-FR (show)'!V92)/('Output-FR (show)'!V82+'Output-FR (show)'!V92+'Output-FR (show)'!V111)</f>
        <v>5.7505627800559359E-2</v>
      </c>
      <c r="W60" s="2171">
        <f ca="1">('Output-FR (show)'!W82+'Output-FR (show)'!W92)/('Output-FR (show)'!W82+'Output-FR (show)'!W92+'Output-FR (show)'!W111)</f>
        <v>4.6011883817413203E-2</v>
      </c>
      <c r="X60" s="2171">
        <f ca="1">('Output-FR (show)'!X82+'Output-FR (show)'!X92)/('Output-FR (show)'!X82+'Output-FR (show)'!X92+'Output-FR (show)'!X111)</f>
        <v>4.4511754584957937E-2</v>
      </c>
      <c r="Y60" s="2171">
        <f ca="1">('Output-FR (show)'!Y82+'Output-FR (show)'!Y92)/('Output-FR (show)'!Y82+'Output-FR (show)'!Y92+'Output-FR (show)'!Y111)</f>
        <v>4.1731309043423898E-2</v>
      </c>
      <c r="Z60" s="2171">
        <f ca="1">('Output-FR (show)'!Z82+'Output-FR (show)'!Z92)/('Output-FR (show)'!Z82+'Output-FR (show)'!Z92+'Output-FR (show)'!Z111)</f>
        <v>4.1324919003479087E-2</v>
      </c>
      <c r="AA60" s="2171"/>
      <c r="AB60" s="2173"/>
      <c r="AC60" s="2173"/>
      <c r="AD60" s="2173"/>
      <c r="AE60" s="2173"/>
      <c r="AF60" s="2173"/>
      <c r="AG60" s="2173"/>
      <c r="AH60" s="2173"/>
      <c r="AI60" s="2173"/>
      <c r="AJ60" s="2173"/>
      <c r="AK60" s="2173"/>
      <c r="AL60" s="2173"/>
      <c r="AM60" s="2173"/>
      <c r="AN60" s="2173"/>
      <c r="AO60" s="2173"/>
      <c r="AP60" s="2173"/>
      <c r="AQ60" s="2173"/>
      <c r="AR60" s="2173"/>
      <c r="AS60" s="2173"/>
      <c r="AT60" s="2173"/>
      <c r="AU60" s="2173"/>
      <c r="AV60" s="2173"/>
      <c r="AW60" s="2173"/>
      <c r="AX60" s="2173"/>
      <c r="AY60" s="2173"/>
      <c r="AZ60" s="2173"/>
      <c r="BA60" s="2173"/>
      <c r="BJ60" s="196"/>
      <c r="BK60" s="196"/>
      <c r="BL60" s="196"/>
      <c r="BM60" s="196"/>
      <c r="BN60" s="196"/>
      <c r="BO60" s="196"/>
      <c r="BP60" s="196"/>
      <c r="BQ60" s="196"/>
      <c r="BR60" s="196"/>
      <c r="BS60" s="196"/>
      <c r="BT60" s="196"/>
      <c r="BU60" s="196"/>
      <c r="BV60" s="196"/>
    </row>
    <row r="61" spans="1:74" s="2218" customFormat="1" x14ac:dyDescent="0.25">
      <c r="A61" s="2214"/>
      <c r="B61" s="2214" t="s">
        <v>1896</v>
      </c>
      <c r="C61" s="2214"/>
      <c r="D61" s="2214"/>
      <c r="E61" s="2217"/>
      <c r="F61" s="2217"/>
      <c r="G61" s="2217"/>
      <c r="H61" s="2217"/>
      <c r="I61" s="2217"/>
      <c r="J61" s="2219">
        <f>('Output-FR (show)'!J82+'Output-FR (show)'!J92-'Output-FR (show)'!J59)/'Output-FR (show)'!J111</f>
        <v>-0.22377290639866362</v>
      </c>
      <c r="K61" s="2219">
        <f>('Output-FR (show)'!K82+'Output-FR (show)'!K92-'Output-FR (show)'!K59)/'Output-FR (show)'!K111</f>
        <v>-7.8687033529236283E-2</v>
      </c>
      <c r="L61" s="2219">
        <f>('Output-FR (show)'!L82+'Output-FR (show)'!L92-'Output-FR (show)'!L59)/'Output-FR (show)'!L111</f>
        <v>0.11908608877482689</v>
      </c>
      <c r="M61" s="2219">
        <f>('Output-FR (show)'!M82+'Output-FR (show)'!M92-'Output-FR (show)'!M59)/'Output-FR (show)'!M111</f>
        <v>3.8508038748853871E-3</v>
      </c>
      <c r="N61" s="2219">
        <f>('Output-FR (show)'!N82+'Output-FR (show)'!N92-'Output-FR (show)'!N59)/'Output-FR (show)'!N111</f>
        <v>0.11118604223932976</v>
      </c>
      <c r="O61" s="2219">
        <f>('Output-FR (show)'!O82+'Output-FR (show)'!O92-'Output-FR (show)'!O59)/'Output-FR (show)'!O111</f>
        <v>-2.6206482976392994E-2</v>
      </c>
      <c r="P61" s="2220">
        <f>('Output-FR (show)'!P82+'Output-FR (show)'!P92-'Output-FR (show)'!P59)/'Output-FR (show)'!P111</f>
        <v>2.5173683879080224E-2</v>
      </c>
      <c r="Q61" s="2219">
        <f ca="1">('Output-FR (show)'!Q82+'Output-FR (show)'!Q92-'Output-FR (show)'!Q59)/'Output-FR (show)'!Q111</f>
        <v>9.085616727631346E-2</v>
      </c>
      <c r="R61" s="2219">
        <f ca="1">('Output-FR (show)'!R82+'Output-FR (show)'!R92-'Output-FR (show)'!R59)/'Output-FR (show)'!R111</f>
        <v>0.14863938953398328</v>
      </c>
      <c r="S61" s="2219">
        <f ca="1">('Output-FR (show)'!S82+'Output-FR (show)'!S92-'Output-FR (show)'!S59)/'Output-FR (show)'!S111</f>
        <v>7.7715087028879415E-2</v>
      </c>
      <c r="T61" s="2219">
        <f ca="1">('Output-FR (show)'!T82+'Output-FR (show)'!T92-'Output-FR (show)'!T59)/'Output-FR (show)'!T111</f>
        <v>1.6135752585601598E-2</v>
      </c>
      <c r="U61" s="2219">
        <f ca="1">('Output-FR (show)'!U82+'Output-FR (show)'!U92-'Output-FR (show)'!U59)/'Output-FR (show)'!U111</f>
        <v>-2.046978792808549E-2</v>
      </c>
      <c r="V61" s="2219">
        <f ca="1">('Output-FR (show)'!V82+'Output-FR (show)'!V92-'Output-FR (show)'!V59)/'Output-FR (show)'!V111</f>
        <v>-5.3602612874474057E-2</v>
      </c>
      <c r="W61" s="2219">
        <f ca="1">('Output-FR (show)'!W82+'Output-FR (show)'!W92-'Output-FR (show)'!W59)/'Output-FR (show)'!W111</f>
        <v>-7.017878611449635E-2</v>
      </c>
      <c r="X61" s="2219">
        <f ca="1">('Output-FR (show)'!X82+'Output-FR (show)'!X92-'Output-FR (show)'!X59)/'Output-FR (show)'!X111</f>
        <v>-7.3348398056230557E-2</v>
      </c>
      <c r="Y61" s="2219">
        <f ca="1">('Output-FR (show)'!Y82+'Output-FR (show)'!Y92-'Output-FR (show)'!Y59)/'Output-FR (show)'!Y111</f>
        <v>-7.9953149512153571E-2</v>
      </c>
      <c r="Z61" s="2219">
        <f ca="1">('Output-FR (show)'!Z82+'Output-FR (show)'!Z92-'Output-FR (show)'!Z59)/'Output-FR (show)'!Z111</f>
        <v>-8.7837123506309234E-2</v>
      </c>
      <c r="AA61" s="2217"/>
      <c r="AB61" s="2217"/>
      <c r="AC61" s="2217"/>
      <c r="AD61" s="2217"/>
      <c r="AE61" s="2217"/>
      <c r="AF61" s="2217"/>
      <c r="AG61" s="2217"/>
      <c r="AH61" s="2217"/>
      <c r="AI61" s="2217"/>
      <c r="AJ61" s="2217"/>
      <c r="AK61" s="2217"/>
      <c r="AL61" s="2217"/>
      <c r="AM61" s="2217"/>
      <c r="AN61" s="2217"/>
      <c r="AO61" s="2217"/>
      <c r="AP61" s="2217"/>
      <c r="AQ61" s="2217"/>
      <c r="AR61" s="2217"/>
      <c r="AS61" s="2217"/>
      <c r="AT61" s="2217"/>
      <c r="AU61" s="2217"/>
      <c r="AV61" s="2217"/>
      <c r="AW61" s="2217"/>
      <c r="AX61" s="2217"/>
      <c r="AY61" s="2217"/>
      <c r="AZ61" s="2217"/>
      <c r="BA61" s="2217"/>
    </row>
    <row r="62" spans="1:74" s="2218" customFormat="1" x14ac:dyDescent="0.25">
      <c r="A62" s="2214"/>
      <c r="B62" s="2214" t="s">
        <v>1897</v>
      </c>
      <c r="C62" s="2214"/>
      <c r="D62" s="2214"/>
      <c r="E62" s="2217"/>
      <c r="F62" s="2217"/>
      <c r="G62" s="2217"/>
      <c r="H62" s="2217"/>
      <c r="I62" s="2217"/>
      <c r="J62" s="2219">
        <f>('Output-FR (show)'!J82+'Output-FR (show)'!J92-'Output-FR (show)'!J60)/'Output-FR (show)'!J111</f>
        <v>0.15643787285694671</v>
      </c>
      <c r="K62" s="2219">
        <f>('Output-FR (show)'!K82+'Output-FR (show)'!K92-'Output-FR (show)'!K60)/'Output-FR (show)'!K111</f>
        <v>9.6660637547203013E-2</v>
      </c>
      <c r="L62" s="2219">
        <f>('Output-FR (show)'!L82+'Output-FR (show)'!L92-'Output-FR (show)'!L60)/'Output-FR (show)'!L111</f>
        <v>0.23493076065399582</v>
      </c>
      <c r="M62" s="2219">
        <f>('Output-FR (show)'!M82+'Output-FR (show)'!M92-'Output-FR (show)'!M60)/'Output-FR (show)'!M111</f>
        <v>0.10777072720458857</v>
      </c>
      <c r="N62" s="2219">
        <f>('Output-FR (show)'!N82+'Output-FR (show)'!N92-'Output-FR (show)'!N60)/'Output-FR (show)'!N111</f>
        <v>0.25934791306439259</v>
      </c>
      <c r="O62" s="2219">
        <f>('Output-FR (show)'!O82+'Output-FR (show)'!O92-'Output-FR (show)'!O60)/'Output-FR (show)'!O111</f>
        <v>8.377319222449392E-2</v>
      </c>
      <c r="P62" s="2220">
        <f>('Output-FR (show)'!P82+'Output-FR (show)'!P92-'Output-FR (show)'!P60)/'Output-FR (show)'!P111</f>
        <v>8.547787212442573E-2</v>
      </c>
      <c r="Q62" s="2219">
        <f ca="1">('Output-FR (show)'!Q82+'Output-FR (show)'!Q92-'Output-FR (show)'!Q60)/'Output-FR (show)'!Q111</f>
        <v>0.21895555188442634</v>
      </c>
      <c r="R62" s="2219">
        <f ca="1">('Output-FR (show)'!R82+'Output-FR (show)'!R92-'Output-FR (show)'!R60)/'Output-FR (show)'!R111</f>
        <v>0.26718569429148659</v>
      </c>
      <c r="S62" s="2219">
        <f ca="1">('Output-FR (show)'!S82+'Output-FR (show)'!S92-'Output-FR (show)'!S60)/'Output-FR (show)'!S111</f>
        <v>0.20430828610512436</v>
      </c>
      <c r="T62" s="2219">
        <f ca="1">('Output-FR (show)'!T82+'Output-FR (show)'!T92-'Output-FR (show)'!T60)/'Output-FR (show)'!T111</f>
        <v>0.13713414691807524</v>
      </c>
      <c r="U62" s="2219">
        <f ca="1">('Output-FR (show)'!U82+'Output-FR (show)'!U92-'Output-FR (show)'!U60)/'Output-FR (show)'!U111</f>
        <v>9.7003336468895543E-2</v>
      </c>
      <c r="V62" s="2219">
        <f ca="1">('Output-FR (show)'!V82+'Output-FR (show)'!V92-'Output-FR (show)'!V60)/'Output-FR (show)'!V111</f>
        <v>6.0871423433585828E-2</v>
      </c>
      <c r="W62" s="2219">
        <f ca="1">('Output-FR (show)'!W82+'Output-FR (show)'!W92-'Output-FR (show)'!W60)/'Output-FR (show)'!W111</f>
        <v>4.6367934525636645E-2</v>
      </c>
      <c r="X62" s="2219">
        <f ca="1">('Output-FR (show)'!X82+'Output-FR (show)'!X92-'Output-FR (show)'!X60)/'Output-FR (show)'!X111</f>
        <v>4.395453026035525E-2</v>
      </c>
      <c r="Y62" s="2219">
        <f ca="1">('Output-FR (show)'!Y82+'Output-FR (show)'!Y92-'Output-FR (show)'!Y60)/'Output-FR (show)'!Y111</f>
        <v>4.1909570758872493E-2</v>
      </c>
      <c r="Z62" s="2219">
        <f ca="1">('Output-FR (show)'!Z82+'Output-FR (show)'!Z92-'Output-FR (show)'!Z60)/'Output-FR (show)'!Z111</f>
        <v>4.0751081912941675E-2</v>
      </c>
      <c r="AA62" s="2219"/>
      <c r="AB62" s="2217"/>
      <c r="AC62" s="2217"/>
      <c r="AD62" s="2217"/>
      <c r="AE62" s="2217"/>
      <c r="AF62" s="2217"/>
      <c r="AG62" s="2217"/>
      <c r="AH62" s="2217"/>
      <c r="AI62" s="2217"/>
      <c r="AJ62" s="2217"/>
      <c r="AK62" s="2217"/>
      <c r="AL62" s="2217"/>
      <c r="AM62" s="2217"/>
      <c r="AN62" s="2217"/>
      <c r="AO62" s="2217"/>
      <c r="AP62" s="2217"/>
      <c r="AQ62" s="2217"/>
      <c r="AR62" s="2217"/>
      <c r="AS62" s="2217"/>
      <c r="AT62" s="2217"/>
      <c r="AU62" s="2217"/>
      <c r="AV62" s="2217"/>
      <c r="AW62" s="2217"/>
      <c r="AX62" s="2217"/>
      <c r="AY62" s="2217"/>
      <c r="AZ62" s="2217"/>
      <c r="BA62" s="2217"/>
    </row>
    <row r="63" spans="1:74" s="2218" customFormat="1" x14ac:dyDescent="0.25">
      <c r="A63" s="2214"/>
      <c r="B63" s="2214" t="s">
        <v>1898</v>
      </c>
      <c r="C63" s="2214"/>
      <c r="D63" s="2214"/>
      <c r="E63" s="2217"/>
      <c r="F63" s="2217"/>
      <c r="G63" s="2217"/>
      <c r="H63" s="2217"/>
      <c r="I63" s="2217"/>
      <c r="J63" s="2219">
        <f>('Output-FR (show)'!J82+'Output-FR (show)'!J92)/'Output-FR (show)'!J12</f>
        <v>0.51880500828238996</v>
      </c>
      <c r="K63" s="2219">
        <f>('Output-FR (show)'!K82+'Output-FR (show)'!K92)/'Output-FR (show)'!K12</f>
        <v>0.38957466234908755</v>
      </c>
      <c r="L63" s="2219">
        <f>('Output-FR (show)'!L82+'Output-FR (show)'!L92)/'Output-FR (show)'!L12</f>
        <v>0.87462798270830933</v>
      </c>
      <c r="M63" s="2219">
        <f>('Output-FR (show)'!M82+'Output-FR (show)'!M92)/'Output-FR (show)'!M12</f>
        <v>0.43028999546871388</v>
      </c>
      <c r="N63" s="2219">
        <f>('Output-FR (show)'!N82+'Output-FR (show)'!N92)/'Output-FR (show)'!N12</f>
        <v>1.2816695172925723</v>
      </c>
      <c r="O63" s="2219">
        <f>('Output-FR (show)'!O82+'Output-FR (show)'!O92)/'Output-FR (show)'!O12</f>
        <v>0.38774996923777577</v>
      </c>
      <c r="P63" s="2220">
        <f>('Output-FR (show)'!P82+'Output-FR (show)'!P92)/'Output-FR (show)'!P12</f>
        <v>0.37637111778098703</v>
      </c>
      <c r="Q63" s="2219">
        <f ca="1">('Output-FR (show)'!Q82+'Output-FR (show)'!Q92)/'Output-FR (show)'!Q12</f>
        <v>0.82646049531084098</v>
      </c>
      <c r="R63" s="2219">
        <f ca="1">('Output-FR (show)'!R82+'Output-FR (show)'!R92)/'Output-FR (show)'!R12</f>
        <v>0.99313441292921489</v>
      </c>
      <c r="S63" s="2219">
        <f ca="1">('Output-FR (show)'!S82+'Output-FR (show)'!S92)/'Output-FR (show)'!S12</f>
        <v>0.67294860025763481</v>
      </c>
      <c r="T63" s="2219">
        <f ca="1">('Output-FR (show)'!T82+'Output-FR (show)'!T92)/'Output-FR (show)'!T12</f>
        <v>0.5111684212590486</v>
      </c>
      <c r="U63" s="2219">
        <f ca="1">('Output-FR (show)'!U82+'Output-FR (show)'!U92)/'Output-FR (show)'!U12</f>
        <v>0.3750301911241965</v>
      </c>
      <c r="V63" s="2219">
        <f ca="1">('Output-FR (show)'!V82+'Output-FR (show)'!V92)/'Output-FR (show)'!V12</f>
        <v>0.2424972556781976</v>
      </c>
      <c r="W63" s="2219">
        <f ca="1">('Output-FR (show)'!W82+'Output-FR (show)'!W92)/'Output-FR (show)'!W12</f>
        <v>0.19530763998651729</v>
      </c>
      <c r="X63" s="2219">
        <f ca="1">('Output-FR (show)'!X82+'Output-FR (show)'!X92)/'Output-FR (show)'!X12</f>
        <v>0.19922442214767175</v>
      </c>
      <c r="Y63" s="2219">
        <f ca="1">('Output-FR (show)'!Y82+'Output-FR (show)'!Y92)/'Output-FR (show)'!Y12</f>
        <v>0.19148442276758626</v>
      </c>
      <c r="Z63" s="2219">
        <f ca="1">('Output-FR (show)'!Z82+'Output-FR (show)'!Z92)/'Output-FR (show)'!Z12</f>
        <v>0.19369139087957374</v>
      </c>
      <c r="AA63" s="2219"/>
      <c r="AB63" s="2217"/>
      <c r="AC63" s="2217"/>
      <c r="AD63" s="2217"/>
      <c r="AE63" s="2217"/>
      <c r="AF63" s="2217"/>
      <c r="AG63" s="2217"/>
      <c r="AH63" s="2217"/>
      <c r="AI63" s="2217"/>
      <c r="AJ63" s="2217"/>
      <c r="AK63" s="2217"/>
      <c r="AL63" s="2217"/>
      <c r="AM63" s="2217"/>
      <c r="AN63" s="2217"/>
      <c r="AO63" s="2217"/>
      <c r="AP63" s="2217"/>
      <c r="AQ63" s="2217"/>
      <c r="AR63" s="2217"/>
      <c r="AS63" s="2217"/>
      <c r="AT63" s="2217"/>
      <c r="AU63" s="2217"/>
      <c r="AV63" s="2217"/>
      <c r="AW63" s="2217"/>
      <c r="AX63" s="2217"/>
      <c r="AY63" s="2217"/>
      <c r="AZ63" s="2217"/>
      <c r="BA63" s="2217"/>
    </row>
    <row r="64" spans="1:74" s="2218" customFormat="1" x14ac:dyDescent="0.25">
      <c r="A64" s="2214"/>
      <c r="B64" s="2214" t="s">
        <v>1899</v>
      </c>
      <c r="C64" s="2214"/>
      <c r="D64" s="2214"/>
      <c r="E64" s="2217"/>
      <c r="F64" s="2217"/>
      <c r="G64" s="2217"/>
      <c r="H64" s="2217"/>
      <c r="I64" s="2217"/>
      <c r="J64" s="2219">
        <f>('Output-FR (show)'!J82+'Output-FR (show)'!J92-'Output-FR (show)'!J59)/'Output-FR (show)'!J12</f>
        <v>-0.74211252324873267</v>
      </c>
      <c r="K64" s="2219">
        <f>('Output-FR (show)'!K82+'Output-FR (show)'!K92-'Output-FR (show)'!K59)/'Output-FR (show)'!K12</f>
        <v>-0.31713503341454607</v>
      </c>
      <c r="L64" s="2219">
        <f>('Output-FR (show)'!L82+'Output-FR (show)'!L92-'Output-FR (show)'!L59)/'Output-FR (show)'!L12</f>
        <v>0.44334775618059508</v>
      </c>
      <c r="M64" s="2219">
        <f>('Output-FR (show)'!M82+'Output-FR (show)'!M92-'Output-FR (show)'!M59)/'Output-FR (show)'!M12</f>
        <v>1.5374883559334378E-2</v>
      </c>
      <c r="N64" s="2219">
        <f>('Output-FR (show)'!N82+'Output-FR (show)'!N92-'Output-FR (show)'!N59)/'Output-FR (show)'!N12</f>
        <v>0.54946947288976866</v>
      </c>
      <c r="O64" s="2219">
        <f>('Output-FR (show)'!O82+'Output-FR (show)'!O92-'Output-FR (show)'!O59)/'Output-FR (show)'!O12</f>
        <v>-0.1212985049047182</v>
      </c>
      <c r="P64" s="2220">
        <f>('Output-FR (show)'!P82+'Output-FR (show)'!P92-'Output-FR (show)'!P59)/'Output-FR (show)'!P12</f>
        <v>0.11084327797073472</v>
      </c>
      <c r="Q64" s="2219">
        <f ca="1">('Output-FR (show)'!Q82+'Output-FR (show)'!Q92-'Output-FR (show)'!Q59)/'Output-FR (show)'!Q12</f>
        <v>0.31690453804643898</v>
      </c>
      <c r="R64" s="2219">
        <f ca="1">('Output-FR (show)'!R82+'Output-FR (show)'!R92-'Output-FR (show)'!R59)/'Output-FR (show)'!R12</f>
        <v>0.53941496325343385</v>
      </c>
      <c r="S64" s="2219">
        <f ca="1">('Output-FR (show)'!S82+'Output-FR (show)'!S92-'Output-FR (show)'!S59)/'Output-FR (show)'!S12</f>
        <v>0.25430897316885914</v>
      </c>
      <c r="T64" s="2219">
        <f ca="1">('Output-FR (show)'!T82+'Output-FR (show)'!T92-'Output-FR (show)'!T59)/'Output-FR (show)'!T12</f>
        <v>5.8889868281137035E-2</v>
      </c>
      <c r="U64" s="2219">
        <f ca="1">('Output-FR (show)'!U82+'Output-FR (show)'!U92-'Output-FR (show)'!U59)/'Output-FR (show)'!U12</f>
        <v>-7.7617472406401655E-2</v>
      </c>
      <c r="V64" s="2219">
        <f ca="1">('Output-FR (show)'!V82+'Output-FR (show)'!V92-'Output-FR (show)'!V59)/'Output-FR (show)'!V12</f>
        <v>-0.21304002512560291</v>
      </c>
      <c r="W64" s="2219">
        <f ca="1">('Output-FR (show)'!W82+'Output-FR (show)'!W92-'Output-FR (show)'!W59)/'Output-FR (show)'!W12</f>
        <v>-0.28418296059684245</v>
      </c>
      <c r="X64" s="2219">
        <f ca="1">('Output-FR (show)'!X82+'Output-FR (show)'!X92-'Output-FR (show)'!X59)/'Output-FR (show)'!X12</f>
        <v>-0.31367784369278406</v>
      </c>
      <c r="Y64" s="2219">
        <f ca="1">('Output-FR (show)'!Y82+'Output-FR (show)'!Y92-'Output-FR (show)'!Y59)/'Output-FR (show)'!Y12</f>
        <v>-0.35155584012464958</v>
      </c>
      <c r="Z64" s="2219">
        <f ca="1">('Output-FR (show)'!Z82+'Output-FR (show)'!Z92-'Output-FR (show)'!Z59)/'Output-FR (show)'!Z12</f>
        <v>-0.39468248199483102</v>
      </c>
      <c r="AA64" s="2219"/>
      <c r="AB64" s="2217"/>
      <c r="AC64" s="2217"/>
      <c r="AD64" s="2217"/>
      <c r="AE64" s="2217"/>
      <c r="AF64" s="2217"/>
      <c r="AG64" s="2217"/>
      <c r="AH64" s="2217"/>
      <c r="AI64" s="2217"/>
      <c r="AJ64" s="2217"/>
      <c r="AK64" s="2217"/>
      <c r="AL64" s="2217"/>
      <c r="AM64" s="2217"/>
      <c r="AN64" s="2217"/>
      <c r="AO64" s="2217"/>
      <c r="AP64" s="2217"/>
      <c r="AQ64" s="2217"/>
      <c r="AR64" s="2217"/>
      <c r="AS64" s="2217"/>
      <c r="AT64" s="2217"/>
      <c r="AU64" s="2217"/>
      <c r="AV64" s="2217"/>
      <c r="AW64" s="2217"/>
      <c r="AX64" s="2217"/>
      <c r="AY64" s="2217"/>
      <c r="AZ64" s="2217"/>
      <c r="BA64" s="2217"/>
    </row>
    <row r="65" spans="1:74" s="2218" customFormat="1" x14ac:dyDescent="0.25">
      <c r="A65" s="2214"/>
      <c r="B65" s="2214" t="s">
        <v>1900</v>
      </c>
      <c r="C65" s="2214"/>
      <c r="D65" s="2214"/>
      <c r="J65" s="2219">
        <f>('Output-FR (show)'!J82+'Output-FR (show)'!J92-'Output-FR (show)'!J60)/'Output-FR (show)'!J12</f>
        <v>0.51880500828238996</v>
      </c>
      <c r="K65" s="2219">
        <f>('Output-FR (show)'!K82+'Output-FR (show)'!K92-'Output-FR (show)'!K60)/'Output-FR (show)'!K12</f>
        <v>0.38957466234908755</v>
      </c>
      <c r="L65" s="2219">
        <f>('Output-FR (show)'!L82+'Output-FR (show)'!L92-'Output-FR (show)'!L60)/'Output-FR (show)'!L12</f>
        <v>0.87462798270830933</v>
      </c>
      <c r="M65" s="2219">
        <f>('Output-FR (show)'!M82+'Output-FR (show)'!M92-'Output-FR (show)'!M60)/'Output-FR (show)'!M12</f>
        <v>0.43028999546871388</v>
      </c>
      <c r="N65" s="2219">
        <f>('Output-FR (show)'!N82+'Output-FR (show)'!N92-'Output-FR (show)'!N60)/'Output-FR (show)'!N12</f>
        <v>1.2816695172925723</v>
      </c>
      <c r="O65" s="2219">
        <f>('Output-FR (show)'!O82+'Output-FR (show)'!O92-'Output-FR (show)'!O60)/'Output-FR (show)'!O12</f>
        <v>0.38774996923777577</v>
      </c>
      <c r="P65" s="2220">
        <f>('Output-FR (show)'!P82+'Output-FR (show)'!P92-'Output-FR (show)'!P60)/'Output-FR (show)'!P12</f>
        <v>0.37637111778098703</v>
      </c>
      <c r="Q65" s="2219">
        <f ca="1">('Output-FR (show)'!Q82+'Output-FR (show)'!Q92-'Output-FR (show)'!Q60)/'Output-FR (show)'!Q12</f>
        <v>0.76371269119919105</v>
      </c>
      <c r="R65" s="2219">
        <f ca="1">('Output-FR (show)'!R82+'Output-FR (show)'!R92-'Output-FR (show)'!R60)/'Output-FR (show)'!R12</f>
        <v>0.96962159169211704</v>
      </c>
      <c r="S65" s="2219">
        <f ca="1">('Output-FR (show)'!S82+'Output-FR (show)'!S92-'Output-FR (show)'!S60)/'Output-FR (show)'!S12</f>
        <v>0.66856298352951671</v>
      </c>
      <c r="T65" s="2219">
        <f ca="1">('Output-FR (show)'!T82+'Output-FR (show)'!T92-'Output-FR (show)'!T60)/'Output-FR (show)'!T12</f>
        <v>0.5004917995617898</v>
      </c>
      <c r="U65" s="2219">
        <f ca="1">('Output-FR (show)'!U82+'Output-FR (show)'!U92-'Output-FR (show)'!U60)/'Output-FR (show)'!U12</f>
        <v>0.36781786983601578</v>
      </c>
      <c r="V65" s="2219">
        <f ca="1">('Output-FR (show)'!V82+'Output-FR (show)'!V92-'Output-FR (show)'!V60)/'Output-FR (show)'!V12</f>
        <v>0.24192942997183289</v>
      </c>
      <c r="W65" s="2219">
        <f ca="1">('Output-FR (show)'!W82+'Output-FR (show)'!W92-'Output-FR (show)'!W60)/'Output-FR (show)'!W12</f>
        <v>0.18776296427752107</v>
      </c>
      <c r="X65" s="2219">
        <f ca="1">('Output-FR (show)'!X82+'Output-FR (show)'!X92-'Output-FR (show)'!X60)/'Output-FR (show)'!X12</f>
        <v>0.18797359776048006</v>
      </c>
      <c r="Y65" s="2219">
        <f ca="1">('Output-FR (show)'!Y82+'Output-FR (show)'!Y92-'Output-FR (show)'!Y60)/'Output-FR (show)'!Y12</f>
        <v>0.18427734801315415</v>
      </c>
      <c r="Z65" s="2219">
        <f ca="1">('Output-FR (show)'!Z82+'Output-FR (show)'!Z92-'Output-FR (show)'!Z60)/'Output-FR (show)'!Z12</f>
        <v>0.1831086619340308</v>
      </c>
      <c r="AA65" s="2219"/>
    </row>
    <row r="66" spans="1:74" s="2218" customFormat="1" ht="13.8" thickBot="1" x14ac:dyDescent="0.3">
      <c r="A66" s="2214"/>
      <c r="B66" s="2215" t="s">
        <v>1901</v>
      </c>
      <c r="C66" s="2221"/>
      <c r="D66" s="2221"/>
      <c r="E66" s="2222"/>
      <c r="F66" s="2222"/>
      <c r="G66" s="2222"/>
      <c r="H66" s="2222"/>
      <c r="I66" s="2222"/>
      <c r="J66" s="2222"/>
      <c r="K66" s="2222"/>
      <c r="L66" s="2222"/>
      <c r="M66" s="2222"/>
      <c r="N66" s="2222"/>
      <c r="O66" s="2222"/>
      <c r="P66" s="2223"/>
      <c r="Q66" s="2222"/>
      <c r="R66" s="2222"/>
      <c r="S66" s="2222"/>
      <c r="T66" s="2222"/>
      <c r="U66" s="2222"/>
      <c r="V66" s="2222"/>
      <c r="W66" s="2222"/>
      <c r="X66" s="2222"/>
      <c r="Y66" s="2222"/>
      <c r="Z66" s="2222"/>
      <c r="AA66" s="2222"/>
      <c r="AB66" s="2222"/>
      <c r="AC66" s="2222"/>
      <c r="AD66" s="2222"/>
      <c r="AE66" s="2222"/>
      <c r="AF66" s="2222"/>
      <c r="AG66" s="2222"/>
      <c r="AH66" s="2222"/>
      <c r="AI66" s="2222"/>
      <c r="AJ66" s="2222"/>
      <c r="AK66" s="2222"/>
      <c r="AL66" s="2222"/>
      <c r="AM66" s="2222"/>
      <c r="AN66" s="2222"/>
      <c r="AO66" s="2222"/>
      <c r="AP66" s="2222"/>
      <c r="AQ66" s="2222"/>
      <c r="AR66" s="2222"/>
      <c r="AS66" s="2222"/>
      <c r="AT66" s="2222"/>
      <c r="AU66" s="2222"/>
      <c r="AV66" s="2222"/>
      <c r="AW66" s="2222"/>
      <c r="AX66" s="2222"/>
      <c r="AY66" s="2222"/>
      <c r="AZ66" s="2222"/>
      <c r="BA66" s="2222"/>
    </row>
    <row r="67" spans="1:74" x14ac:dyDescent="0.25">
      <c r="B67" s="2214" t="s">
        <v>1902</v>
      </c>
      <c r="E67" s="2188"/>
      <c r="F67" s="2188"/>
      <c r="G67" s="2188"/>
      <c r="H67" s="2188"/>
      <c r="I67" s="2188"/>
      <c r="J67" s="2175">
        <f>'Output-FR (show)'!J18/'Output-FR (show)'!J23</f>
        <v>23.463675529541288</v>
      </c>
      <c r="K67" s="2175">
        <f>'Output-FR (show)'!K18/'Output-FR (show)'!K23</f>
        <v>35.128609984951446</v>
      </c>
      <c r="L67" s="2175">
        <f>'Output-FR (show)'!L18/'Output-FR (show)'!L23</f>
        <v>27.37738871953708</v>
      </c>
      <c r="M67" s="2175">
        <f>'Output-FR (show)'!M18/'Output-FR (show)'!M23</f>
        <v>22.299849838444171</v>
      </c>
      <c r="N67" s="2175">
        <f>'Output-FR (show)'!N18/'Output-FR (show)'!N23</f>
        <v>15.585334740971181</v>
      </c>
      <c r="O67" s="2175">
        <f>'Output-FR (show)'!O18/'Output-FR (show)'!O23</f>
        <v>27.589479749369684</v>
      </c>
      <c r="P67" s="2176">
        <f>'Output-FR (show)'!P18/'Output-FR (show)'!P23</f>
        <v>163.92905726651313</v>
      </c>
      <c r="Q67" s="2175">
        <f ca="1">'Output-FR (show)'!Q18/'Output-FR (show)'!Q23</f>
        <v>21.162223779777968</v>
      </c>
      <c r="R67" s="2175">
        <f ca="1">'Output-FR (show)'!R18/'Output-FR (show)'!R23</f>
        <v>11.944288575222451</v>
      </c>
      <c r="S67" s="2175">
        <f ca="1">'Output-FR (show)'!S18/'Output-FR (show)'!S23</f>
        <v>16.310077405225197</v>
      </c>
      <c r="T67" s="2175">
        <f ca="1">'Output-FR (show)'!T18/'Output-FR (show)'!T23</f>
        <v>22.643224434097757</v>
      </c>
      <c r="U67" s="2175">
        <f ca="1">'Output-FR (show)'!U18/'Output-FR (show)'!U23</f>
        <v>33.585398324663963</v>
      </c>
      <c r="V67" s="2175">
        <f ca="1">'Output-FR (show)'!V18/'Output-FR (show)'!V23</f>
        <v>49.598472566453069</v>
      </c>
      <c r="W67" s="2175">
        <f ca="1">'Output-FR (show)'!W18/'Output-FR (show)'!W23</f>
        <v>72.659011837166204</v>
      </c>
      <c r="X67" s="2175">
        <f ca="1">'Output-FR (show)'!X18/'Output-FR (show)'!X23</f>
        <v>78.799281545296296</v>
      </c>
      <c r="Y67" s="2175">
        <f ca="1">'Output-FR (show)'!Y18/'Output-FR (show)'!Y23</f>
        <v>79.378127010118874</v>
      </c>
      <c r="Z67" s="2175">
        <f ca="1">'Output-FR (show)'!Z18/'Output-FR (show)'!Z23</f>
        <v>80.174220006473433</v>
      </c>
      <c r="AA67" s="2175"/>
      <c r="AB67" s="2180"/>
      <c r="AC67" s="2180"/>
      <c r="AD67" s="2180"/>
      <c r="AE67" s="2180"/>
      <c r="AF67" s="2180"/>
      <c r="AG67" s="2180"/>
      <c r="AH67" s="2180"/>
      <c r="AI67" s="2180"/>
      <c r="AJ67" s="2180"/>
      <c r="AK67" s="2180"/>
      <c r="AL67" s="2180"/>
      <c r="AM67" s="2180"/>
      <c r="AN67" s="2180"/>
      <c r="AO67" s="2180"/>
      <c r="AP67" s="2180"/>
      <c r="AQ67" s="2180"/>
      <c r="AR67" s="2180"/>
      <c r="AS67" s="2180"/>
      <c r="AT67" s="2180"/>
      <c r="AU67" s="2180"/>
      <c r="AV67" s="2180"/>
      <c r="AW67" s="2180"/>
      <c r="AX67" s="2180"/>
      <c r="AY67" s="2180"/>
      <c r="AZ67" s="2180"/>
      <c r="BA67" s="2180"/>
    </row>
    <row r="68" spans="1:74" x14ac:dyDescent="0.25">
      <c r="B68" s="2214" t="s">
        <v>1903</v>
      </c>
      <c r="E68" s="2188"/>
      <c r="F68" s="2188"/>
      <c r="G68" s="2188"/>
      <c r="H68" s="2188"/>
      <c r="I68" s="2188"/>
      <c r="J68" s="2175">
        <f>'Output-FR (show)'!J12/'Output-FR (show)'!J139</f>
        <v>30.671972637637722</v>
      </c>
      <c r="K68" s="2175">
        <f>'Output-FR (show)'!K12/'Output-FR (show)'!K139</f>
        <v>42.641667664868528</v>
      </c>
      <c r="L68" s="2175">
        <f>'Output-FR (show)'!L12/'Output-FR (show)'!L139</f>
        <v>32.768835061632018</v>
      </c>
      <c r="M68" s="2175">
        <f>'Output-FR (show)'!M12/'Output-FR (show)'!M139</f>
        <v>26.664852865549161</v>
      </c>
      <c r="N68" s="2175">
        <f>'Output-FR (show)'!N12/'Output-FR (show)'!N139</f>
        <v>18.29472026880245</v>
      </c>
      <c r="O68" s="2175">
        <f>'Output-FR (show)'!O12/'Output-FR (show)'!O139</f>
        <v>32.417176185197171</v>
      </c>
      <c r="P68" s="2176">
        <f>'Output-FR (show)'!P12/'Output-FR (show)'!P139</f>
        <v>194.63746680737671</v>
      </c>
      <c r="Q68" s="2175">
        <f ca="1">'Output-FR (show)'!Q12/'Output-FR (show)'!Q139</f>
        <v>29.03661383488333</v>
      </c>
      <c r="R68" s="2175">
        <f ca="1">'Output-FR (show)'!R12/'Output-FR (show)'!R139</f>
        <v>17.793666415061359</v>
      </c>
      <c r="S68" s="2175">
        <f ca="1">'Output-FR (show)'!S12/'Output-FR (show)'!S139</f>
        <v>22.086057319988345</v>
      </c>
      <c r="T68" s="2175">
        <f ca="1">'Output-FR (show)'!T12/'Output-FR (show)'!T139</f>
        <v>27.678143285591783</v>
      </c>
      <c r="U68" s="2175">
        <f ca="1">'Output-FR (show)'!U12/'Output-FR (show)'!U139</f>
        <v>40.076981251282888</v>
      </c>
      <c r="V68" s="2175">
        <f ca="1">'Output-FR (show)'!V12/'Output-FR (show)'!V139</f>
        <v>59.312885353208443</v>
      </c>
      <c r="W68" s="2175">
        <f ca="1">'Output-FR (show)'!W12/'Output-FR (show)'!W139</f>
        <v>86.873087453693444</v>
      </c>
      <c r="X68" s="2175">
        <f ca="1">'Output-FR (show)'!X12/'Output-FR (show)'!X139</f>
        <v>94.678596710127167</v>
      </c>
      <c r="Y68" s="2175">
        <f ca="1">'Output-FR (show)'!Y12/'Output-FR (show)'!Y139</f>
        <v>95.794654548728033</v>
      </c>
      <c r="Z68" s="2175">
        <f ca="1">'Output-FR (show)'!Z12/'Output-FR (show)'!Z139</f>
        <v>97.132489907670276</v>
      </c>
      <c r="AA68" s="2175"/>
      <c r="AB68" s="2180"/>
      <c r="AC68" s="2180"/>
      <c r="AD68" s="2180"/>
      <c r="AE68" s="2180"/>
      <c r="AF68" s="2180"/>
      <c r="AG68" s="2180"/>
      <c r="AH68" s="2180"/>
      <c r="AI68" s="2180"/>
      <c r="AJ68" s="2180"/>
      <c r="AK68" s="2180"/>
      <c r="AL68" s="2180"/>
      <c r="AM68" s="2180"/>
      <c r="AN68" s="2180"/>
      <c r="AO68" s="2180"/>
      <c r="AP68" s="2180"/>
      <c r="AQ68" s="2180"/>
      <c r="AR68" s="2180"/>
      <c r="AS68" s="2180"/>
      <c r="AT68" s="2180"/>
      <c r="AU68" s="2180"/>
      <c r="AV68" s="2180"/>
      <c r="AW68" s="2180"/>
      <c r="AX68" s="2180"/>
      <c r="AY68" s="2180"/>
      <c r="AZ68" s="2180"/>
      <c r="BA68" s="2180"/>
    </row>
    <row r="69" spans="1:74" x14ac:dyDescent="0.25">
      <c r="B69" s="2214" t="s">
        <v>1904</v>
      </c>
      <c r="E69" s="2188"/>
      <c r="F69" s="2188"/>
      <c r="G69" s="2188"/>
      <c r="H69" s="2188"/>
      <c r="I69" s="2188"/>
      <c r="J69" s="2175">
        <f>('Output-FR (show)'!J12-'LT. Asset'!J9)/'Output-FR (show)'!J139</f>
        <v>-4.6274594468631909</v>
      </c>
      <c r="K69" s="2175">
        <f>('Output-FR (show)'!K12-'LT. Asset'!K9)/'Output-FR (show)'!K139</f>
        <v>18.968841748823944</v>
      </c>
      <c r="L69" s="2175">
        <f>('Output-FR (show)'!L12-'LT. Asset'!L9)/'Output-FR (show)'!L139</f>
        <v>27.2858869460071</v>
      </c>
      <c r="M69" s="2175">
        <f>('Output-FR (show)'!M12-'LT. Asset'!M9)/'Output-FR (show)'!M139</f>
        <v>23.119093862528633</v>
      </c>
      <c r="N69" s="2175">
        <f>('Output-FR (show)'!N12-'LT. Asset'!N9)/'Output-FR (show)'!N139</f>
        <v>0.14574904140865155</v>
      </c>
      <c r="O69" s="2175">
        <f>('Output-FR (show)'!O12-'LT. Asset'!O9)/'Output-FR (show)'!O139</f>
        <v>24.521898038924697</v>
      </c>
      <c r="P69" s="2176">
        <f>('Output-FR (show)'!P12-'LT. Asset'!P9)/'Output-FR (show)'!P139</f>
        <v>173.42094447180514</v>
      </c>
      <c r="Q69" s="2175">
        <f ca="1">('Output-FR (show)'!Q12-'LT. Asset'!Q9)/'Output-FR (show)'!Q139</f>
        <v>-5.8810554017503174</v>
      </c>
      <c r="R69" s="2175">
        <f ca="1">('Output-FR (show)'!R12-'LT. Asset'!R9)/'Output-FR (show)'!R139</f>
        <v>2.2660912672721731</v>
      </c>
      <c r="S69" s="2175">
        <f ca="1">('Output-FR (show)'!S12-'LT. Asset'!S9)/'Output-FR (show)'!S139</f>
        <v>18.824041838943305</v>
      </c>
      <c r="T69" s="2175">
        <f ca="1">('Output-FR (show)'!T12-'LT. Asset'!T9)/'Output-FR (show)'!T139</f>
        <v>23.149498398772234</v>
      </c>
      <c r="U69" s="2175">
        <f ca="1">('Output-FR (show)'!U12-'LT. Asset'!U9)/'Output-FR (show)'!U139</f>
        <v>34.031609552843371</v>
      </c>
      <c r="V69" s="2175">
        <f ca="1">('Output-FR (show)'!V12-'LT. Asset'!V9)/'Output-FR (show)'!V139</f>
        <v>50.385160291246883</v>
      </c>
      <c r="W69" s="2175">
        <f ca="1">('Output-FR (show)'!W12-'LT. Asset'!W9)/'Output-FR (show)'!W139</f>
        <v>73.794465323003536</v>
      </c>
      <c r="X69" s="2175">
        <f ca="1">('Output-FR (show)'!X12-'LT. Asset'!X9)/'Output-FR (show)'!X139</f>
        <v>82.858704478332726</v>
      </c>
      <c r="Y69" s="2175">
        <f ca="1">('Output-FR (show)'!Y12-'LT. Asset'!Y9)/'Output-FR (show)'!Y139</f>
        <v>83.887935497210194</v>
      </c>
      <c r="Z69" s="2175">
        <f ca="1">('Output-FR (show)'!Z12-'LT. Asset'!Z9)/'Output-FR (show)'!Z139</f>
        <v>85.106356906699261</v>
      </c>
      <c r="AA69" s="2175"/>
      <c r="AB69" s="2180"/>
      <c r="AC69" s="2180"/>
      <c r="AD69" s="2180"/>
      <c r="AE69" s="2180"/>
      <c r="AF69" s="2180"/>
      <c r="AG69" s="2180"/>
      <c r="AH69" s="2180"/>
      <c r="AI69" s="2180"/>
      <c r="AJ69" s="2180"/>
      <c r="AK69" s="2180"/>
      <c r="AL69" s="2180"/>
      <c r="AM69" s="2180"/>
      <c r="AN69" s="2180"/>
      <c r="AO69" s="2180"/>
      <c r="AP69" s="2180"/>
      <c r="AQ69" s="2180"/>
      <c r="AR69" s="2180"/>
      <c r="AS69" s="2180"/>
      <c r="AT69" s="2180"/>
      <c r="AU69" s="2180"/>
      <c r="AV69" s="2180"/>
      <c r="AW69" s="2180"/>
      <c r="AX69" s="2180"/>
      <c r="AY69" s="2180"/>
      <c r="AZ69" s="2180"/>
      <c r="BA69" s="2180"/>
    </row>
    <row r="70" spans="1:74" x14ac:dyDescent="0.25">
      <c r="B70" s="2214" t="s">
        <v>1905</v>
      </c>
      <c r="J70" s="2171">
        <f>'Output-FR (show)'!J155/SUM('Output-FR (show)'!J82,'Output-FR (show)'!J92)</f>
        <v>3.020601190912156</v>
      </c>
      <c r="K70" s="2171">
        <f>'Output-FR (show)'!K155/SUM('Output-FR (show)'!K82,'Output-FR (show)'!K92)</f>
        <v>1.5321731927141355</v>
      </c>
      <c r="L70" s="2171">
        <f>'Output-FR (show)'!L155/SUM('Output-FR (show)'!L82,'Output-FR (show)'!L92)</f>
        <v>9.0526356489494447E-2</v>
      </c>
      <c r="M70" s="2171">
        <f>'Output-FR (show)'!M155/SUM('Output-FR (show)'!M82,'Output-FR (show)'!M92)</f>
        <v>1.1237131168011469</v>
      </c>
      <c r="N70" s="2171">
        <f>'Output-FR (show)'!N155/SUM('Output-FR (show)'!N82,'Output-FR (show)'!N92)</f>
        <v>-4.2844884824314805E-3</v>
      </c>
      <c r="O70" s="2171">
        <f>'Output-FR (show)'!O155/SUM('Output-FR (show)'!O82,'Output-FR (show)'!O92)</f>
        <v>2.5707159704249771</v>
      </c>
      <c r="P70" s="2172">
        <f>'Output-FR (show)'!P155/SUM('Output-FR (show)'!P82,'Output-FR (show)'!P92)</f>
        <v>0.28576734908566137</v>
      </c>
      <c r="Q70" s="2171">
        <f ca="1">'Output-FR (show)'!Q155/SUM('Output-FR (show)'!Q82,'Output-FR (show)'!Q92)</f>
        <v>1.1882150439258305</v>
      </c>
      <c r="R70" s="2171">
        <f ca="1">'Output-FR (show)'!R155/SUM('Output-FR (show)'!R82,'Output-FR (show)'!R92)</f>
        <v>0.67978343201092195</v>
      </c>
      <c r="S70" s="2171">
        <f ca="1">'Output-FR (show)'!S155/SUM('Output-FR (show)'!S82,'Output-FR (show)'!S92)</f>
        <v>0.78957492250456363</v>
      </c>
      <c r="T70" s="2171">
        <f ca="1">'Output-FR (show)'!T155/SUM('Output-FR (show)'!T82,'Output-FR (show)'!T92)</f>
        <v>1.270697028716512</v>
      </c>
      <c r="U70" s="2171">
        <f ca="1">'Output-FR (show)'!U155/SUM('Output-FR (show)'!U82,'Output-FR (show)'!U92)</f>
        <v>1.358201791100442</v>
      </c>
      <c r="V70" s="2171">
        <f ca="1">'Output-FR (show)'!V155/SUM('Output-FR (show)'!V82,'Output-FR (show)'!V92)</f>
        <v>2.814265756723012</v>
      </c>
      <c r="W70" s="2171">
        <f ca="1">'Output-FR (show)'!W155/SUM('Output-FR (show)'!W82,'Output-FR (show)'!W92)</f>
        <v>2.4432042336779762</v>
      </c>
      <c r="X70" s="2171">
        <f ca="1">'Output-FR (show)'!X155/SUM('Output-FR (show)'!X82,'Output-FR (show)'!X92)</f>
        <v>2.2663867448586617</v>
      </c>
      <c r="Y70" s="2171">
        <f ca="1">'Output-FR (show)'!Y155/SUM('Output-FR (show)'!Y82,'Output-FR (show)'!Y92)</f>
        <v>3.2812469010594567</v>
      </c>
      <c r="Z70" s="2171">
        <f ca="1">'Output-FR (show)'!Z155/SUM('Output-FR (show)'!Z82,'Output-FR (show)'!Z92)</f>
        <v>2.8787341672283926</v>
      </c>
      <c r="AA70" s="2171"/>
    </row>
    <row r="71" spans="1:74" s="2204" customFormat="1" x14ac:dyDescent="0.25">
      <c r="A71" s="2203"/>
      <c r="B71" s="2214" t="s">
        <v>1906</v>
      </c>
      <c r="C71" s="2203"/>
      <c r="D71" s="2203"/>
      <c r="J71" s="2218">
        <f>'Output-FR (show)'!J155/SUM('Output-FR (show)'!J82,'Output-FR (show)'!J92,-'Output-FR (show)'!J59)</f>
        <v>-2.1116784541092222</v>
      </c>
      <c r="K71" s="2218">
        <f>'Output-FR (show)'!K155/SUM('Output-FR (show)'!K82,'Output-FR (show)'!K92,-'Output-FR (show)'!K59)</f>
        <v>-1.8821504763609469</v>
      </c>
      <c r="L71" s="2218">
        <f>'Output-FR (show)'!L155/SUM('Output-FR (show)'!L82,'Output-FR (show)'!L92,-'Output-FR (show)'!L59)</f>
        <v>0.17858866646905405</v>
      </c>
      <c r="M71" s="2218">
        <f>'Output-FR (show)'!M155/SUM('Output-FR (show)'!M82,'Output-FR (show)'!M92,-'Output-FR (show)'!M59)</f>
        <v>31.448856836573853</v>
      </c>
      <c r="N71" s="2218">
        <f>'Output-FR (show)'!N155/SUM('Output-FR (show)'!N82,'Output-FR (show)'!N92,-'Output-FR (show)'!N59)</f>
        <v>-9.9938186852196118E-3</v>
      </c>
      <c r="O71" s="2218">
        <f>'Output-FR (show)'!O155/SUM('Output-FR (show)'!O82,'Output-FR (show)'!O92,-'Output-FR (show)'!O59)</f>
        <v>-8.2177025943917545</v>
      </c>
      <c r="P71" s="2235">
        <f>'Output-FR (show)'!P155/SUM('Output-FR (show)'!P82,'Output-FR (show)'!P92,-'Output-FR (show)'!P59)</f>
        <v>0.9703301685924236</v>
      </c>
      <c r="Q71" s="2218">
        <f ca="1">'Output-FR (show)'!Q155/SUM('Output-FR (show)'!Q82,'Output-FR (show)'!Q92,-'Output-FR (show)'!Q59)</f>
        <v>3.0987653247011284</v>
      </c>
      <c r="R71" s="2218">
        <f ca="1">'Output-FR (show)'!R155/SUM('Output-FR (show)'!R82,'Output-FR (show)'!R92,-'Output-FR (show)'!R59)</f>
        <v>1.2515713609375407</v>
      </c>
      <c r="S71" s="2218">
        <f ca="1">'Output-FR (show)'!S155/SUM('Output-FR (show)'!S82,'Output-FR (show)'!S92,-'Output-FR (show)'!S59)</f>
        <v>2.0893613476437136</v>
      </c>
      <c r="T71" s="2218">
        <f ca="1">'Output-FR (show)'!T155/SUM('Output-FR (show)'!T82,'Output-FR (show)'!T92,-'Output-FR (show)'!T59)</f>
        <v>11.029744386024328</v>
      </c>
      <c r="U71" s="2218">
        <f ca="1">'Output-FR (show)'!U155/SUM('Output-FR (show)'!U82,'Output-FR (show)'!U92,-'Output-FR (show)'!U59)</f>
        <v>-6.562525955942025</v>
      </c>
      <c r="V71" s="2218">
        <f ca="1">'Output-FR (show)'!V155/SUM('Output-FR (show)'!V82,'Output-FR (show)'!V92,-'Output-FR (show)'!V59)</f>
        <v>-3.2033967436499342</v>
      </c>
      <c r="W71" s="2218">
        <f ca="1">'Output-FR (show)'!W155/SUM('Output-FR (show)'!W82,'Output-FR (show)'!W92,-'Output-FR (show)'!W59)</f>
        <v>-1.6791170444651033</v>
      </c>
      <c r="X71" s="2218">
        <f ca="1">'Output-FR (show)'!X155/SUM('Output-FR (show)'!X82,'Output-FR (show)'!X92,-'Output-FR (show)'!X59)</f>
        <v>-1.4394373038658979</v>
      </c>
      <c r="Y71" s="2218">
        <f ca="1">'Output-FR (show)'!Y155/SUM('Output-FR (show)'!Y82,'Output-FR (show)'!Y92,-'Output-FR (show)'!Y59)</f>
        <v>-1.7872201144049407</v>
      </c>
      <c r="Z71" s="2218">
        <f ca="1">'Output-FR (show)'!Z155/SUM('Output-FR (show)'!Z82,'Output-FR (show)'!Z92,-'Output-FR (show)'!Z59)</f>
        <v>-1.4127458153319337</v>
      </c>
    </row>
    <row r="72" spans="1:74" s="2204" customFormat="1" x14ac:dyDescent="0.25">
      <c r="A72" s="2203"/>
      <c r="B72" s="2214" t="s">
        <v>1907</v>
      </c>
      <c r="C72" s="2203"/>
      <c r="D72" s="2203"/>
      <c r="J72" s="2219">
        <f>'Output-FR (show)'!J155/SUM('Output-FR (show)'!J82,'Output-FR (show)'!J92,-'Output-FR (show)'!J60)</f>
        <v>3.020601190912156</v>
      </c>
      <c r="K72" s="2219">
        <f>'Output-FR (show)'!K155/SUM('Output-FR (show)'!K82,'Output-FR (show)'!K92,-'Output-FR (show)'!K60)</f>
        <v>1.5321731927141355</v>
      </c>
      <c r="L72" s="2219">
        <f>'Output-FR (show)'!L155/SUM('Output-FR (show)'!L82,'Output-FR (show)'!L92,-'Output-FR (show)'!L60)</f>
        <v>9.0526356489494447E-2</v>
      </c>
      <c r="M72" s="2219">
        <f>'Output-FR (show)'!M155/SUM('Output-FR (show)'!M82,'Output-FR (show)'!M92,-'Output-FR (show)'!M60)</f>
        <v>1.1237131168011469</v>
      </c>
      <c r="N72" s="2219">
        <f>'Output-FR (show)'!N155/SUM('Output-FR (show)'!N82,'Output-FR (show)'!N92,-'Output-FR (show)'!N60)</f>
        <v>-4.2844884824314805E-3</v>
      </c>
      <c r="O72" s="2219">
        <f>'Output-FR (show)'!O155/SUM('Output-FR (show)'!O82,'Output-FR (show)'!O92,-'Output-FR (show)'!O60)</f>
        <v>2.5707159704249771</v>
      </c>
      <c r="P72" s="2220">
        <f>'Output-FR (show)'!P155/SUM('Output-FR (show)'!P82,'Output-FR (show)'!P92,-'Output-FR (show)'!P60)</f>
        <v>0.28576734908566137</v>
      </c>
      <c r="Q72" s="2219">
        <f ca="1">'Output-FR (show)'!Q155/SUM('Output-FR (show)'!Q82,'Output-FR (show)'!Q92,-'Output-FR (show)'!Q60)</f>
        <v>1.2858406113387562</v>
      </c>
      <c r="R72" s="2219">
        <f ca="1">'Output-FR (show)'!R155/SUM('Output-FR (show)'!R82,'Output-FR (show)'!R92,-'Output-FR (show)'!R60)</f>
        <v>0.69626782804104759</v>
      </c>
      <c r="S72" s="2219">
        <f ca="1">'Output-FR (show)'!S155/SUM('Output-FR (show)'!S82,'Output-FR (show)'!S92,-'Output-FR (show)'!S60)</f>
        <v>0.79475434923554666</v>
      </c>
      <c r="T72" s="2219">
        <f ca="1">'Output-FR (show)'!T155/SUM('Output-FR (show)'!T82,'Output-FR (show)'!T92,-'Output-FR (show)'!T60)</f>
        <v>1.2978038693866598</v>
      </c>
      <c r="U72" s="2219">
        <f ca="1">'Output-FR (show)'!U155/SUM('Output-FR (show)'!U82,'Output-FR (show)'!U92,-'Output-FR (show)'!U60)</f>
        <v>1.3848339601572803</v>
      </c>
      <c r="V72" s="2219">
        <f ca="1">'Output-FR (show)'!V155/SUM('Output-FR (show)'!V82,'Output-FR (show)'!V92,-'Output-FR (show)'!V60)</f>
        <v>2.8208710400959167</v>
      </c>
      <c r="W72" s="2219">
        <f ca="1">'Output-FR (show)'!W155/SUM('Output-FR (show)'!W82,'Output-FR (show)'!W92,-'Output-FR (show)'!W60)</f>
        <v>2.5413768616233998</v>
      </c>
      <c r="X72" s="2219">
        <f ca="1">'Output-FR (show)'!X155/SUM('Output-FR (show)'!X82,'Output-FR (show)'!X92,-'Output-FR (show)'!X60)</f>
        <v>2.4020372806980341</v>
      </c>
      <c r="Y72" s="2219">
        <f ca="1">'Output-FR (show)'!Y155/SUM('Output-FR (show)'!Y82,'Output-FR (show)'!Y92,-'Output-FR (show)'!Y60)</f>
        <v>3.4095762478763869</v>
      </c>
      <c r="Z72" s="2219">
        <f ca="1">'Output-FR (show)'!Z155/SUM('Output-FR (show)'!Z82,'Output-FR (show)'!Z92,-'Output-FR (show)'!Z60)</f>
        <v>3.0451100397637236</v>
      </c>
      <c r="AA72" s="2205"/>
    </row>
    <row r="73" spans="1:74" x14ac:dyDescent="0.25">
      <c r="B73" s="2214" t="s">
        <v>1908</v>
      </c>
      <c r="J73" s="2219">
        <f>'Output-FR (show)'!J155/AVERAGE('Output-FR (show)'!I99:J99)</f>
        <v>0.41883645563866301</v>
      </c>
      <c r="K73" s="2219">
        <f>'Output-FR (show)'!K155/AVERAGE('Output-FR (show)'!J99:K99)</f>
        <v>0.1948670793601987</v>
      </c>
      <c r="L73" s="2219">
        <f>'Output-FR (show)'!L155/AVERAGE('Output-FR (show)'!K99:L99)</f>
        <v>2.5817325536695874E-2</v>
      </c>
      <c r="M73" s="2219">
        <f>'Output-FR (show)'!M155/AVERAGE('Output-FR (show)'!L99:M99)</f>
        <v>0.17190873602696954</v>
      </c>
      <c r="N73" s="2219">
        <f>'Output-FR (show)'!N155/AVERAGE('Output-FR (show)'!M99:N99)</f>
        <v>-1.6824745776904217E-3</v>
      </c>
      <c r="O73" s="2219">
        <f>'Output-FR (show)'!O155/AVERAGE('Output-FR (show)'!N99:O99)</f>
        <v>0.37456398979396693</v>
      </c>
      <c r="P73" s="2220">
        <f>'Output-FR (show)'!P155/AVERAGE('Output-FR (show)'!O99:P99)</f>
        <v>6.3952655688555973E-2</v>
      </c>
      <c r="Q73" s="2219">
        <f ca="1">'Output-FR (show)'!Q155/AVERAGE('Output-FR (show)'!P99:Q99)</f>
        <v>0.59944913480913153</v>
      </c>
      <c r="R73" s="2219">
        <f ca="1">'Output-FR (show)'!R155/AVERAGE('Output-FR (show)'!Q99:R99)</f>
        <v>0.31739361324261406</v>
      </c>
      <c r="S73" s="2219">
        <f ca="1">'Output-FR (show)'!S155/AVERAGE('Output-FR (show)'!R99:S99)</f>
        <v>0.29872992607264987</v>
      </c>
      <c r="T73" s="2219">
        <f ca="1">'Output-FR (show)'!T155/AVERAGE('Output-FR (show)'!S99:T99)</f>
        <v>0.36674633410694391</v>
      </c>
      <c r="U73" s="2219">
        <f ca="1">'Output-FR (show)'!U155/AVERAGE('Output-FR (show)'!T99:U99)</f>
        <v>0.34724215473911707</v>
      </c>
      <c r="V73" s="2219">
        <f ca="1">'Output-FR (show)'!V155/AVERAGE('Output-FR (show)'!U99:V99)</f>
        <v>0.5496002341235714</v>
      </c>
      <c r="W73" s="2219">
        <f ca="1">'Output-FR (show)'!W155/AVERAGE('Output-FR (show)'!V99:W99)</f>
        <v>0.46533166173556118</v>
      </c>
      <c r="X73" s="2219">
        <f ca="1">'Output-FR (show)'!X155/AVERAGE('Output-FR (show)'!W99:X99)</f>
        <v>0.49092800104392464</v>
      </c>
      <c r="Y73" s="2219">
        <f ca="1">'Output-FR (show)'!Y155/AVERAGE('Output-FR (show)'!X99:Y99)</f>
        <v>0.70339195035579338</v>
      </c>
      <c r="Z73" s="2219">
        <f ca="1">'Output-FR (show)'!Z155/AVERAGE('Output-FR (show)'!Y99:Z99)</f>
        <v>0.65727597819830685</v>
      </c>
      <c r="AA73" s="2205"/>
      <c r="AB73" s="2205"/>
    </row>
    <row r="74" spans="1:74" x14ac:dyDescent="0.25">
      <c r="B74" s="2213"/>
      <c r="K74" s="2189"/>
      <c r="L74" s="2189"/>
      <c r="M74" s="2189"/>
      <c r="N74" s="2189"/>
      <c r="O74" s="2189"/>
      <c r="P74" s="2177"/>
      <c r="BJ74" s="196"/>
      <c r="BK74" s="196"/>
      <c r="BL74" s="196"/>
      <c r="BM74" s="196"/>
      <c r="BN74" s="196"/>
      <c r="BO74" s="196"/>
      <c r="BP74" s="196"/>
      <c r="BQ74" s="196"/>
      <c r="BR74" s="196"/>
      <c r="BS74" s="196"/>
      <c r="BT74" s="196"/>
      <c r="BU74" s="196"/>
      <c r="BV74" s="196"/>
    </row>
    <row r="75" spans="1:74" ht="13.8" thickBot="1" x14ac:dyDescent="0.3">
      <c r="B75" s="2137" t="s">
        <v>1909</v>
      </c>
      <c r="C75" s="2138"/>
      <c r="D75" s="2138"/>
      <c r="E75" s="2178"/>
      <c r="F75" s="2178"/>
      <c r="G75" s="2178"/>
      <c r="H75" s="2178"/>
      <c r="I75" s="2178"/>
      <c r="J75" s="2178"/>
      <c r="K75" s="2178"/>
      <c r="L75" s="2178"/>
      <c r="M75" s="2178"/>
      <c r="N75" s="2178"/>
      <c r="O75" s="2178"/>
      <c r="P75" s="2179"/>
      <c r="Q75" s="2178"/>
      <c r="R75" s="2178"/>
      <c r="S75" s="2178"/>
      <c r="T75" s="2178"/>
      <c r="U75" s="2178"/>
      <c r="V75" s="2178"/>
      <c r="W75" s="2178"/>
      <c r="X75" s="2178"/>
      <c r="Y75" s="2178"/>
      <c r="Z75" s="2178"/>
      <c r="AA75" s="2178"/>
      <c r="AB75" s="2178"/>
      <c r="AC75" s="2178"/>
      <c r="AD75" s="2178"/>
      <c r="AE75" s="2178"/>
      <c r="AF75" s="2178"/>
      <c r="AG75" s="2178"/>
      <c r="AH75" s="2178"/>
      <c r="AI75" s="2178"/>
      <c r="AJ75" s="2178"/>
      <c r="AK75" s="2178"/>
      <c r="AL75" s="2178"/>
      <c r="AM75" s="2178"/>
      <c r="AN75" s="2178"/>
      <c r="AO75" s="2178"/>
      <c r="AP75" s="2178"/>
      <c r="AQ75" s="2178"/>
      <c r="AR75" s="2178"/>
      <c r="AS75" s="2178"/>
      <c r="AT75" s="2178"/>
      <c r="AU75" s="2178"/>
      <c r="AV75" s="2178"/>
      <c r="AW75" s="2178"/>
      <c r="AX75" s="2178"/>
      <c r="AY75" s="2178"/>
      <c r="AZ75" s="2178"/>
      <c r="BA75" s="2178"/>
      <c r="BJ75" s="196"/>
      <c r="BK75" s="196"/>
      <c r="BL75" s="196"/>
      <c r="BM75" s="196"/>
      <c r="BN75" s="196"/>
      <c r="BO75" s="196"/>
      <c r="BP75" s="196"/>
      <c r="BQ75" s="196"/>
      <c r="BR75" s="196"/>
      <c r="BS75" s="196"/>
      <c r="BT75" s="196"/>
      <c r="BU75" s="196"/>
      <c r="BV75" s="196"/>
    </row>
    <row r="76" spans="1:74" ht="13.8" x14ac:dyDescent="0.25">
      <c r="B76" s="800" t="s">
        <v>1910</v>
      </c>
      <c r="E76" s="2190"/>
      <c r="F76" s="2190"/>
      <c r="G76" s="2190"/>
      <c r="H76" s="2190"/>
      <c r="I76" s="2190"/>
      <c r="J76" s="2190"/>
      <c r="K76" s="2190"/>
      <c r="L76" s="2190"/>
      <c r="P76" s="2177"/>
      <c r="BJ76" s="196"/>
      <c r="BK76" s="196"/>
      <c r="BL76" s="196"/>
      <c r="BM76" s="196"/>
      <c r="BN76" s="196"/>
      <c r="BO76" s="196"/>
      <c r="BP76" s="196"/>
      <c r="BQ76" s="196"/>
      <c r="BR76" s="196"/>
      <c r="BS76" s="196"/>
      <c r="BT76" s="196"/>
      <c r="BU76" s="196"/>
      <c r="BV76" s="196"/>
    </row>
    <row r="77" spans="1:74" ht="13.8" x14ac:dyDescent="0.25">
      <c r="B77" s="2191" t="s">
        <v>1911</v>
      </c>
      <c r="E77" s="2192"/>
      <c r="F77" s="2192"/>
      <c r="G77" s="2192"/>
      <c r="H77" s="2192"/>
      <c r="I77" s="2192"/>
      <c r="J77" s="2192"/>
      <c r="K77" s="2192"/>
      <c r="L77" s="2224">
        <v>43610</v>
      </c>
      <c r="M77" s="2225">
        <v>33250</v>
      </c>
      <c r="N77" s="2225">
        <v>46770</v>
      </c>
      <c r="O77" s="2225">
        <v>43080</v>
      </c>
      <c r="P77" s="2226">
        <v>51850</v>
      </c>
      <c r="Q77" s="2167"/>
      <c r="R77" s="2167"/>
      <c r="S77" s="2167"/>
      <c r="T77" s="2167"/>
      <c r="U77" s="2167"/>
      <c r="V77" s="2167"/>
      <c r="W77" s="2167"/>
      <c r="X77" s="2167"/>
      <c r="Y77" s="2167"/>
      <c r="Z77" s="2167"/>
      <c r="AA77" s="2167"/>
      <c r="AB77" s="2167"/>
      <c r="AC77" s="2167"/>
      <c r="AD77" s="2167"/>
      <c r="AE77" s="2167"/>
      <c r="AF77" s="2167"/>
      <c r="AG77" s="2167"/>
      <c r="AH77" s="2167"/>
      <c r="AI77" s="2167"/>
      <c r="AJ77" s="2167"/>
      <c r="AK77" s="2167"/>
      <c r="AL77" s="2167"/>
      <c r="AM77" s="2167"/>
      <c r="AN77" s="2167"/>
      <c r="AO77" s="2167"/>
      <c r="AP77" s="2167"/>
      <c r="AQ77" s="2167"/>
      <c r="AR77" s="2167"/>
      <c r="AS77" s="2167"/>
      <c r="AT77" s="2167"/>
      <c r="AU77" s="2167"/>
      <c r="AV77" s="2167"/>
      <c r="AW77" s="2167"/>
      <c r="AX77" s="2167"/>
      <c r="AY77" s="2167"/>
      <c r="AZ77" s="2167"/>
      <c r="BA77" s="2167"/>
    </row>
    <row r="78" spans="1:74" ht="13.8" x14ac:dyDescent="0.25">
      <c r="B78" s="2193" t="s">
        <v>1912</v>
      </c>
      <c r="C78" s="2194"/>
      <c r="D78" s="2194"/>
      <c r="E78" s="2195"/>
      <c r="F78" s="2195"/>
      <c r="G78" s="2195"/>
      <c r="H78" s="2195"/>
      <c r="I78" s="2195"/>
      <c r="J78" s="2195"/>
      <c r="K78" s="2195"/>
      <c r="L78" s="2227">
        <f t="shared" ref="L78:P78" si="10">L22</f>
        <v>2717.7501462563705</v>
      </c>
      <c r="M78" s="2227">
        <f t="shared" si="10"/>
        <v>2676.3464694142676</v>
      </c>
      <c r="N78" s="2227">
        <f t="shared" si="10"/>
        <v>2389.513550805701</v>
      </c>
      <c r="O78" s="2227">
        <f t="shared" si="10"/>
        <v>2654.1707453813283</v>
      </c>
      <c r="P78" s="2228">
        <f t="shared" si="10"/>
        <v>2754.5180392465768</v>
      </c>
      <c r="Q78" s="2197"/>
      <c r="R78" s="2197"/>
      <c r="S78" s="2197"/>
      <c r="T78" s="2197"/>
      <c r="U78" s="2197"/>
      <c r="V78" s="2197"/>
      <c r="W78" s="2197"/>
      <c r="X78" s="2197"/>
      <c r="Y78" s="2197"/>
      <c r="Z78" s="2197"/>
      <c r="AA78" s="2197"/>
      <c r="AB78" s="2197"/>
      <c r="AC78" s="2197"/>
      <c r="AD78" s="2197"/>
      <c r="AE78" s="2197"/>
      <c r="AF78" s="2197"/>
      <c r="AG78" s="2197"/>
      <c r="AH78" s="2197"/>
      <c r="AI78" s="2197"/>
      <c r="AJ78" s="2197"/>
      <c r="AK78" s="2197"/>
      <c r="AL78" s="2197"/>
      <c r="AM78" s="2197"/>
      <c r="AN78" s="2197"/>
      <c r="AO78" s="2197"/>
      <c r="AP78" s="2197"/>
      <c r="AQ78" s="2197"/>
      <c r="AR78" s="2197"/>
      <c r="AS78" s="2197"/>
      <c r="AT78" s="2197"/>
      <c r="AU78" s="2197"/>
      <c r="AV78" s="2197"/>
      <c r="AW78" s="2197"/>
      <c r="AX78" s="2197"/>
      <c r="AY78" s="2197"/>
      <c r="AZ78" s="2197"/>
      <c r="BA78" s="2197"/>
    </row>
    <row r="79" spans="1:74" ht="13.8" x14ac:dyDescent="0.25">
      <c r="B79" s="800" t="s">
        <v>1913</v>
      </c>
      <c r="E79" s="2164"/>
      <c r="F79" s="2164"/>
      <c r="G79" s="2164"/>
      <c r="H79" s="2164"/>
      <c r="I79" s="2164"/>
      <c r="J79" s="2164"/>
      <c r="K79" s="2164"/>
      <c r="L79" s="2229">
        <f t="shared" ref="L79:P79" si="11">IFERROR(L77/L78,"")</f>
        <v>16.04636101669303</v>
      </c>
      <c r="M79" s="2229">
        <f t="shared" si="11"/>
        <v>12.423653058371375</v>
      </c>
      <c r="N79" s="2229">
        <f t="shared" si="11"/>
        <v>19.573021456283435</v>
      </c>
      <c r="O79" s="2229">
        <f t="shared" si="11"/>
        <v>16.231058259897534</v>
      </c>
      <c r="P79" s="2230">
        <f t="shared" si="11"/>
        <v>18.823619689991993</v>
      </c>
      <c r="Q79" s="2186"/>
      <c r="R79" s="2186"/>
      <c r="S79" s="2186"/>
      <c r="T79" s="2186"/>
      <c r="U79" s="2186"/>
      <c r="V79" s="2186"/>
      <c r="W79" s="2186"/>
      <c r="X79" s="2186"/>
      <c r="Y79" s="2186"/>
      <c r="Z79" s="2186"/>
      <c r="AA79" s="2186"/>
      <c r="AB79" s="2186"/>
      <c r="AC79" s="2186"/>
      <c r="AD79" s="2186"/>
      <c r="AE79" s="2186"/>
      <c r="AF79" s="2186"/>
      <c r="AG79" s="2186"/>
      <c r="AH79" s="2186"/>
      <c r="AI79" s="2186"/>
      <c r="AJ79" s="2186"/>
      <c r="AK79" s="2186"/>
      <c r="AL79" s="2186"/>
      <c r="AM79" s="2186"/>
      <c r="AN79" s="2186"/>
      <c r="AO79" s="2186"/>
      <c r="AP79" s="2186"/>
      <c r="AQ79" s="2186"/>
      <c r="AR79" s="2186"/>
      <c r="AS79" s="2186"/>
      <c r="AT79" s="2186"/>
      <c r="AU79" s="2186"/>
      <c r="AV79" s="2186"/>
      <c r="AW79" s="2186"/>
      <c r="AX79" s="2186"/>
      <c r="AY79" s="2186"/>
      <c r="AZ79" s="2186"/>
      <c r="BA79" s="2186"/>
    </row>
    <row r="80" spans="1:74" ht="13.8" x14ac:dyDescent="0.25">
      <c r="B80" s="2216"/>
      <c r="P80" s="2177"/>
    </row>
    <row r="81" spans="1:53" ht="13.8" x14ac:dyDescent="0.25">
      <c r="B81" s="800" t="s">
        <v>1914</v>
      </c>
      <c r="P81" s="2177"/>
    </row>
    <row r="82" spans="1:53" ht="13.8" x14ac:dyDescent="0.25">
      <c r="B82" s="2191" t="s">
        <v>1911</v>
      </c>
      <c r="E82" s="2164"/>
      <c r="F82" s="2164"/>
      <c r="G82" s="2164"/>
      <c r="H82" s="2164"/>
      <c r="I82" s="2164"/>
      <c r="J82" s="2164"/>
      <c r="K82" s="2164"/>
      <c r="L82" s="2164">
        <f>L77</f>
        <v>43610</v>
      </c>
      <c r="M82" s="2164">
        <f t="shared" ref="M82:P82" si="12">M77</f>
        <v>33250</v>
      </c>
      <c r="N82" s="2164">
        <f t="shared" si="12"/>
        <v>46770</v>
      </c>
      <c r="O82" s="2164">
        <f t="shared" si="12"/>
        <v>43080</v>
      </c>
      <c r="P82" s="2198">
        <f t="shared" si="12"/>
        <v>51850</v>
      </c>
      <c r="Q82" s="2167"/>
      <c r="R82" s="2167"/>
      <c r="S82" s="2167"/>
      <c r="T82" s="2167"/>
      <c r="U82" s="2167"/>
      <c r="V82" s="2167"/>
      <c r="W82" s="2167"/>
      <c r="X82" s="2167"/>
      <c r="Y82" s="2167"/>
      <c r="Z82" s="2167"/>
      <c r="AA82" s="2167"/>
      <c r="AB82" s="2167"/>
      <c r="AC82" s="2167"/>
      <c r="AD82" s="2167"/>
      <c r="AE82" s="2167"/>
      <c r="AF82" s="2167"/>
      <c r="AG82" s="2167"/>
      <c r="AH82" s="2167"/>
      <c r="AI82" s="2167"/>
      <c r="AJ82" s="2167"/>
      <c r="AK82" s="2167"/>
      <c r="AL82" s="2167"/>
      <c r="AM82" s="2167"/>
      <c r="AN82" s="2167"/>
      <c r="AO82" s="2167"/>
      <c r="AP82" s="2167"/>
      <c r="AQ82" s="2167"/>
      <c r="AR82" s="2167"/>
      <c r="AS82" s="2167"/>
      <c r="AT82" s="2167"/>
      <c r="AU82" s="2167"/>
      <c r="AV82" s="2167"/>
      <c r="AW82" s="2167"/>
      <c r="AX82" s="2167"/>
      <c r="AY82" s="2167"/>
      <c r="AZ82" s="2167"/>
      <c r="BA82" s="2167"/>
    </row>
    <row r="83" spans="1:53" ht="13.8" x14ac:dyDescent="0.25">
      <c r="A83" s="2126" t="s">
        <v>1849</v>
      </c>
      <c r="B83" s="2193" t="s">
        <v>1867</v>
      </c>
      <c r="C83" s="2194"/>
      <c r="D83" s="2194"/>
      <c r="E83" s="2195"/>
      <c r="F83" s="2195"/>
      <c r="G83" s="2195"/>
      <c r="H83" s="2195"/>
      <c r="I83" s="2195"/>
      <c r="J83" s="2195"/>
      <c r="K83" s="2195"/>
      <c r="L83" s="2195">
        <f>L23</f>
        <v>15903.541561790655</v>
      </c>
      <c r="M83" s="2195">
        <f t="shared" ref="M83:Z83" si="13">M23</f>
        <v>17004.061447072741</v>
      </c>
      <c r="N83" s="2195">
        <f t="shared" si="13"/>
        <v>17803.124040713708</v>
      </c>
      <c r="O83" s="2195">
        <f t="shared" si="13"/>
        <v>18888.919081146403</v>
      </c>
      <c r="P83" s="2196">
        <f t="shared" si="13"/>
        <v>19716.777553686832</v>
      </c>
      <c r="Q83" s="2195">
        <f t="shared" ca="1" si="13"/>
        <v>22722.968633842298</v>
      </c>
      <c r="R83" s="2195">
        <f t="shared" ca="1" si="13"/>
        <v>25616.240080359246</v>
      </c>
      <c r="S83" s="2195">
        <f t="shared" ca="1" si="13"/>
        <v>30587.772168588937</v>
      </c>
      <c r="T83" s="2195">
        <f t="shared" ca="1" si="13"/>
        <v>34817.397853450631</v>
      </c>
      <c r="U83" s="2195">
        <f t="shared" ca="1" si="13"/>
        <v>40016.895538380697</v>
      </c>
      <c r="V83" s="2195">
        <f t="shared" ca="1" si="13"/>
        <v>45217.846599496173</v>
      </c>
      <c r="W83" s="2195">
        <f t="shared" ca="1" si="13"/>
        <v>50275.571606555728</v>
      </c>
      <c r="X83" s="2195">
        <f t="shared" ca="1" si="13"/>
        <v>55512.459685603746</v>
      </c>
      <c r="Y83" s="2195">
        <f t="shared" ca="1" si="13"/>
        <v>59755.487358372346</v>
      </c>
      <c r="Z83" s="2195">
        <f t="shared" ca="1" si="13"/>
        <v>64020.725524841095</v>
      </c>
      <c r="AA83" s="2195"/>
      <c r="AB83" s="2195"/>
      <c r="AC83" s="2195"/>
      <c r="AD83" s="2195"/>
      <c r="AE83" s="2195"/>
      <c r="AF83" s="2195"/>
      <c r="AG83" s="2195"/>
      <c r="AH83" s="2195"/>
      <c r="AI83" s="2195"/>
      <c r="AJ83" s="2195"/>
      <c r="AK83" s="2195"/>
      <c r="AL83" s="2195"/>
      <c r="AM83" s="2195"/>
      <c r="AN83" s="2195"/>
      <c r="AO83" s="2195"/>
      <c r="AP83" s="2195"/>
      <c r="AQ83" s="2195"/>
      <c r="AR83" s="2195"/>
      <c r="AS83" s="2195"/>
      <c r="AT83" s="2195"/>
      <c r="AU83" s="2195"/>
      <c r="AV83" s="2195"/>
      <c r="AW83" s="2195"/>
      <c r="AX83" s="2195"/>
      <c r="AY83" s="2195"/>
      <c r="AZ83" s="2195"/>
      <c r="BA83" s="2195"/>
    </row>
    <row r="84" spans="1:53" ht="13.8" x14ac:dyDescent="0.25">
      <c r="B84" s="800" t="s">
        <v>1915</v>
      </c>
      <c r="E84" s="2164"/>
      <c r="F84" s="2164"/>
      <c r="G84" s="2164"/>
      <c r="H84" s="2164"/>
      <c r="I84" s="2164"/>
      <c r="J84" s="2164"/>
      <c r="K84" s="2164"/>
      <c r="L84" s="2165">
        <f>IFERROR(L82/L83,"")</f>
        <v>2.7421565083827621</v>
      </c>
      <c r="M84" s="2165">
        <f t="shared" ref="M84:P84" si="14">IFERROR(M82/M83,"")</f>
        <v>1.9554151873359646</v>
      </c>
      <c r="N84" s="2165">
        <f t="shared" si="14"/>
        <v>2.6270670188581713</v>
      </c>
      <c r="O84" s="2165">
        <f t="shared" si="14"/>
        <v>2.2807022368473926</v>
      </c>
      <c r="P84" s="2166">
        <f t="shared" si="14"/>
        <v>2.629740070801001</v>
      </c>
      <c r="Q84" s="2165"/>
      <c r="R84" s="2165"/>
      <c r="S84" s="2165"/>
      <c r="T84" s="2165"/>
      <c r="U84" s="2165"/>
      <c r="V84" s="2165"/>
      <c r="W84" s="2165"/>
      <c r="X84" s="2165"/>
      <c r="Y84" s="2165"/>
      <c r="Z84" s="2165"/>
      <c r="AA84" s="2186"/>
      <c r="AB84" s="2186"/>
      <c r="AC84" s="2186"/>
      <c r="AD84" s="2186"/>
      <c r="AE84" s="2186"/>
      <c r="AF84" s="2186"/>
      <c r="AG84" s="2186"/>
      <c r="AH84" s="2186"/>
      <c r="AI84" s="2186"/>
      <c r="AJ84" s="2186"/>
      <c r="AK84" s="2186"/>
      <c r="AL84" s="2186"/>
      <c r="AM84" s="2186"/>
      <c r="AN84" s="2186"/>
      <c r="AO84" s="2186"/>
      <c r="AP84" s="2186"/>
      <c r="AQ84" s="2186"/>
      <c r="AR84" s="2186"/>
      <c r="AS84" s="2186"/>
      <c r="AT84" s="2186"/>
      <c r="AU84" s="2186"/>
      <c r="AV84" s="2186"/>
      <c r="AW84" s="2186"/>
      <c r="AX84" s="2186"/>
      <c r="AY84" s="2186"/>
      <c r="AZ84" s="2186"/>
      <c r="BA84" s="2186"/>
    </row>
    <row r="85" spans="1:53" ht="13.8" x14ac:dyDescent="0.25">
      <c r="B85" s="2216"/>
      <c r="P85" s="2177"/>
    </row>
    <row r="86" spans="1:53" ht="13.8" x14ac:dyDescent="0.25">
      <c r="B86" s="800" t="s">
        <v>1916</v>
      </c>
      <c r="P86" s="2177"/>
    </row>
    <row r="87" spans="1:53" ht="13.8" x14ac:dyDescent="0.25">
      <c r="B87" s="2191" t="s">
        <v>1917</v>
      </c>
      <c r="E87" s="2167"/>
      <c r="F87" s="2167"/>
      <c r="G87" s="2167"/>
      <c r="H87" s="2167"/>
      <c r="I87" s="2164"/>
      <c r="J87" s="2164"/>
      <c r="K87" s="2164"/>
      <c r="L87" s="2165">
        <f>(L77*L6/1000 + 'Output-FR (show)'!L82+'Output-FR (show)'!L92-'Output-FR (show)'!L59)</f>
        <v>2383.4444159299996</v>
      </c>
      <c r="M87" s="2165">
        <f>(M77*M6/1000 + 'Output-FR (show)'!M82+'Output-FR (show)'!M92-'Output-FR (show)'!M59)</f>
        <v>1745.0286587380001</v>
      </c>
      <c r="N87" s="2165">
        <f>(N77*N6/1000 + 'Output-FR (show)'!N82+'Output-FR (show)'!N92-'Output-FR (show)'!N59)</f>
        <v>2553.4437641020004</v>
      </c>
      <c r="O87" s="2165">
        <f>(O77*O6/1000 + 'Output-FR (show)'!O82+'Output-FR (show)'!O92-'Output-FR (show)'!O59)</f>
        <v>2228.8520600720003</v>
      </c>
      <c r="P87" s="2166">
        <f>(P77*P6/1000 + 'Output-FR (show)'!P82+'Output-FR (show)'!P92-'Output-FR (show)'!P59)</f>
        <v>3013.702504802</v>
      </c>
      <c r="Q87" s="2167"/>
      <c r="R87" s="2167"/>
      <c r="S87" s="2167"/>
      <c r="T87" s="2167"/>
      <c r="U87" s="2167"/>
      <c r="V87" s="2167"/>
      <c r="W87" s="2167"/>
      <c r="X87" s="2167"/>
      <c r="Y87" s="2167"/>
      <c r="Z87" s="2167"/>
      <c r="AA87" s="2167"/>
      <c r="AB87" s="2167"/>
      <c r="AC87" s="2167"/>
      <c r="AD87" s="2167"/>
      <c r="AE87" s="2167"/>
      <c r="AF87" s="2167"/>
      <c r="AG87" s="2167"/>
      <c r="AH87" s="2167"/>
      <c r="AI87" s="2167"/>
      <c r="AJ87" s="2167"/>
      <c r="AK87" s="2167"/>
      <c r="AL87" s="2167"/>
      <c r="AM87" s="2167"/>
      <c r="AN87" s="2167"/>
      <c r="AO87" s="2167"/>
      <c r="AP87" s="2167"/>
      <c r="AQ87" s="2167"/>
      <c r="AR87" s="2167"/>
      <c r="AS87" s="2167"/>
      <c r="AT87" s="2167"/>
      <c r="AU87" s="2167"/>
      <c r="AV87" s="2167"/>
      <c r="AW87" s="2167"/>
      <c r="AX87" s="2167"/>
      <c r="AY87" s="2167"/>
      <c r="AZ87" s="2167"/>
      <c r="BA87" s="2167"/>
    </row>
    <row r="88" spans="1:53" ht="13.8" x14ac:dyDescent="0.25">
      <c r="B88" s="2191" t="s">
        <v>1918</v>
      </c>
      <c r="E88" s="2167"/>
      <c r="F88" s="2167"/>
      <c r="G88" s="2167"/>
      <c r="H88" s="2167"/>
      <c r="I88" s="2164"/>
      <c r="J88" s="2164"/>
      <c r="K88" s="2164"/>
      <c r="L88" s="2165">
        <f>(L77*L6/1000 + 'Output-FR (show)'!L82+'Output-FR (show)'!L92-'Output-FR (show)'!L59-'Output-FR (show)'!L62)</f>
        <v>2069.6430226299999</v>
      </c>
      <c r="M88" s="2165">
        <f>(M77*M6/1000 + 'Output-FR (show)'!M82+'Output-FR (show)'!M92-'Output-FR (show)'!M59-'Output-FR (show)'!M62)</f>
        <v>1522.327265438</v>
      </c>
      <c r="N88" s="2165">
        <f>(N77*N6/1000 + 'Output-FR (show)'!N82+'Output-FR (show)'!N92-'Output-FR (show)'!N59-'Output-FR (show)'!N62)</f>
        <v>2439.5023708020003</v>
      </c>
      <c r="O88" s="2165">
        <f>(O77*O6/1000 + 'Output-FR (show)'!O82+'Output-FR (show)'!O92-'Output-FR (show)'!O59-'Output-FR (show)'!O62)</f>
        <v>2135.5106667720001</v>
      </c>
      <c r="P88" s="2166">
        <f>(P77*P6/1000 + 'Output-FR (show)'!P82+'Output-FR (show)'!P92-'Output-FR (show)'!P59-'Output-FR (show)'!P62)</f>
        <v>2874.5011115020002</v>
      </c>
      <c r="Q88" s="2167"/>
      <c r="R88" s="2167"/>
      <c r="S88" s="2167"/>
      <c r="T88" s="2167"/>
      <c r="U88" s="2167"/>
      <c r="V88" s="2167"/>
      <c r="W88" s="2167"/>
      <c r="X88" s="2167"/>
      <c r="Y88" s="2167"/>
      <c r="Z88" s="2167"/>
      <c r="AA88" s="2167"/>
      <c r="AB88" s="2167"/>
      <c r="AC88" s="2167"/>
      <c r="AD88" s="2167"/>
      <c r="AE88" s="2167"/>
      <c r="AF88" s="2167"/>
      <c r="AG88" s="2167"/>
      <c r="AH88" s="2167"/>
      <c r="AI88" s="2167"/>
      <c r="AJ88" s="2167"/>
      <c r="AK88" s="2167"/>
      <c r="AL88" s="2167"/>
      <c r="AM88" s="2167"/>
      <c r="AN88" s="2167"/>
      <c r="AO88" s="2167"/>
      <c r="AP88" s="2167"/>
      <c r="AQ88" s="2167"/>
      <c r="AR88" s="2167"/>
      <c r="AS88" s="2167"/>
      <c r="AT88" s="2167"/>
      <c r="AU88" s="2167"/>
      <c r="AV88" s="2167"/>
      <c r="AW88" s="2167"/>
      <c r="AX88" s="2167"/>
      <c r="AY88" s="2167"/>
      <c r="AZ88" s="2167"/>
      <c r="BA88" s="2167"/>
    </row>
    <row r="89" spans="1:53" ht="13.8" x14ac:dyDescent="0.25">
      <c r="B89" s="2191" t="s">
        <v>427</v>
      </c>
      <c r="E89" s="2167"/>
      <c r="F89" s="2167"/>
      <c r="G89" s="2167"/>
      <c r="H89" s="2167"/>
      <c r="I89" s="2164"/>
      <c r="J89" s="2164"/>
      <c r="K89" s="2164"/>
      <c r="L89" s="2165">
        <f>'Output-FR (show)'!L18</f>
        <v>186.93812527799997</v>
      </c>
      <c r="M89" s="2165">
        <f>'Output-FR (show)'!M18</f>
        <v>186.55696830200009</v>
      </c>
      <c r="N89" s="2165">
        <f>'Output-FR (show)'!N18</f>
        <v>160.74955490999997</v>
      </c>
      <c r="O89" s="2165">
        <f>'Output-FR (show)'!O18</f>
        <v>181.78307433800001</v>
      </c>
      <c r="P89" s="2166">
        <f>'Output-FR (show)'!P18</f>
        <v>217.12852030100004</v>
      </c>
      <c r="Q89" s="2167"/>
      <c r="R89" s="2167"/>
      <c r="S89" s="2167"/>
      <c r="T89" s="2167"/>
      <c r="U89" s="2167"/>
      <c r="V89" s="2167"/>
      <c r="W89" s="2167"/>
      <c r="X89" s="2167"/>
      <c r="Y89" s="2167"/>
      <c r="Z89" s="2167"/>
      <c r="AA89" s="2167"/>
      <c r="AB89" s="2167"/>
      <c r="AC89" s="2167"/>
      <c r="AD89" s="2167"/>
      <c r="AE89" s="2167"/>
      <c r="AF89" s="2167"/>
      <c r="AG89" s="2167"/>
      <c r="AH89" s="2167"/>
      <c r="AI89" s="2167"/>
      <c r="AJ89" s="2167"/>
      <c r="AK89" s="2167"/>
      <c r="AL89" s="2167"/>
      <c r="AM89" s="2167"/>
      <c r="AN89" s="2167"/>
      <c r="AO89" s="2167"/>
      <c r="AP89" s="2167"/>
      <c r="AQ89" s="2167"/>
      <c r="AR89" s="2167"/>
      <c r="AS89" s="2167"/>
      <c r="AT89" s="2167"/>
      <c r="AU89" s="2167"/>
      <c r="AV89" s="2167"/>
      <c r="AW89" s="2167"/>
      <c r="AX89" s="2167"/>
      <c r="AY89" s="2167"/>
      <c r="AZ89" s="2167"/>
      <c r="BA89" s="2167"/>
    </row>
    <row r="90" spans="1:53" ht="13.8" x14ac:dyDescent="0.25">
      <c r="B90" s="2193" t="s">
        <v>419</v>
      </c>
      <c r="C90" s="2194"/>
      <c r="D90" s="2194"/>
      <c r="E90" s="2197"/>
      <c r="F90" s="2197"/>
      <c r="G90" s="2197"/>
      <c r="H90" s="2197"/>
      <c r="I90" s="2195"/>
      <c r="J90" s="2195"/>
      <c r="K90" s="2195"/>
      <c r="L90" s="2199">
        <f>'Output-FR (show)'!L12</f>
        <v>223.75196760799997</v>
      </c>
      <c r="M90" s="2199">
        <f>'Output-FR (show)'!M12</f>
        <v>223.07388376400007</v>
      </c>
      <c r="N90" s="2199">
        <f>'Output-FR (show)'!N12</f>
        <v>188.69457661899997</v>
      </c>
      <c r="O90" s="2199">
        <f>'Output-FR (show)'!O12</f>
        <v>213.59206486799999</v>
      </c>
      <c r="P90" s="2200">
        <f>'Output-FR (show)'!P12</f>
        <v>257.80264870500002</v>
      </c>
      <c r="Q90" s="2197"/>
      <c r="R90" s="2197"/>
      <c r="S90" s="2197"/>
      <c r="T90" s="2197"/>
      <c r="U90" s="2197"/>
      <c r="V90" s="2197"/>
      <c r="W90" s="2197"/>
      <c r="X90" s="2197"/>
      <c r="Y90" s="2197"/>
      <c r="Z90" s="2197"/>
      <c r="AA90" s="2197"/>
      <c r="AB90" s="2197"/>
      <c r="AC90" s="2197"/>
      <c r="AD90" s="2197"/>
      <c r="AE90" s="2197"/>
      <c r="AF90" s="2197"/>
      <c r="AG90" s="2197"/>
      <c r="AH90" s="2197"/>
      <c r="AI90" s="2197"/>
      <c r="AJ90" s="2197"/>
      <c r="AK90" s="2197"/>
      <c r="AL90" s="2197"/>
      <c r="AM90" s="2197"/>
      <c r="AN90" s="2197"/>
      <c r="AO90" s="2197"/>
      <c r="AP90" s="2197"/>
      <c r="AQ90" s="2197"/>
      <c r="AR90" s="2197"/>
      <c r="AS90" s="2197"/>
      <c r="AT90" s="2197"/>
      <c r="AU90" s="2197"/>
      <c r="AV90" s="2197"/>
      <c r="AW90" s="2197"/>
      <c r="AX90" s="2197"/>
      <c r="AY90" s="2197"/>
      <c r="AZ90" s="2197"/>
      <c r="BA90" s="2197"/>
    </row>
    <row r="91" spans="1:53" ht="13.8" x14ac:dyDescent="0.25">
      <c r="B91" s="800" t="s">
        <v>1838</v>
      </c>
      <c r="E91" s="2186"/>
      <c r="F91" s="2186"/>
      <c r="G91" s="2186"/>
      <c r="H91" s="2186"/>
      <c r="I91" s="2164"/>
      <c r="J91" s="2164"/>
      <c r="K91" s="2164"/>
      <c r="L91" s="2201">
        <f>IFERROR(L87/L90,"")</f>
        <v>10.652171873212982</v>
      </c>
      <c r="M91" s="2201">
        <f t="shared" ref="M91:P91" si="15">IFERROR(M87/M90,"")</f>
        <v>7.8226488430359904</v>
      </c>
      <c r="N91" s="2201">
        <f t="shared" si="15"/>
        <v>13.532152380074765</v>
      </c>
      <c r="O91" s="2201">
        <f t="shared" si="15"/>
        <v>10.43508831402249</v>
      </c>
      <c r="P91" s="2202">
        <f t="shared" si="15"/>
        <v>11.689959431916224</v>
      </c>
      <c r="Q91" s="2186"/>
      <c r="R91" s="2186"/>
      <c r="S91" s="2186"/>
      <c r="T91" s="2186"/>
      <c r="U91" s="2186"/>
      <c r="V91" s="2186"/>
      <c r="W91" s="2186"/>
      <c r="X91" s="2186"/>
      <c r="Y91" s="2186"/>
      <c r="Z91" s="2186"/>
      <c r="AA91" s="2186"/>
      <c r="AB91" s="2186"/>
      <c r="AC91" s="2186"/>
      <c r="AD91" s="2186"/>
      <c r="AE91" s="2186"/>
      <c r="AF91" s="2186"/>
      <c r="AG91" s="2186"/>
      <c r="AH91" s="2186"/>
      <c r="AI91" s="2186"/>
      <c r="AJ91" s="2186"/>
      <c r="AK91" s="2186"/>
      <c r="AL91" s="2186"/>
      <c r="AM91" s="2186"/>
      <c r="AN91" s="2186"/>
      <c r="AO91" s="2186"/>
      <c r="AP91" s="2186"/>
      <c r="AQ91" s="2186"/>
      <c r="AR91" s="2186"/>
      <c r="AS91" s="2186"/>
      <c r="AT91" s="2186"/>
      <c r="AU91" s="2186"/>
      <c r="AV91" s="2186"/>
      <c r="AW91" s="2186"/>
      <c r="AX91" s="2186"/>
      <c r="AY91" s="2186"/>
      <c r="AZ91" s="2186"/>
      <c r="BA91" s="2186"/>
    </row>
    <row r="92" spans="1:53" ht="13.8" x14ac:dyDescent="0.25">
      <c r="B92" s="800" t="s">
        <v>1919</v>
      </c>
      <c r="E92" s="2186"/>
      <c r="F92" s="2186"/>
      <c r="G92" s="2186"/>
      <c r="H92" s="2186"/>
      <c r="I92" s="2164"/>
      <c r="J92" s="2164"/>
      <c r="K92" s="2164"/>
      <c r="L92" s="2165">
        <f>L88/L90</f>
        <v>9.249719878467797</v>
      </c>
      <c r="M92" s="2165">
        <f t="shared" ref="M92:P92" si="16">M88/M90</f>
        <v>6.8243186506249147</v>
      </c>
      <c r="N92" s="2165">
        <f t="shared" si="16"/>
        <v>12.928312061282437</v>
      </c>
      <c r="O92" s="2165">
        <f t="shared" si="16"/>
        <v>9.9980805377378914</v>
      </c>
      <c r="P92" s="2166">
        <f t="shared" si="16"/>
        <v>11.150006122672741</v>
      </c>
      <c r="Q92" s="2186"/>
      <c r="R92" s="2186"/>
      <c r="S92" s="2186"/>
      <c r="T92" s="2186"/>
      <c r="U92" s="2186"/>
      <c r="V92" s="2186"/>
      <c r="W92" s="2186"/>
      <c r="X92" s="2186"/>
      <c r="Y92" s="2186"/>
      <c r="Z92" s="2186"/>
      <c r="AA92" s="2186"/>
      <c r="AB92" s="2186"/>
      <c r="AC92" s="2186"/>
      <c r="AD92" s="2186"/>
      <c r="AE92" s="2186"/>
      <c r="AF92" s="2186"/>
      <c r="AG92" s="2186"/>
      <c r="AH92" s="2186"/>
      <c r="AI92" s="2186"/>
      <c r="AJ92" s="2186"/>
      <c r="AK92" s="2186"/>
      <c r="AL92" s="2186"/>
      <c r="AM92" s="2186"/>
      <c r="AN92" s="2186"/>
      <c r="AO92" s="2186"/>
      <c r="AP92" s="2186"/>
      <c r="AQ92" s="2186"/>
      <c r="AR92" s="2186"/>
      <c r="AS92" s="2186"/>
      <c r="AT92" s="2186"/>
      <c r="AU92" s="2186"/>
      <c r="AV92" s="2186"/>
      <c r="AW92" s="2186"/>
      <c r="AX92" s="2186"/>
      <c r="AY92" s="2186"/>
      <c r="AZ92" s="2186"/>
      <c r="BA92" s="2186"/>
    </row>
    <row r="93" spans="1:53" ht="13.8" x14ac:dyDescent="0.25">
      <c r="B93" s="800" t="s">
        <v>1920</v>
      </c>
      <c r="E93" s="2210"/>
      <c r="F93" s="2186"/>
      <c r="G93" s="2186"/>
      <c r="H93" s="2186"/>
      <c r="I93" s="2164"/>
      <c r="J93" s="2164"/>
      <c r="K93" s="2164"/>
      <c r="L93" s="2201">
        <f>L87/L89</f>
        <v>12.749910765316196</v>
      </c>
      <c r="M93" s="2201">
        <f t="shared" ref="M93:P93" si="17">M87/M89</f>
        <v>9.3538647986235066</v>
      </c>
      <c r="N93" s="2201">
        <f t="shared" si="17"/>
        <v>15.884608610777278</v>
      </c>
      <c r="O93" s="2201">
        <f t="shared" si="17"/>
        <v>12.261053831270143</v>
      </c>
      <c r="P93" s="2202">
        <f t="shared" si="17"/>
        <v>13.879809527666733</v>
      </c>
      <c r="Q93" s="2186"/>
      <c r="R93" s="2186"/>
      <c r="S93" s="2186"/>
      <c r="T93" s="2186"/>
      <c r="U93" s="2186"/>
      <c r="V93" s="2186"/>
      <c r="W93" s="2186"/>
      <c r="X93" s="2186"/>
      <c r="Y93" s="2186"/>
      <c r="Z93" s="2186"/>
      <c r="AA93" s="2186"/>
      <c r="AB93" s="2186"/>
      <c r="AC93" s="2186"/>
      <c r="AD93" s="2186"/>
      <c r="AE93" s="2186"/>
      <c r="AF93" s="2186"/>
      <c r="AG93" s="2186"/>
      <c r="AH93" s="2186"/>
      <c r="AI93" s="2186"/>
      <c r="AJ93" s="2186"/>
      <c r="AK93" s="2186"/>
      <c r="AL93" s="2186"/>
      <c r="AM93" s="2186"/>
      <c r="AN93" s="2186"/>
      <c r="AO93" s="2186"/>
      <c r="AP93" s="2186"/>
      <c r="AQ93" s="2186"/>
      <c r="AR93" s="2186"/>
      <c r="AS93" s="2186"/>
      <c r="AT93" s="2186"/>
      <c r="AU93" s="2186"/>
      <c r="AV93" s="2186"/>
      <c r="AW93" s="2186"/>
      <c r="AX93" s="2186"/>
      <c r="AY93" s="2186"/>
      <c r="AZ93" s="2186"/>
      <c r="BA93" s="2186"/>
    </row>
    <row r="94" spans="1:53" ht="13.8" x14ac:dyDescent="0.25">
      <c r="B94" s="800" t="s">
        <v>1921</v>
      </c>
      <c r="E94" s="2210"/>
      <c r="F94" s="2186"/>
      <c r="G94" s="2186"/>
      <c r="H94" s="2186"/>
      <c r="I94" s="2164"/>
      <c r="J94" s="2164"/>
      <c r="K94" s="2164"/>
      <c r="L94" s="2165">
        <f>L88/L89</f>
        <v>11.071273019092207</v>
      </c>
      <c r="M94" s="2165">
        <f t="shared" ref="M94:P94" si="18">M88/M89</f>
        <v>8.1601200925051653</v>
      </c>
      <c r="N94" s="2165">
        <f t="shared" si="18"/>
        <v>15.175795492359667</v>
      </c>
      <c r="O94" s="2165">
        <f t="shared" si="18"/>
        <v>11.747577020296834</v>
      </c>
      <c r="P94" s="2166">
        <f t="shared" si="18"/>
        <v>13.238708150901358</v>
      </c>
      <c r="Q94" s="2186"/>
      <c r="R94" s="2186"/>
      <c r="S94" s="2186"/>
      <c r="T94" s="2186"/>
      <c r="U94" s="2186"/>
      <c r="V94" s="2186"/>
      <c r="W94" s="2186"/>
      <c r="X94" s="2186"/>
      <c r="Y94" s="2186"/>
      <c r="Z94" s="2186"/>
      <c r="AA94" s="2186"/>
      <c r="AB94" s="2186"/>
      <c r="AC94" s="2186"/>
      <c r="AD94" s="2186"/>
      <c r="AE94" s="2186"/>
      <c r="AF94" s="2186"/>
      <c r="AG94" s="2186"/>
      <c r="AH94" s="2186"/>
      <c r="AI94" s="2186"/>
      <c r="AJ94" s="2186"/>
      <c r="AK94" s="2186"/>
      <c r="AL94" s="2186"/>
      <c r="AM94" s="2186"/>
      <c r="AN94" s="2186"/>
      <c r="AO94" s="2186"/>
      <c r="AP94" s="2186"/>
      <c r="AQ94" s="2186"/>
      <c r="AR94" s="2186"/>
      <c r="AS94" s="2186"/>
      <c r="AT94" s="2186"/>
      <c r="AU94" s="2186"/>
      <c r="AV94" s="2186"/>
      <c r="AW94" s="2186"/>
      <c r="AX94" s="2186"/>
      <c r="AY94" s="2186"/>
      <c r="AZ94" s="2186"/>
      <c r="BA94" s="2186"/>
    </row>
    <row r="95" spans="1:53" x14ac:dyDescent="0.25">
      <c r="B95" s="2214"/>
      <c r="E95" s="2211"/>
      <c r="P95" s="2177"/>
    </row>
    <row r="96" spans="1:53" x14ac:dyDescent="0.25">
      <c r="B96" s="2126" t="s">
        <v>1922</v>
      </c>
      <c r="E96" s="2212"/>
      <c r="F96" s="196"/>
      <c r="G96" s="196"/>
      <c r="H96" s="196"/>
      <c r="I96" s="196"/>
      <c r="J96" s="196"/>
      <c r="K96" s="196"/>
      <c r="L96" s="196">
        <f>IFERROR(Input!L132*10000/Ratio!L77,"")</f>
        <v>3.4395836601366379E-2</v>
      </c>
      <c r="M96" s="196">
        <f>IFERROR(Input!M132*10000/Ratio!M77,"")</f>
        <v>4.5112781954887216E-2</v>
      </c>
      <c r="N96" s="196">
        <f>IFERROR(Input!N132*10000/Ratio!N77,"")</f>
        <v>3.2071892969544318E-2</v>
      </c>
      <c r="O96" s="196">
        <f>IFERROR(Input!O132*10000/Ratio!O77,"")</f>
        <v>3.4845608416746006E-2</v>
      </c>
      <c r="P96" s="1196">
        <f>IFERROR(Input!P132*10000/Ratio!P77,"")</f>
        <v>1.5610727081713315E-4</v>
      </c>
    </row>
    <row r="97" spans="5:16" x14ac:dyDescent="0.25">
      <c r="E97" s="2211"/>
      <c r="P97" s="2177"/>
    </row>
    <row r="98" spans="5:16" x14ac:dyDescent="0.25">
      <c r="E98" s="2211"/>
    </row>
    <row r="99" spans="5:16" x14ac:dyDescent="0.25">
      <c r="E99" s="2211"/>
    </row>
    <row r="100" spans="5:16" x14ac:dyDescent="0.25">
      <c r="E100" s="2211"/>
    </row>
  </sheetData>
  <mergeCells count="1">
    <mergeCell ref="B2:B3"/>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E7AF-AC45-4F77-82C4-1AC7D86D7C75}">
  <dimension ref="A1:AA89"/>
  <sheetViews>
    <sheetView showGridLines="0" tabSelected="1" topLeftCell="A46" zoomScale="70" zoomScaleNormal="70" workbookViewId="0">
      <selection activeCell="F48" sqref="F48"/>
    </sheetView>
  </sheetViews>
  <sheetFormatPr defaultColWidth="10.6640625" defaultRowHeight="13.2" x14ac:dyDescent="0.25"/>
  <cols>
    <col min="1" max="1" width="2.6640625" style="2267" customWidth="1"/>
    <col min="2" max="2" width="31.88671875" style="2267" bestFit="1" customWidth="1"/>
    <col min="3" max="3" width="7" style="2267" customWidth="1"/>
    <col min="4" max="4" width="7.109375" style="2267" customWidth="1"/>
    <col min="5" max="8" width="14.44140625" style="2267" customWidth="1"/>
    <col min="9" max="12" width="10.6640625" style="2267"/>
    <col min="13" max="13" width="10.6640625" style="2286"/>
    <col min="14" max="16" width="10.6640625" style="2267"/>
    <col min="17" max="17" width="12.6640625" style="2267" customWidth="1"/>
    <col min="18" max="18" width="13.33203125" style="2267" customWidth="1"/>
    <col min="19" max="19" width="13.6640625" style="2267" customWidth="1"/>
    <col min="20" max="20" width="13.33203125" style="2267" customWidth="1"/>
    <col min="21" max="22" width="13.44140625" style="2267" customWidth="1"/>
    <col min="23" max="23" width="14.33203125" style="2267" customWidth="1"/>
    <col min="24" max="16384" width="10.6640625" style="2267"/>
  </cols>
  <sheetData>
    <row r="1" spans="2:27" s="2251" customFormat="1" x14ac:dyDescent="0.25">
      <c r="N1" s="2252"/>
      <c r="O1" s="2252"/>
      <c r="P1" s="2253"/>
      <c r="Q1" s="2254">
        <v>1</v>
      </c>
      <c r="R1" s="2254">
        <v>2</v>
      </c>
      <c r="S1" s="2254">
        <v>3</v>
      </c>
      <c r="T1" s="2254">
        <v>4</v>
      </c>
      <c r="U1" s="2254">
        <v>5</v>
      </c>
      <c r="V1" s="2254">
        <v>6</v>
      </c>
      <c r="W1" s="2254">
        <v>7</v>
      </c>
      <c r="X1" s="2254">
        <v>8</v>
      </c>
      <c r="Y1" s="2254">
        <v>9</v>
      </c>
      <c r="Z1" s="2254">
        <v>10</v>
      </c>
      <c r="AA1" s="2254">
        <v>11</v>
      </c>
    </row>
    <row r="2" spans="2:27" s="2255" customFormat="1" ht="15" customHeight="1" x14ac:dyDescent="0.25">
      <c r="B2" s="2401" t="s">
        <v>398</v>
      </c>
      <c r="I2" s="2256"/>
      <c r="J2" s="2256"/>
      <c r="K2" s="2257"/>
      <c r="L2" s="2257"/>
      <c r="M2" s="2257"/>
      <c r="N2" s="2258"/>
      <c r="O2" s="2258"/>
      <c r="P2" s="2259"/>
      <c r="Q2" s="2260"/>
      <c r="R2" s="2260"/>
      <c r="S2" s="2260"/>
      <c r="T2" s="2260" t="str">
        <f ca="1">Input!T2</f>
        <v>Proj</v>
      </c>
      <c r="U2" s="2260" t="str">
        <f ca="1">Input!U2</f>
        <v>Proj</v>
      </c>
      <c r="V2" s="2260" t="str">
        <f ca="1">Input!V2</f>
        <v>Proj</v>
      </c>
      <c r="W2" s="2260" t="str">
        <f ca="1">Input!W2</f>
        <v>Proj</v>
      </c>
      <c r="X2" s="2260" t="str">
        <f ca="1">Input!X2</f>
        <v>Proj</v>
      </c>
      <c r="Y2" s="2260" t="str">
        <f ca="1">Input!Y2</f>
        <v>Proj</v>
      </c>
      <c r="Z2" s="2260" t="str">
        <f ca="1">Input!Z2</f>
        <v>Proj</v>
      </c>
      <c r="AA2" s="2260" t="str">
        <f ca="1">Input!AA2</f>
        <v>Proj</v>
      </c>
    </row>
    <row r="3" spans="2:27" s="2266" customFormat="1" ht="13.8" thickBot="1" x14ac:dyDescent="0.3">
      <c r="B3" s="2402"/>
      <c r="C3" s="2261"/>
      <c r="D3" s="2262">
        <v>40178</v>
      </c>
      <c r="E3" s="2263">
        <f t="shared" ref="E3:M3" si="0">DATE(YEAR(D3),MONTH(D3)+13,0)</f>
        <v>40543</v>
      </c>
      <c r="F3" s="2263">
        <f t="shared" si="0"/>
        <v>40908</v>
      </c>
      <c r="G3" s="2263">
        <f t="shared" si="0"/>
        <v>41274</v>
      </c>
      <c r="H3" s="2263">
        <f t="shared" si="0"/>
        <v>41639</v>
      </c>
      <c r="I3" s="2263">
        <f t="shared" si="0"/>
        <v>42004</v>
      </c>
      <c r="J3" s="2263">
        <f t="shared" si="0"/>
        <v>42369</v>
      </c>
      <c r="K3" s="2263">
        <f t="shared" si="0"/>
        <v>42735</v>
      </c>
      <c r="L3" s="2263">
        <f t="shared" si="0"/>
        <v>43100</v>
      </c>
      <c r="M3" s="2263">
        <f t="shared" si="0"/>
        <v>43465</v>
      </c>
      <c r="N3" s="2264">
        <f>Input!N3</f>
        <v>43830</v>
      </c>
      <c r="O3" s="2264">
        <f>Input!O3</f>
        <v>44196</v>
      </c>
      <c r="P3" s="2264">
        <f>Input!P3</f>
        <v>44561</v>
      </c>
      <c r="Q3" s="2265">
        <f>Input!Q3</f>
        <v>44926</v>
      </c>
      <c r="R3" s="2265">
        <f>Input!R3</f>
        <v>45291</v>
      </c>
      <c r="S3" s="2265">
        <f>Input!S3</f>
        <v>45657</v>
      </c>
      <c r="T3" s="2265">
        <f>Input!T3</f>
        <v>46022</v>
      </c>
      <c r="U3" s="2265">
        <f>Input!U3</f>
        <v>46387</v>
      </c>
      <c r="V3" s="2265">
        <f>Input!V3</f>
        <v>46752</v>
      </c>
      <c r="W3" s="2265">
        <f>Input!W3</f>
        <v>47118</v>
      </c>
      <c r="X3" s="2265">
        <f>Input!X3</f>
        <v>47483</v>
      </c>
      <c r="Y3" s="2265">
        <f>Input!Y3</f>
        <v>47848</v>
      </c>
      <c r="Z3" s="2265">
        <f>Input!Z3</f>
        <v>48213</v>
      </c>
      <c r="AA3" s="2265">
        <f>Input!AA3</f>
        <v>48579</v>
      </c>
    </row>
    <row r="4" spans="2:27" ht="13.8" thickTop="1" x14ac:dyDescent="0.25">
      <c r="M4" s="2268"/>
      <c r="P4" s="2269"/>
    </row>
    <row r="5" spans="2:27" x14ac:dyDescent="0.25">
      <c r="B5" s="2267" t="s">
        <v>1932</v>
      </c>
      <c r="D5" s="2270"/>
      <c r="E5" s="2270"/>
      <c r="F5" s="2270"/>
      <c r="G5" s="2270"/>
      <c r="H5" s="2270"/>
      <c r="I5" s="2270"/>
      <c r="J5" s="2271">
        <f>'Output-FR (show)'!J5/'Output-FR (show)'!J$5</f>
        <v>1</v>
      </c>
      <c r="K5" s="2271">
        <f>'Output-FR (show)'!K5/'Output-FR (show)'!K$5</f>
        <v>1</v>
      </c>
      <c r="L5" s="2271">
        <f>'Output-FR (show)'!L5/'Output-FR (show)'!L$5</f>
        <v>1</v>
      </c>
      <c r="M5" s="2271">
        <f>'Output-FR (show)'!M5/'Output-FR (show)'!M$5</f>
        <v>1</v>
      </c>
      <c r="N5" s="2271">
        <f>'Output-FR (show)'!N5/'Output-FR (show)'!N$5</f>
        <v>1</v>
      </c>
      <c r="O5" s="2271">
        <f>'Output-FR (show)'!O5/'Output-FR (show)'!O$5</f>
        <v>1</v>
      </c>
      <c r="P5" s="2272">
        <f>'Output-FR (show)'!P5/'Output-FR (show)'!P$5</f>
        <v>1</v>
      </c>
      <c r="Q5" s="2307">
        <f>'Output-FR (show)'!Q5/'Output-FR (show)'!Q$5</f>
        <v>1</v>
      </c>
      <c r="R5" s="2307">
        <f>'Output-FR (show)'!R5/'Output-FR (show)'!R$5</f>
        <v>1</v>
      </c>
      <c r="S5" s="2307">
        <f>'Output-FR (show)'!S5/'Output-FR (show)'!S$5</f>
        <v>1</v>
      </c>
      <c r="T5" s="2307">
        <f>'Output-FR (show)'!T5/'Output-FR (show)'!T$5</f>
        <v>1</v>
      </c>
      <c r="U5" s="2307">
        <f>'Output-FR (show)'!U5/'Output-FR (show)'!U$5</f>
        <v>1</v>
      </c>
      <c r="V5" s="2307">
        <f>'Output-FR (show)'!V5/'Output-FR (show)'!V$5</f>
        <v>1</v>
      </c>
      <c r="W5" s="2307">
        <f>'Output-FR (show)'!W5/'Output-FR (show)'!W$5</f>
        <v>1</v>
      </c>
      <c r="X5" s="2307">
        <f>'Output-FR (show)'!X5/'Output-FR (show)'!X$5</f>
        <v>1</v>
      </c>
      <c r="Y5" s="2307">
        <f>'Output-FR (show)'!Y5/'Output-FR (show)'!Y$5</f>
        <v>1</v>
      </c>
      <c r="Z5" s="2307">
        <f>'Output-FR (show)'!Z5/'Output-FR (show)'!Z$5</f>
        <v>1</v>
      </c>
    </row>
    <row r="6" spans="2:27" x14ac:dyDescent="0.25">
      <c r="B6" s="2267" t="s">
        <v>405</v>
      </c>
      <c r="D6" s="2270"/>
      <c r="E6" s="2270"/>
      <c r="F6" s="2270"/>
      <c r="G6" s="2270"/>
      <c r="H6" s="2270"/>
      <c r="I6" s="2270"/>
      <c r="J6" s="2271">
        <f>'Output-FR (show)'!J6/'Output-FR (show)'!J5</f>
        <v>0.63104815176177864</v>
      </c>
      <c r="K6" s="2271">
        <f>'Output-FR (show)'!K6/'Output-FR (show)'!K5</f>
        <v>0.63232094507487768</v>
      </c>
      <c r="L6" s="2271">
        <f>'Output-FR (show)'!L6/'Output-FR (show)'!L5</f>
        <v>0.64654748391074124</v>
      </c>
      <c r="M6" s="2271">
        <f>'Output-FR (show)'!M6/'Output-FR (show)'!M5</f>
        <v>0.6944178396092171</v>
      </c>
      <c r="N6" s="2271">
        <f>'Output-FR (show)'!N6/'Output-FR (show)'!N5</f>
        <v>0.6712479985344777</v>
      </c>
      <c r="O6" s="2271">
        <f>'Output-FR (show)'!O6/'Output-FR (show)'!O5</f>
        <v>0.60926182324466993</v>
      </c>
      <c r="P6" s="2272">
        <f>'Output-FR (show)'!P6/'Output-FR (show)'!P5</f>
        <v>0.60053648434806639</v>
      </c>
      <c r="Q6" s="2307">
        <f>'Output-FR (show)'!Q6/'Output-FR (show)'!Q5</f>
        <v>0.60468802293677215</v>
      </c>
      <c r="R6" s="2307">
        <f>'Output-FR (show)'!R6/'Output-FR (show)'!R5</f>
        <v>0.6117747264856922</v>
      </c>
      <c r="S6" s="2307">
        <f>'Output-FR (show)'!S6/'Output-FR (show)'!S5</f>
        <v>0.58774137554401584</v>
      </c>
      <c r="T6" s="2307">
        <f>'Output-FR (show)'!T6/'Output-FR (show)'!T5</f>
        <v>0.57693354258607854</v>
      </c>
      <c r="U6" s="2307">
        <f>'Output-FR (show)'!U6/'Output-FR (show)'!U5</f>
        <v>0.56426633512046864</v>
      </c>
      <c r="V6" s="2307">
        <f>'Output-FR (show)'!V6/'Output-FR (show)'!V5</f>
        <v>0.55901556282276499</v>
      </c>
      <c r="W6" s="2307">
        <f>'Output-FR (show)'!W6/'Output-FR (show)'!W5</f>
        <v>0.55239067484180326</v>
      </c>
      <c r="X6" s="2307">
        <f>'Output-FR (show)'!X6/'Output-FR (show)'!X5</f>
        <v>0.55202303626075455</v>
      </c>
      <c r="Y6" s="2307">
        <f>'Output-FR (show)'!Y6/'Output-FR (show)'!Y5</f>
        <v>0.551590086332017</v>
      </c>
      <c r="Z6" s="2307">
        <f>'Output-FR (show)'!Z6/'Output-FR (show)'!Z5</f>
        <v>0.55109183727586153</v>
      </c>
    </row>
    <row r="7" spans="2:27" s="2277" customFormat="1" x14ac:dyDescent="0.25">
      <c r="B7" s="2273" t="s">
        <v>408</v>
      </c>
      <c r="C7" s="2273"/>
      <c r="D7" s="2274"/>
      <c r="E7" s="2274"/>
      <c r="F7" s="2274"/>
      <c r="G7" s="2274"/>
      <c r="H7" s="2274"/>
      <c r="I7" s="2274"/>
      <c r="J7" s="2275">
        <f>J5-J6</f>
        <v>0.36895184823822136</v>
      </c>
      <c r="K7" s="2275">
        <f t="shared" ref="K7:Z7" si="1">K5-K6</f>
        <v>0.36767905492512232</v>
      </c>
      <c r="L7" s="2275">
        <f t="shared" si="1"/>
        <v>0.35345251608925876</v>
      </c>
      <c r="M7" s="2275">
        <f t="shared" si="1"/>
        <v>0.3055821603907829</v>
      </c>
      <c r="N7" s="2275">
        <f t="shared" si="1"/>
        <v>0.3287520014655223</v>
      </c>
      <c r="O7" s="2275">
        <f t="shared" si="1"/>
        <v>0.39073817675533007</v>
      </c>
      <c r="P7" s="2276">
        <f t="shared" si="1"/>
        <v>0.39946351565193361</v>
      </c>
      <c r="Q7" s="2308">
        <f t="shared" si="1"/>
        <v>0.39531197706322785</v>
      </c>
      <c r="R7" s="2308">
        <f t="shared" si="1"/>
        <v>0.3882252735143078</v>
      </c>
      <c r="S7" s="2308">
        <f t="shared" si="1"/>
        <v>0.41225862445598416</v>
      </c>
      <c r="T7" s="2308">
        <f t="shared" si="1"/>
        <v>0.42306645741392146</v>
      </c>
      <c r="U7" s="2308">
        <f t="shared" si="1"/>
        <v>0.43573366487953136</v>
      </c>
      <c r="V7" s="2308">
        <f t="shared" si="1"/>
        <v>0.44098443717723501</v>
      </c>
      <c r="W7" s="2308">
        <f t="shared" si="1"/>
        <v>0.44760932515819674</v>
      </c>
      <c r="X7" s="2308">
        <f t="shared" si="1"/>
        <v>0.44797696373924545</v>
      </c>
      <c r="Y7" s="2308">
        <f t="shared" si="1"/>
        <v>0.448409913667983</v>
      </c>
      <c r="Z7" s="2308">
        <f t="shared" si="1"/>
        <v>0.44890816272413847</v>
      </c>
    </row>
    <row r="8" spans="2:27" x14ac:dyDescent="0.25">
      <c r="D8" s="2270"/>
      <c r="E8" s="2270"/>
      <c r="F8" s="2270"/>
      <c r="G8" s="2270"/>
      <c r="H8" s="2270"/>
      <c r="I8" s="2270"/>
      <c r="J8" s="2270"/>
      <c r="K8" s="2270"/>
      <c r="L8" s="2270"/>
      <c r="M8" s="2270"/>
      <c r="N8" s="2270"/>
      <c r="O8" s="2270"/>
      <c r="P8" s="2278"/>
      <c r="Q8" s="2309"/>
      <c r="R8" s="2309"/>
      <c r="S8" s="2309"/>
      <c r="T8" s="2309"/>
      <c r="U8" s="2309"/>
      <c r="V8" s="2309"/>
      <c r="W8" s="2309"/>
      <c r="X8" s="2309"/>
      <c r="Y8" s="2309"/>
      <c r="Z8" s="2310"/>
    </row>
    <row r="9" spans="2:27" x14ac:dyDescent="0.25">
      <c r="B9" s="2267" t="s">
        <v>1933</v>
      </c>
      <c r="D9" s="2270"/>
      <c r="E9" s="2270"/>
      <c r="F9" s="2270"/>
      <c r="G9" s="2270"/>
      <c r="H9" s="2270"/>
      <c r="I9" s="2270"/>
      <c r="J9" s="2271">
        <f>'Output-FR (show)'!J10/'Output-FR (show)'!J5</f>
        <v>0.26456823216074654</v>
      </c>
      <c r="K9" s="2271">
        <f>'Output-FR (show)'!K10/'Output-FR (show)'!K5</f>
        <v>0.25358508685935588</v>
      </c>
      <c r="L9" s="2271">
        <f>'Output-FR (show)'!L10/'Output-FR (show)'!L5</f>
        <v>0.21879293114480894</v>
      </c>
      <c r="M9" s="2271">
        <f>'Output-FR (show)'!M10/'Output-FR (show)'!M5</f>
        <v>0.17242460834971077</v>
      </c>
      <c r="N9" s="2271">
        <f>'Output-FR (show)'!N10/'Output-FR (show)'!N5</f>
        <v>0.20134781865538753</v>
      </c>
      <c r="O9" s="2271">
        <f>'Output-FR (show)'!O10/'Output-FR (show)'!O5</f>
        <v>0.24611609046669194</v>
      </c>
      <c r="P9" s="2272">
        <f>'Output-FR (show)'!P10/'Output-FR (show)'!P5</f>
        <v>0.26014499361509247</v>
      </c>
      <c r="Q9" s="2307">
        <f>'Output-FR (show)'!Q10/'Output-FR (show)'!Q5</f>
        <v>0.23208083478085961</v>
      </c>
      <c r="R9" s="2307">
        <f>'Output-FR (show)'!R10/'Output-FR (show)'!R5</f>
        <v>0.23208083478085959</v>
      </c>
      <c r="S9" s="2307">
        <f>'Output-FR (show)'!S10/'Output-FR (show)'!S5</f>
        <v>0.23208083478085959</v>
      </c>
      <c r="T9" s="2307">
        <f>'Output-FR (show)'!T10/'Output-FR (show)'!T5</f>
        <v>0.23208083478085961</v>
      </c>
      <c r="U9" s="2307">
        <f>'Output-FR (show)'!U10/'Output-FR (show)'!U5</f>
        <v>0.23208083478085961</v>
      </c>
      <c r="V9" s="2307">
        <f>'Output-FR (show)'!V10/'Output-FR (show)'!V5</f>
        <v>0.23208083478085964</v>
      </c>
      <c r="W9" s="2307">
        <f>'Output-FR (show)'!W10/'Output-FR (show)'!W5</f>
        <v>0.23208083478085964</v>
      </c>
      <c r="X9" s="2307">
        <f>'Output-FR (show)'!X10/'Output-FR (show)'!X5</f>
        <v>0.23208083478085959</v>
      </c>
      <c r="Y9" s="2307">
        <f>'Output-FR (show)'!Y10/'Output-FR (show)'!Y5</f>
        <v>0.23208083478085964</v>
      </c>
      <c r="Z9" s="2307">
        <f>'Output-FR (show)'!Z10/'Output-FR (show)'!Z5</f>
        <v>0.23208083478085961</v>
      </c>
    </row>
    <row r="10" spans="2:27" x14ac:dyDescent="0.25">
      <c r="B10" s="2267" t="s">
        <v>1934</v>
      </c>
      <c r="D10" s="2270"/>
      <c r="E10" s="2270"/>
      <c r="F10" s="2270"/>
      <c r="G10" s="2270"/>
      <c r="H10" s="2270"/>
      <c r="I10" s="2270"/>
      <c r="J10" s="2271">
        <f>Input!J31/Input!J7</f>
        <v>0.89561638392252507</v>
      </c>
      <c r="K10" s="2271">
        <f>Input!K31/Input!K7</f>
        <v>0.88590603193423345</v>
      </c>
      <c r="L10" s="2271">
        <f>Input!L31/Input!L7</f>
        <v>0.86534041505555026</v>
      </c>
      <c r="M10" s="2271">
        <f>Input!M31/Input!M7</f>
        <v>0.86684244795892784</v>
      </c>
      <c r="N10" s="2271">
        <f>Input!N31/Input!N7</f>
        <v>0.87259581718986534</v>
      </c>
      <c r="O10" s="2271">
        <f>Input!O31/Input!O7</f>
        <v>0.85537791371136196</v>
      </c>
      <c r="P10" s="2272">
        <f>Input!P31/Input!P7</f>
        <v>0.86068147796315886</v>
      </c>
      <c r="Q10" s="2307">
        <f>Input!Q31/Input!Q7</f>
        <v>0.83676885771763176</v>
      </c>
      <c r="R10" s="2307">
        <f>Input!R31/Input!R7</f>
        <v>0.84385556126655181</v>
      </c>
      <c r="S10" s="2307">
        <f>Input!S31/Input!S7</f>
        <v>0.81982221032487546</v>
      </c>
      <c r="T10" s="2307">
        <f>Input!T31/Input!T7</f>
        <v>0.80901437736693815</v>
      </c>
      <c r="U10" s="2307">
        <f>Input!U31/Input!U7</f>
        <v>0.79634716990132826</v>
      </c>
      <c r="V10" s="2307">
        <f>Input!V31/Input!V7</f>
        <v>0.79109639760362471</v>
      </c>
      <c r="W10" s="2307">
        <f>Input!W31/Input!W7</f>
        <v>0.78447150962266288</v>
      </c>
      <c r="X10" s="2307">
        <f>Input!X31/Input!X7</f>
        <v>0.78410387104161405</v>
      </c>
      <c r="Y10" s="2307">
        <f>Input!Y31/Input!Y7</f>
        <v>0.78367092111287662</v>
      </c>
      <c r="Z10" s="2307">
        <f>Input!Z31/Input!Z7</f>
        <v>0.78317267205672114</v>
      </c>
    </row>
    <row r="11" spans="2:27" s="2277" customFormat="1" x14ac:dyDescent="0.25">
      <c r="B11" s="2273" t="s">
        <v>419</v>
      </c>
      <c r="C11" s="2273"/>
      <c r="D11" s="2274"/>
      <c r="E11" s="2274"/>
      <c r="F11" s="2274"/>
      <c r="G11" s="2274"/>
      <c r="H11" s="2274"/>
      <c r="I11" s="2274"/>
      <c r="J11" s="2275">
        <f>'Output-FR (show)'!J12/'Output-FR (show)'!J5</f>
        <v>0.13639570078273008</v>
      </c>
      <c r="K11" s="2275">
        <f>'Output-FR (show)'!K12/'Output-FR (show)'!K5</f>
        <v>0.13849557585428784</v>
      </c>
      <c r="L11" s="2275">
        <f>'Output-FR (show)'!L12/'Output-FR (show)'!L5</f>
        <v>0.16117818151749261</v>
      </c>
      <c r="M11" s="2275">
        <f>'Output-FR (show)'!M12/'Output-FR (show)'!M5</f>
        <v>0.15922199292081049</v>
      </c>
      <c r="N11" s="2275">
        <f>'Output-FR (show)'!N12/'Output-FR (show)'!N5</f>
        <v>0.14955237884364761</v>
      </c>
      <c r="O11" s="2275">
        <f>'Output-FR (show)'!O12/'Output-FR (show)'!O5</f>
        <v>0.16992852689064128</v>
      </c>
      <c r="P11" s="2276">
        <f>'Output-FR (show)'!P12/'Output-FR (show)'!P5</f>
        <v>0.1654167031810152</v>
      </c>
      <c r="Q11" s="2308">
        <f>'Output-FR (show)'!Q12/'Output-FR (show)'!Q5</f>
        <v>0.22396888406449644</v>
      </c>
      <c r="R11" s="2308">
        <f>'Output-FR (show)'!R12/'Output-FR (show)'!R5</f>
        <v>0.23261176568971328</v>
      </c>
      <c r="S11" s="2308">
        <f>'Output-FR (show)'!S12/'Output-FR (show)'!S5</f>
        <v>0.24398516890414848</v>
      </c>
      <c r="T11" s="2308">
        <f>'Output-FR (show)'!T12/'Output-FR (show)'!T5</f>
        <v>0.23345294501279706</v>
      </c>
      <c r="U11" s="2308">
        <f>'Output-FR (show)'!U12/'Output-FR (show)'!U5</f>
        <v>0.24301604449459302</v>
      </c>
      <c r="V11" s="2308">
        <f>'Output-FR (show)'!V12/'Output-FR (show)'!V5</f>
        <v>0.24981969761684023</v>
      </c>
      <c r="W11" s="2308">
        <f>'Output-FR (show)'!W12/'Output-FR (show)'!W5</f>
        <v>0.25769171531363311</v>
      </c>
      <c r="X11" s="2308">
        <f>'Output-FR (show)'!X12/'Output-FR (show)'!X5</f>
        <v>0.25940265093887493</v>
      </c>
      <c r="Y11" s="2308">
        <f>'Output-FR (show)'!Y12/'Output-FR (show)'!Y5</f>
        <v>0.26106901436707874</v>
      </c>
      <c r="Z11" s="2308">
        <f>'Output-FR (show)'!Z12/'Output-FR (show)'!Z5</f>
        <v>0.26269015453417749</v>
      </c>
    </row>
    <row r="12" spans="2:27" x14ac:dyDescent="0.25">
      <c r="D12" s="2270"/>
      <c r="E12" s="2270"/>
      <c r="F12" s="2270"/>
      <c r="G12" s="2270"/>
      <c r="H12" s="2270"/>
      <c r="I12" s="2270"/>
      <c r="J12" s="2270"/>
      <c r="K12" s="2270"/>
      <c r="L12" s="2270"/>
      <c r="M12" s="2270"/>
      <c r="N12" s="2270"/>
      <c r="O12" s="2270"/>
      <c r="P12" s="2278"/>
      <c r="Q12" s="2309"/>
      <c r="R12" s="2309"/>
      <c r="S12" s="2309"/>
      <c r="T12" s="2309"/>
      <c r="U12" s="2309"/>
      <c r="V12" s="2309"/>
      <c r="W12" s="2309"/>
      <c r="X12" s="2309"/>
      <c r="Y12" s="2309"/>
      <c r="Z12" s="2310"/>
    </row>
    <row r="13" spans="2:27" x14ac:dyDescent="0.25">
      <c r="B13" s="2267" t="s">
        <v>1329</v>
      </c>
      <c r="D13" s="2270"/>
      <c r="E13" s="2270"/>
      <c r="F13" s="2270"/>
      <c r="G13" s="2270"/>
      <c r="H13" s="2270"/>
      <c r="I13" s="2270"/>
      <c r="J13" s="2271">
        <f>'Output-FR (show)'!J15/'Output-FR (show)'!J5</f>
        <v>3.2012084705255274E-2</v>
      </c>
      <c r="K13" s="2271">
        <f>'Output-FR (show)'!K15/'Output-FR (show)'!K5</f>
        <v>2.4401607788521375E-2</v>
      </c>
      <c r="L13" s="2271">
        <f>'Output-FR (show)'!L15/'Output-FR (show)'!L5</f>
        <v>2.6518596573042806E-2</v>
      </c>
      <c r="M13" s="2271">
        <f>'Output-FR (show)'!M15/'Output-FR (show)'!M5</f>
        <v>2.6064440879738325E-2</v>
      </c>
      <c r="N13" s="2271">
        <f>'Output-FR (show)'!N15/'Output-FR (show)'!N5</f>
        <v>2.2148196033512868E-2</v>
      </c>
      <c r="O13" s="2271">
        <f>'Output-FR (show)'!O15/'Output-FR (show)'!O5</f>
        <v>2.5306440602003211E-2</v>
      </c>
      <c r="P13" s="2272">
        <f>'Output-FR (show)'!P15/'Output-FR (show)'!P5</f>
        <v>2.6098181144174087E-2</v>
      </c>
      <c r="Q13" s="2307">
        <f>'Output-FR (show)'!Q15/'Output-FR (show)'!Q5</f>
        <v>6.0737741782128263E-2</v>
      </c>
      <c r="R13" s="2307">
        <f>'Output-FR (show)'!R15/'Output-FR (show)'!R5</f>
        <v>7.6467326956265028E-2</v>
      </c>
      <c r="S13" s="2307">
        <f>'Output-FR (show)'!S15/'Output-FR (show)'!S5</f>
        <v>6.3807379229023922E-2</v>
      </c>
      <c r="T13" s="2307">
        <f>'Output-FR (show)'!T15/'Output-FR (show)'!T5</f>
        <v>4.2467322379735238E-2</v>
      </c>
      <c r="U13" s="2307">
        <f>'Output-FR (show)'!U15/'Output-FR (show)'!U5</f>
        <v>3.9363214395921282E-2</v>
      </c>
      <c r="V13" s="2307">
        <f>'Output-FR (show)'!V15/'Output-FR (show)'!V5</f>
        <v>4.0916095220464903E-2</v>
      </c>
      <c r="W13" s="2307">
        <f>'Output-FR (show)'!W15/'Output-FR (show)'!W5</f>
        <v>4.2163224936296019E-2</v>
      </c>
      <c r="X13" s="2307">
        <f>'Output-FR (show)'!X15/'Output-FR (show)'!X5</f>
        <v>4.3506521980489078E-2</v>
      </c>
      <c r="Y13" s="2307">
        <f>'Output-FR (show)'!Y15/'Output-FR (show)'!Y5</f>
        <v>4.4739935479955299E-2</v>
      </c>
      <c r="Z13" s="2307">
        <f>'Output-FR (show)'!Z15/'Output-FR (show)'!Z5</f>
        <v>4.5862826590898562E-2</v>
      </c>
    </row>
    <row r="14" spans="2:27" x14ac:dyDescent="0.25">
      <c r="B14" s="2267" t="s">
        <v>424</v>
      </c>
      <c r="D14" s="2270"/>
      <c r="E14" s="2270"/>
      <c r="F14" s="2270"/>
      <c r="G14" s="2270"/>
      <c r="H14" s="2270"/>
      <c r="I14" s="2270"/>
      <c r="J14" s="2270"/>
      <c r="K14" s="2270"/>
      <c r="L14" s="2270"/>
      <c r="M14" s="2270"/>
      <c r="N14" s="2270"/>
      <c r="O14" s="2270"/>
      <c r="P14" s="2278"/>
      <c r="Q14" s="2309"/>
      <c r="R14" s="2309"/>
      <c r="S14" s="2309"/>
      <c r="T14" s="2309"/>
      <c r="U14" s="2309"/>
      <c r="V14" s="2309"/>
      <c r="W14" s="2309"/>
      <c r="X14" s="2309"/>
      <c r="Y14" s="2309"/>
      <c r="Z14" s="2310"/>
    </row>
    <row r="15" spans="2:27" s="2277" customFormat="1" x14ac:dyDescent="0.25">
      <c r="B15" s="2273" t="s">
        <v>427</v>
      </c>
      <c r="C15" s="2273"/>
      <c r="D15" s="2274"/>
      <c r="E15" s="2274"/>
      <c r="F15" s="2274"/>
      <c r="G15" s="2274"/>
      <c r="H15" s="2274"/>
      <c r="I15" s="2274"/>
      <c r="J15" s="2275">
        <f>J11-J13-J14</f>
        <v>0.10438361607747482</v>
      </c>
      <c r="K15" s="2275">
        <f t="shared" ref="K15:Z15" si="2">K11-K13-K14</f>
        <v>0.11409396806576647</v>
      </c>
      <c r="L15" s="2275">
        <f t="shared" si="2"/>
        <v>0.13465958494444979</v>
      </c>
      <c r="M15" s="2275">
        <f t="shared" si="2"/>
        <v>0.13315755204107216</v>
      </c>
      <c r="N15" s="2275">
        <f t="shared" si="2"/>
        <v>0.12740418281013474</v>
      </c>
      <c r="O15" s="2275">
        <f t="shared" si="2"/>
        <v>0.14462208628863807</v>
      </c>
      <c r="P15" s="2276">
        <f t="shared" si="2"/>
        <v>0.13931852203684111</v>
      </c>
      <c r="Q15" s="2308">
        <f t="shared" si="2"/>
        <v>0.16323114228236818</v>
      </c>
      <c r="R15" s="2308">
        <f t="shared" si="2"/>
        <v>0.15614443873344824</v>
      </c>
      <c r="S15" s="2308">
        <f t="shared" si="2"/>
        <v>0.18017778967512454</v>
      </c>
      <c r="T15" s="2308">
        <f t="shared" si="2"/>
        <v>0.19098562263306182</v>
      </c>
      <c r="U15" s="2308">
        <f t="shared" si="2"/>
        <v>0.20365283009867174</v>
      </c>
      <c r="V15" s="2308">
        <f t="shared" si="2"/>
        <v>0.20890360239637532</v>
      </c>
      <c r="W15" s="2308">
        <f t="shared" si="2"/>
        <v>0.2155284903773371</v>
      </c>
      <c r="X15" s="2308">
        <f t="shared" si="2"/>
        <v>0.21589612895838586</v>
      </c>
      <c r="Y15" s="2308">
        <f t="shared" si="2"/>
        <v>0.21632907888712344</v>
      </c>
      <c r="Z15" s="2308">
        <f t="shared" si="2"/>
        <v>0.21682732794327891</v>
      </c>
    </row>
    <row r="16" spans="2:27" x14ac:dyDescent="0.25">
      <c r="D16" s="2270"/>
      <c r="E16" s="2270"/>
      <c r="F16" s="2270"/>
      <c r="G16" s="2270"/>
      <c r="H16" s="2270"/>
      <c r="I16" s="2270"/>
      <c r="J16" s="2279"/>
      <c r="K16" s="2279"/>
      <c r="L16" s="2279"/>
      <c r="M16" s="2279"/>
      <c r="N16" s="2279"/>
      <c r="O16" s="2279"/>
      <c r="P16" s="2280"/>
      <c r="Q16" s="2311"/>
      <c r="R16" s="2311"/>
      <c r="S16" s="2311"/>
      <c r="T16" s="2311"/>
      <c r="U16" s="2311"/>
      <c r="V16" s="2311"/>
      <c r="W16" s="2311"/>
      <c r="X16" s="2311"/>
      <c r="Y16" s="2311"/>
      <c r="Z16" s="2311"/>
    </row>
    <row r="17" spans="2:26" x14ac:dyDescent="0.25">
      <c r="B17" s="2267" t="s">
        <v>1935</v>
      </c>
      <c r="D17" s="2270"/>
      <c r="E17" s="2270"/>
      <c r="F17" s="2270"/>
      <c r="G17" s="2270"/>
      <c r="H17" s="2270"/>
      <c r="I17" s="2270"/>
      <c r="J17" s="2271">
        <f>'Output-FR (show)'!J27/'Output-FR (show)'!J5</f>
        <v>5.0505403891607583E-5</v>
      </c>
      <c r="K17" s="2271">
        <f>'Output-FR (show)'!K27/'Output-FR (show)'!K5</f>
        <v>1.3487497188731232E-4</v>
      </c>
      <c r="L17" s="2271">
        <f>'Output-FR (show)'!L27/'Output-FR (show)'!L5</f>
        <v>1.6298588419997798E-5</v>
      </c>
      <c r="M17" s="2271">
        <f>'Output-FR (show)'!M27/'Output-FR (show)'!M5</f>
        <v>1.543604614791393E-4</v>
      </c>
      <c r="N17" s="2271">
        <f>'Output-FR (show)'!N27/'Output-FR (show)'!N5</f>
        <v>1.192214837248297E-4</v>
      </c>
      <c r="O17" s="2271">
        <f>'Output-FR (show)'!O27/'Output-FR (show)'!O5</f>
        <v>1.0329210075050043E-4</v>
      </c>
      <c r="P17" s="2272">
        <f>'Output-FR (show)'!P27/'Output-FR (show)'!P5</f>
        <v>-1.9672808182325788E-4</v>
      </c>
      <c r="Q17" s="2307">
        <f>'Output-FR (show)'!Q27/'Output-FR (show)'!Q5</f>
        <v>7.6416002070936272E-5</v>
      </c>
      <c r="R17" s="2307">
        <f>'Output-FR (show)'!R27/'Output-FR (show)'!R5</f>
        <v>7.3247535857146225E-5</v>
      </c>
      <c r="S17" s="2307">
        <f>'Output-FR (show)'!S27/'Output-FR (show)'!S5</f>
        <v>5.801757564153304E-5</v>
      </c>
      <c r="T17" s="2307">
        <f>'Output-FR (show)'!T27/'Output-FR (show)'!T5</f>
        <v>5.4392879828714703E-5</v>
      </c>
      <c r="U17" s="2307">
        <f>'Output-FR (show)'!U27/'Output-FR (show)'!U5</f>
        <v>5.1182955047225954E-5</v>
      </c>
      <c r="V17" s="2307">
        <f>'Output-FR (show)'!V27/'Output-FR (show)'!V5</f>
        <v>4.8806728307235775E-5</v>
      </c>
      <c r="W17" s="2307">
        <f>'Output-FR (show)'!W27/'Output-FR (show)'!W5</f>
        <v>4.6134229456587481E-5</v>
      </c>
      <c r="X17" s="2307">
        <f>'Output-FR (show)'!X27/'Output-FR (show)'!X5</f>
        <v>4.4418593162445181E-5</v>
      </c>
      <c r="Y17" s="2307">
        <f>'Output-FR (show)'!Y27/'Output-FR (show)'!Y5</f>
        <v>4.2699611833378841E-5</v>
      </c>
      <c r="Z17" s="2307">
        <f>'Output-FR (show)'!Z27/'Output-FR (show)'!Z5</f>
        <v>4.0980815794081299E-5</v>
      </c>
    </row>
    <row r="18" spans="2:26" x14ac:dyDescent="0.25">
      <c r="B18" s="2267" t="s">
        <v>431</v>
      </c>
      <c r="D18" s="2270"/>
      <c r="E18" s="2270"/>
      <c r="F18" s="2270"/>
      <c r="G18" s="2270"/>
      <c r="H18" s="2270"/>
      <c r="I18" s="2270"/>
      <c r="J18" s="2271">
        <f>'Output-FR (show)'!J26/'Output-FR (show)'!J5</f>
        <v>0.11766008033224298</v>
      </c>
      <c r="K18" s="2271">
        <f>'Output-FR (show)'!K26/'Output-FR (show)'!K5</f>
        <v>1.6133876526673712E-4</v>
      </c>
      <c r="L18" s="2271">
        <f>'Output-FR (show)'!L26/'Output-FR (show)'!L5</f>
        <v>4.9613697783975892E-4</v>
      </c>
      <c r="M18" s="2271">
        <f>'Output-FR (show)'!M26/'Output-FR (show)'!M5</f>
        <v>1.6517256361347956E-4</v>
      </c>
      <c r="N18" s="2271">
        <f>'Output-FR (show)'!N26/'Output-FR (show)'!N5</f>
        <v>2.7458476273496208E-4</v>
      </c>
      <c r="O18" s="2271">
        <f>'Output-FR (show)'!O26/'Output-FR (show)'!O5</f>
        <v>2.2860204109982868E-3</v>
      </c>
      <c r="P18" s="2272">
        <f>'Output-FR (show)'!P26/'Output-FR (show)'!P5</f>
        <v>1.1996666785401195E-3</v>
      </c>
      <c r="Q18" s="2307">
        <f>'Output-FR (show)'!Q26/'Output-FR (show)'!Q5</f>
        <v>6.2035372377168725E-4</v>
      </c>
      <c r="R18" s="2307">
        <f>'Output-FR (show)'!R26/'Output-FR (show)'!R5</f>
        <v>6.7242143825492593E-4</v>
      </c>
      <c r="S18" s="2307">
        <f>'Output-FR (show)'!S26/'Output-FR (show)'!S5</f>
        <v>5.6933282310323214E-4</v>
      </c>
      <c r="T18" s="2307">
        <f>'Output-FR (show)'!T26/'Output-FR (show)'!T5</f>
        <v>6.0633029513316051E-4</v>
      </c>
      <c r="U18" s="2307">
        <f>'Output-FR (show)'!U26/'Output-FR (show)'!U5</f>
        <v>6.4254508187238941E-4</v>
      </c>
      <c r="V18" s="2307">
        <f>'Output-FR (show)'!V26/'Output-FR (show)'!V5</f>
        <v>5.3218069858352842E-4</v>
      </c>
      <c r="W18" s="2307">
        <f>'Output-FR (show)'!W26/'Output-FR (show)'!W5</f>
        <v>4.7453906180757968E-4</v>
      </c>
      <c r="X18" s="2307">
        <f>'Output-FR (show)'!X26/'Output-FR (show)'!X5</f>
        <v>4.7294140333440645E-4</v>
      </c>
      <c r="Y18" s="2307">
        <f>'Output-FR (show)'!Y26/'Output-FR (show)'!Y5</f>
        <v>4.6508060633247299E-4</v>
      </c>
      <c r="Z18" s="2307">
        <f>'Output-FR (show)'!Z26/'Output-FR (show)'!Z5</f>
        <v>4.5372802179397751E-4</v>
      </c>
    </row>
    <row r="19" spans="2:26" x14ac:dyDescent="0.25">
      <c r="B19" s="2267" t="s">
        <v>435</v>
      </c>
      <c r="D19" s="2270"/>
      <c r="E19" s="2270"/>
      <c r="F19" s="2270"/>
      <c r="G19" s="2270"/>
      <c r="H19" s="2270"/>
      <c r="I19" s="2270"/>
      <c r="J19" s="2271">
        <f>'Output-FR (show)'!J21/'Output-FR (show)'!J5</f>
        <v>1.4460316392997887E-2</v>
      </c>
      <c r="K19" s="2271">
        <f>'Output-FR (show)'!K21/'Output-FR (show)'!K5</f>
        <v>1.1707396192748071E-2</v>
      </c>
      <c r="L19" s="2271">
        <f>'Output-FR (show)'!L21/'Output-FR (show)'!L5</f>
        <v>1.3523292715258758E-2</v>
      </c>
      <c r="M19" s="2271">
        <f>'Output-FR (show)'!M21/'Output-FR (show)'!M5</f>
        <v>1.1473386219315396E-2</v>
      </c>
      <c r="N19" s="2271">
        <f>'Output-FR (show)'!N21/'Output-FR (show)'!N5</f>
        <v>1.0502371771883696E-2</v>
      </c>
      <c r="O19" s="2271">
        <f>'Output-FR (show)'!O21/'Output-FR (show)'!O5</f>
        <v>6.1671248358313897E-3</v>
      </c>
      <c r="P19" s="2272">
        <f>'Output-FR (show)'!P21/'Output-FR (show)'!P5</f>
        <v>4.0552879565541461E-3</v>
      </c>
      <c r="Q19" s="2307">
        <f ca="1">'Output-FR (show)'!Q21/'Output-FR (show)'!Q5</f>
        <v>1.0239335116249472E-2</v>
      </c>
      <c r="R19" s="2307">
        <f ca="1">'Output-FR (show)'!R21/'Output-FR (show)'!R5</f>
        <v>1.2900797329189573E-2</v>
      </c>
      <c r="S19" s="2307">
        <f ca="1">'Output-FR (show)'!S21/'Output-FR (show)'!S5</f>
        <v>1.1664545484592392E-2</v>
      </c>
      <c r="T19" s="2307">
        <f ca="1">'Output-FR (show)'!T21/'Output-FR (show)'!T5</f>
        <v>1.3671343128330612E-2</v>
      </c>
      <c r="U19" s="2307">
        <f ca="1">'Output-FR (show)'!U21/'Output-FR (show)'!U5</f>
        <v>1.6235142541962264E-2</v>
      </c>
      <c r="V19" s="2307">
        <f ca="1">'Output-FR (show)'!V21/'Output-FR (show)'!V5</f>
        <v>1.9999502060873555E-2</v>
      </c>
      <c r="W19" s="2307">
        <f ca="1">'Output-FR (show)'!W21/'Output-FR (show)'!W5</f>
        <v>2.3075821916520432E-2</v>
      </c>
      <c r="X19" s="2307">
        <f ca="1">'Output-FR (show)'!X21/'Output-FR (show)'!X5</f>
        <v>2.5319580399421546E-2</v>
      </c>
      <c r="Y19" s="2307">
        <f ca="1">'Output-FR (show)'!Y21/'Output-FR (show)'!Y5</f>
        <v>2.8388772084507297E-2</v>
      </c>
      <c r="Z19" s="2307">
        <f ca="1">'Output-FR (show)'!Z21/'Output-FR (show)'!Z5</f>
        <v>3.1255740076880929E-2</v>
      </c>
    </row>
    <row r="20" spans="2:26" x14ac:dyDescent="0.25">
      <c r="B20" s="2267" t="s">
        <v>604</v>
      </c>
      <c r="D20" s="2270"/>
      <c r="E20" s="2270"/>
      <c r="F20" s="2270"/>
      <c r="G20" s="2270"/>
      <c r="H20" s="2270"/>
      <c r="I20" s="2270"/>
      <c r="J20" s="2271">
        <f>'Output-FR (show)'!J22/'Output-FR (show)'!J5</f>
        <v>1.2910403525502311E-2</v>
      </c>
      <c r="K20" s="2271">
        <f>'Output-FR (show)'!K22/'Output-FR (show)'!K5</f>
        <v>6.5726880216290433E-3</v>
      </c>
      <c r="L20" s="2271">
        <f>'Output-FR (show)'!L22/'Output-FR (show)'!L5</f>
        <v>7.7878761378763206E-3</v>
      </c>
      <c r="M20" s="2271">
        <f>'Output-FR (show)'!M22/'Output-FR (show)'!M5</f>
        <v>8.7079388298170746E-3</v>
      </c>
      <c r="N20" s="2271">
        <f>'Output-FR (show)'!N22/'Output-FR (show)'!N5</f>
        <v>1.1589597367587723E-2</v>
      </c>
      <c r="O20" s="2271">
        <f>'Output-FR (show)'!O22/'Output-FR (show)'!O5</f>
        <v>1.1397035577739811E-2</v>
      </c>
      <c r="P20" s="2299">
        <f>'Output-FR (show)'!P22/'Output-FR (show)'!P5</f>
        <v>5.5482791169306532E-3</v>
      </c>
      <c r="Q20" s="2307">
        <f ca="1">'Output-FR (show)'!Q22/'Output-FR (show)'!Q5</f>
        <v>1.2015170198852719E-2</v>
      </c>
      <c r="R20" s="2307">
        <f ca="1">'Output-FR (show)'!R22/'Output-FR (show)'!R5</f>
        <v>1.6865753122123805E-2</v>
      </c>
      <c r="S20" s="2307">
        <f ca="1">'Output-FR (show)'!S22/'Output-FR (show)'!S5</f>
        <v>1.4836569291621332E-2</v>
      </c>
      <c r="T20" s="2307">
        <f ca="1">'Output-FR (show)'!T22/'Output-FR (show)'!T5</f>
        <v>1.2332801648098867E-2</v>
      </c>
      <c r="U20" s="2307">
        <f ca="1">'Output-FR (show)'!U22/'Output-FR (show)'!U5</f>
        <v>1.0094061595631393E-2</v>
      </c>
      <c r="V20" s="2307">
        <f ca="1">'Output-FR (show)'!V22/'Output-FR (show)'!V5</f>
        <v>8.3107075616656277E-3</v>
      </c>
      <c r="W20" s="2307">
        <f ca="1">'Output-FR (show)'!W22/'Output-FR (show)'!W5</f>
        <v>6.9196068259593261E-3</v>
      </c>
      <c r="X20" s="2307">
        <f ca="1">'Output-FR (show)'!X22/'Output-FR (show)'!X5</f>
        <v>6.6267226794228988E-3</v>
      </c>
      <c r="Y20" s="2307">
        <f ca="1">'Output-FR (show)'!Y22/'Output-FR (show)'!Y5</f>
        <v>6.5830878180927112E-3</v>
      </c>
      <c r="Z20" s="2307">
        <f ca="1">'Output-FR (show)'!Z22/'Output-FR (show)'!Z5</f>
        <v>6.5778817901554027E-3</v>
      </c>
    </row>
    <row r="21" spans="2:26" x14ac:dyDescent="0.25">
      <c r="B21" s="2273" t="s">
        <v>1936</v>
      </c>
      <c r="C21" s="2273"/>
      <c r="D21" s="2274"/>
      <c r="E21" s="2274"/>
      <c r="F21" s="2274"/>
      <c r="G21" s="2274"/>
      <c r="H21" s="2274"/>
      <c r="I21" s="2274"/>
      <c r="J21" s="2275">
        <f>J15-J17+J18+J19-J20</f>
        <v>0.22354310387332177</v>
      </c>
      <c r="K21" s="2275">
        <f t="shared" ref="K21:Z21" si="3">K15-K17+K18+K19-K20</f>
        <v>0.11925514003026493</v>
      </c>
      <c r="L21" s="2275">
        <f t="shared" si="3"/>
        <v>0.14087483991125199</v>
      </c>
      <c r="M21" s="2275">
        <f t="shared" si="3"/>
        <v>0.13593381153270481</v>
      </c>
      <c r="N21" s="2275">
        <f t="shared" si="3"/>
        <v>0.12647232049344084</v>
      </c>
      <c r="O21" s="2275">
        <f t="shared" si="3"/>
        <v>0.14157490385697746</v>
      </c>
      <c r="P21" s="2276">
        <f t="shared" si="3"/>
        <v>0.13922192563682798</v>
      </c>
      <c r="Q21" s="2308">
        <f t="shared" ca="1" si="3"/>
        <v>0.1619992449214657</v>
      </c>
      <c r="R21" s="2308">
        <f t="shared" ca="1" si="3"/>
        <v>0.15277865684291184</v>
      </c>
      <c r="S21" s="2308">
        <f t="shared" ca="1" si="3"/>
        <v>0.17751708111555731</v>
      </c>
      <c r="T21" s="2308">
        <f t="shared" ca="1" si="3"/>
        <v>0.19287610152859802</v>
      </c>
      <c r="U21" s="2308">
        <f t="shared" ca="1" si="3"/>
        <v>0.21038527317182779</v>
      </c>
      <c r="V21" s="2308">
        <f t="shared" ca="1" si="3"/>
        <v>0.22107577086585953</v>
      </c>
      <c r="W21" s="2308">
        <f t="shared" ca="1" si="3"/>
        <v>0.2321131103002492</v>
      </c>
      <c r="X21" s="2308">
        <f t="shared" ca="1" si="3"/>
        <v>0.23501750948855646</v>
      </c>
      <c r="Y21" s="2308">
        <f t="shared" ca="1" si="3"/>
        <v>0.23855714414803711</v>
      </c>
      <c r="Z21" s="2308">
        <f t="shared" ca="1" si="3"/>
        <v>0.24191793343600432</v>
      </c>
    </row>
    <row r="22" spans="2:26" x14ac:dyDescent="0.25">
      <c r="D22" s="2270"/>
      <c r="E22" s="2270"/>
      <c r="F22" s="2270"/>
      <c r="G22" s="2270"/>
      <c r="H22" s="2270"/>
      <c r="I22" s="2270"/>
      <c r="J22" s="2270"/>
      <c r="K22" s="2270"/>
      <c r="L22" s="2270"/>
      <c r="M22" s="2270"/>
      <c r="N22" s="2270"/>
      <c r="O22" s="2270"/>
      <c r="P22" s="2278"/>
      <c r="Q22" s="2309"/>
      <c r="R22" s="2309"/>
      <c r="S22" s="2309"/>
      <c r="T22" s="2309"/>
      <c r="U22" s="2309"/>
      <c r="V22" s="2309"/>
      <c r="W22" s="2309"/>
      <c r="X22" s="2309"/>
      <c r="Y22" s="2309"/>
      <c r="Z22" s="2310"/>
    </row>
    <row r="23" spans="2:26" x14ac:dyDescent="0.25">
      <c r="B23" s="2267" t="s">
        <v>463</v>
      </c>
      <c r="D23" s="2270"/>
      <c r="E23" s="2270"/>
      <c r="F23" s="2270"/>
      <c r="G23" s="2270"/>
      <c r="H23" s="2270"/>
      <c r="I23" s="2270"/>
      <c r="J23" s="2271">
        <f>'Output-FR (show)'!J31/'Output-FR (show)'!J5</f>
        <v>4.8234061924375946E-2</v>
      </c>
      <c r="K23" s="2271">
        <f>'Output-FR (show)'!K31/'Output-FR (show)'!K5</f>
        <v>2.4831728501877724E-2</v>
      </c>
      <c r="L23" s="2271">
        <f>'Output-FR (show)'!L31/'Output-FR (show)'!L5</f>
        <v>2.8241521926442845E-2</v>
      </c>
      <c r="M23" s="2271">
        <f>'Output-FR (show)'!M31/'Output-FR (show)'!M5</f>
        <v>2.7138391077852115E-2</v>
      </c>
      <c r="N23" s="2271">
        <f>'Output-FR (show)'!N31/'Output-FR (show)'!N5</f>
        <v>2.5192310649726209E-2</v>
      </c>
      <c r="O23" s="2271">
        <f>'Output-FR (show)'!O31/'Output-FR (show)'!O5</f>
        <v>2.8109060757511219E-2</v>
      </c>
      <c r="P23" s="2272">
        <f>'Output-FR (show)'!P31/'Output-FR (show)'!P5</f>
        <v>3.1223414955474347E-2</v>
      </c>
      <c r="Q23" s="2307">
        <f ca="1">'Output-FR (show)'!Q31/'Output-FR (show)'!Q5</f>
        <v>3.618299460930148E-2</v>
      </c>
      <c r="R23" s="2307">
        <f ca="1">'Output-FR (show)'!R31/'Output-FR (show)'!R5</f>
        <v>3.4257788469043669E-2</v>
      </c>
      <c r="S23" s="2307">
        <f ca="1">'Output-FR (show)'!S31/'Output-FR (show)'!S5</f>
        <v>3.9423030198123196E-2</v>
      </c>
      <c r="T23" s="2307">
        <f ca="1">'Output-FR (show)'!T31/'Output-FR (show)'!T5</f>
        <v>4.2629905958716581E-2</v>
      </c>
      <c r="U23" s="2307">
        <f ca="1">'Output-FR (show)'!U31/'Output-FR (show)'!U5</f>
        <v>4.6285721018579924E-2</v>
      </c>
      <c r="V23" s="2307">
        <f ca="1">'Output-FR (show)'!V31/'Output-FR (show)'!V5</f>
        <v>4.8517835893208357E-2</v>
      </c>
      <c r="W23" s="2307">
        <f ca="1">'Output-FR (show)'!W31/'Output-FR (show)'!W5</f>
        <v>5.0822369342720088E-2</v>
      </c>
      <c r="X23" s="2307">
        <f ca="1">'Output-FR (show)'!X31/'Output-FR (show)'!X5</f>
        <v>5.1428791308808591E-2</v>
      </c>
      <c r="Y23" s="2307">
        <f ca="1">'Output-FR (show)'!Y31/'Output-FR (show)'!Y5</f>
        <v>5.2167846814015609E-2</v>
      </c>
      <c r="Z23" s="2307">
        <f ca="1">'Output-FR (show)'!Z31/'Output-FR (show)'!Z5</f>
        <v>5.2869560426876828E-2</v>
      </c>
    </row>
    <row r="24" spans="2:26" x14ac:dyDescent="0.25">
      <c r="B24" s="2267" t="s">
        <v>457</v>
      </c>
      <c r="D24" s="2270"/>
      <c r="E24" s="2270"/>
      <c r="F24" s="2270"/>
      <c r="G24" s="2270"/>
      <c r="H24" s="2270"/>
      <c r="I24" s="2270"/>
      <c r="J24" s="2271">
        <f>'Output-FR (show)'!J24/'Output-FR (show)'!J5</f>
        <v>0</v>
      </c>
      <c r="K24" s="2271">
        <f>'Output-FR (show)'!K24/'Output-FR (show)'!K5</f>
        <v>7.743785023273963E-3</v>
      </c>
      <c r="L24" s="2271">
        <f>'Output-FR (show)'!L24/'Output-FR (show)'!L5</f>
        <v>5.7844529910694989E-3</v>
      </c>
      <c r="M24" s="2271">
        <f>'Output-FR (show)'!M24/'Output-FR (show)'!M5</f>
        <v>7.5514526174038123E-3</v>
      </c>
      <c r="N24" s="2271">
        <f>'Output-FR (show)'!N24/'Output-FR (show)'!N5</f>
        <v>1.1444208126414336E-2</v>
      </c>
      <c r="O24" s="2271">
        <f>'Output-FR (show)'!O24/'Output-FR (show)'!O5</f>
        <v>1.2123294874167551E-2</v>
      </c>
      <c r="P24" s="2272">
        <f>'Output-FR (show)'!P24/'Output-FR (show)'!P5</f>
        <v>1.0319591860948362E-2</v>
      </c>
      <c r="Q24" s="2307">
        <f>'Output-FR (show)'!Q24/'Output-FR (show)'!Q5</f>
        <v>1.1295698287176749E-2</v>
      </c>
      <c r="R24" s="2307">
        <f>'Output-FR (show)'!R24/'Output-FR (show)'!R5</f>
        <v>1.1295698287176749E-2</v>
      </c>
      <c r="S24" s="2307">
        <f>'Output-FR (show)'!S24/'Output-FR (show)'!S5</f>
        <v>1.1295698287176749E-2</v>
      </c>
      <c r="T24" s="2307">
        <f>'Output-FR (show)'!T24/'Output-FR (show)'!T5</f>
        <v>1.1295698287176749E-2</v>
      </c>
      <c r="U24" s="2307">
        <f>'Output-FR (show)'!U24/'Output-FR (show)'!U5</f>
        <v>1.1295698287176749E-2</v>
      </c>
      <c r="V24" s="2307">
        <f>'Output-FR (show)'!V24/'Output-FR (show)'!V5</f>
        <v>1.1295698287176749E-2</v>
      </c>
      <c r="W24" s="2307">
        <f>'Output-FR (show)'!W24/'Output-FR (show)'!W5</f>
        <v>1.1295698287176749E-2</v>
      </c>
      <c r="X24" s="2307">
        <f>'Output-FR (show)'!X24/'Output-FR (show)'!X5</f>
        <v>1.1295698287176749E-2</v>
      </c>
      <c r="Y24" s="2307">
        <f>'Output-FR (show)'!Y24/'Output-FR (show)'!Y5</f>
        <v>1.1295698287176749E-2</v>
      </c>
      <c r="Z24" s="2307">
        <f>'Output-FR (show)'!Z24/'Output-FR (show)'!Z5</f>
        <v>1.1295698287176749E-2</v>
      </c>
    </row>
    <row r="25" spans="2:26" x14ac:dyDescent="0.25">
      <c r="B25" s="2267" t="s">
        <v>1937</v>
      </c>
      <c r="D25" s="2270"/>
      <c r="E25" s="2270"/>
      <c r="F25" s="2270"/>
      <c r="G25" s="2270"/>
      <c r="H25" s="2270"/>
      <c r="I25" s="2270"/>
      <c r="J25" s="2271">
        <f>'Output-FR (show)'!J34/'Output-FR (show)'!J5</f>
        <v>0</v>
      </c>
      <c r="K25" s="2271">
        <f>'Output-FR (show)'!K34/'Output-FR (show)'!K5</f>
        <v>0</v>
      </c>
      <c r="L25" s="2271">
        <f>'Output-FR (show)'!L34/'Output-FR (show)'!L5</f>
        <v>0</v>
      </c>
      <c r="M25" s="2271">
        <f>'Output-FR (show)'!M34/'Output-FR (show)'!M5</f>
        <v>0</v>
      </c>
      <c r="N25" s="2271">
        <f>'Output-FR (show)'!N34/'Output-FR (show)'!N5</f>
        <v>0</v>
      </c>
      <c r="O25" s="2271">
        <f>'Output-FR (show)'!O34/'Output-FR (show)'!O5</f>
        <v>0</v>
      </c>
      <c r="P25" s="2272">
        <f>'Output-FR (show)'!P34/'Output-FR (show)'!P5</f>
        <v>0</v>
      </c>
      <c r="Q25" s="2307">
        <f ca="1">'Output-FR (show)'!Q34/'Output-FR (show)'!Q5</f>
        <v>0</v>
      </c>
      <c r="R25" s="2307">
        <f ca="1">'Output-FR (show)'!R34/'Output-FR (show)'!R5</f>
        <v>0</v>
      </c>
      <c r="S25" s="2307">
        <f ca="1">'Output-FR (show)'!S34/'Output-FR (show)'!S5</f>
        <v>0</v>
      </c>
      <c r="T25" s="2307">
        <f ca="1">'Output-FR (show)'!T34/'Output-FR (show)'!T5</f>
        <v>0</v>
      </c>
      <c r="U25" s="2307">
        <f ca="1">'Output-FR (show)'!U34/'Output-FR (show)'!U5</f>
        <v>0</v>
      </c>
      <c r="V25" s="2307">
        <f ca="1">'Output-FR (show)'!V34/'Output-FR (show)'!V5</f>
        <v>0</v>
      </c>
      <c r="W25" s="2307">
        <f ca="1">'Output-FR (show)'!W34/'Output-FR (show)'!W5</f>
        <v>0</v>
      </c>
      <c r="X25" s="2307">
        <f ca="1">'Output-FR (show)'!X34/'Output-FR (show)'!X5</f>
        <v>0</v>
      </c>
      <c r="Y25" s="2307">
        <f ca="1">'Output-FR (show)'!Y34/'Output-FR (show)'!Y5</f>
        <v>0</v>
      </c>
      <c r="Z25" s="2307">
        <f ca="1">'Output-FR (show)'!Z34/'Output-FR (show)'!Z5</f>
        <v>0</v>
      </c>
    </row>
    <row r="26" spans="2:26" ht="13.8" thickBot="1" x14ac:dyDescent="0.3">
      <c r="B26" s="2281" t="s">
        <v>466</v>
      </c>
      <c r="C26" s="2281"/>
      <c r="D26" s="2282"/>
      <c r="E26" s="2282"/>
      <c r="F26" s="2282"/>
      <c r="G26" s="2282"/>
      <c r="H26" s="2282"/>
      <c r="I26" s="2282"/>
      <c r="J26" s="2283">
        <f>'Output-FR (show)'!J32/'Output-FR (show)'!J5</f>
        <v>0.17530904194894578</v>
      </c>
      <c r="K26" s="2283">
        <f>'Output-FR (show)'!K32/'Output-FR (show)'!K5</f>
        <v>0.10216719655166115</v>
      </c>
      <c r="L26" s="2283">
        <f>'Output-FR (show)'!L32/'Output-FR (show)'!L5</f>
        <v>0.11841777097587865</v>
      </c>
      <c r="M26" s="2283">
        <f>'Output-FR (show)'!M32/'Output-FR (show)'!M5</f>
        <v>0.11634687307225651</v>
      </c>
      <c r="N26" s="2283">
        <f>'Output-FR (show)'!N32/'Output-FR (show)'!N5</f>
        <v>0.11272421797012901</v>
      </c>
      <c r="O26" s="2283">
        <f>'Output-FR (show)'!O32/'Output-FR (show)'!O5</f>
        <v>0.12558913797363375</v>
      </c>
      <c r="P26" s="2284">
        <f>'Output-FR (show)'!P32/'Output-FR (show)'!P5</f>
        <v>0.118318102542302</v>
      </c>
      <c r="Q26" s="2312">
        <f ca="1">'Output-FR (show)'!Q32/'Output-FR (show)'!Q5</f>
        <v>0.13711194859934098</v>
      </c>
      <c r="R26" s="2312">
        <f ca="1">'Output-FR (show)'!R32/'Output-FR (show)'!R5</f>
        <v>0.12981656666104485</v>
      </c>
      <c r="S26" s="2312">
        <f ca="1">'Output-FR (show)'!S32/'Output-FR (show)'!S5</f>
        <v>0.14938974920461087</v>
      </c>
      <c r="T26" s="2312">
        <f ca="1">'Output-FR (show)'!T32/'Output-FR (show)'!T5</f>
        <v>0.16154189385705819</v>
      </c>
      <c r="U26" s="2312">
        <f ca="1">'Output-FR (show)'!U32/'Output-FR (show)'!U5</f>
        <v>0.17539525044042462</v>
      </c>
      <c r="V26" s="2312">
        <f ca="1">'Output-FR (show)'!V32/'Output-FR (show)'!V5</f>
        <v>0.18385363325982793</v>
      </c>
      <c r="W26" s="2312">
        <f ca="1">'Output-FR (show)'!W32/'Output-FR (show)'!W5</f>
        <v>0.19258643924470586</v>
      </c>
      <c r="X26" s="2312">
        <f ca="1">'Output-FR (show)'!X32/'Output-FR (show)'!X5</f>
        <v>0.19488441646692459</v>
      </c>
      <c r="Y26" s="2312">
        <f ca="1">'Output-FR (show)'!Y32/'Output-FR (show)'!Y5</f>
        <v>0.19768499562119821</v>
      </c>
      <c r="Z26" s="2312">
        <f ca="1">'Output-FR (show)'!Z32/'Output-FR (show)'!Z5</f>
        <v>0.20034407129630422</v>
      </c>
    </row>
    <row r="27" spans="2:26" ht="13.8" thickTop="1" x14ac:dyDescent="0.25">
      <c r="D27" s="2270"/>
      <c r="E27" s="2270"/>
      <c r="F27" s="2270"/>
      <c r="G27" s="2270"/>
      <c r="H27" s="2270"/>
      <c r="I27" s="2270"/>
      <c r="J27" s="2271"/>
      <c r="K27" s="2271"/>
      <c r="L27" s="2271"/>
      <c r="M27" s="2271"/>
      <c r="N27" s="2271"/>
      <c r="O27" s="2271"/>
      <c r="P27" s="2272"/>
      <c r="Q27" s="2307"/>
      <c r="R27" s="2307"/>
      <c r="S27" s="2307"/>
      <c r="T27" s="2307"/>
      <c r="U27" s="2307"/>
      <c r="V27" s="2307"/>
      <c r="W27" s="2307"/>
      <c r="X27" s="2307"/>
      <c r="Y27" s="2307"/>
      <c r="Z27" s="2307"/>
    </row>
    <row r="28" spans="2:26" x14ac:dyDescent="0.25">
      <c r="B28" s="2267" t="s">
        <v>486</v>
      </c>
      <c r="D28" s="2270"/>
      <c r="E28" s="2270"/>
      <c r="F28" s="2270"/>
      <c r="G28" s="2270"/>
      <c r="H28" s="2270"/>
      <c r="I28" s="2270"/>
      <c r="J28" s="2271">
        <f>'Output-FR (show)'!J38/'Output-FR (show)'!J5</f>
        <v>0</v>
      </c>
      <c r="K28" s="2271">
        <f>'Output-FR (show)'!K38/'Output-FR (show)'!K5</f>
        <v>0</v>
      </c>
      <c r="L28" s="2271">
        <f>'Output-FR (show)'!L38/'Output-FR (show)'!L5</f>
        <v>0</v>
      </c>
      <c r="M28" s="2271">
        <f>'Output-FR (show)'!M38/'Output-FR (show)'!M5</f>
        <v>0</v>
      </c>
      <c r="N28" s="2271">
        <f>'Output-FR (show)'!N38/'Output-FR (show)'!N5</f>
        <v>0</v>
      </c>
      <c r="O28" s="2271">
        <f>'Output-FR (show)'!O38/'Output-FR (show)'!O5</f>
        <v>0</v>
      </c>
      <c r="P28" s="2272">
        <f>'Output-FR (show)'!P38/'Output-FR (show)'!P5</f>
        <v>0</v>
      </c>
      <c r="Q28" s="2307">
        <f>'Output-FR (show)'!Q38/'Output-FR (show)'!Q5</f>
        <v>0</v>
      </c>
      <c r="R28" s="2307">
        <f>'Output-FR (show)'!R38/'Output-FR (show)'!R5</f>
        <v>0</v>
      </c>
      <c r="S28" s="2307">
        <f>'Output-FR (show)'!S38/'Output-FR (show)'!S5</f>
        <v>0</v>
      </c>
      <c r="T28" s="2307">
        <f>'Output-FR (show)'!T38/'Output-FR (show)'!T5</f>
        <v>0</v>
      </c>
      <c r="U28" s="2307">
        <f>'Output-FR (show)'!U38/'Output-FR (show)'!U5</f>
        <v>0</v>
      </c>
      <c r="V28" s="2307">
        <f>'Output-FR (show)'!V38/'Output-FR (show)'!V5</f>
        <v>0</v>
      </c>
      <c r="W28" s="2307">
        <f>'Output-FR (show)'!W38/'Output-FR (show)'!W5</f>
        <v>0</v>
      </c>
      <c r="X28" s="2307">
        <f>'Output-FR (show)'!X38/'Output-FR (show)'!X5</f>
        <v>0</v>
      </c>
      <c r="Y28" s="2307">
        <f>'Output-FR (show)'!Y38/'Output-FR (show)'!Y5</f>
        <v>0</v>
      </c>
      <c r="Z28" s="2307">
        <f>'Output-FR (show)'!Z38/'Output-FR (show)'!Z5</f>
        <v>0</v>
      </c>
    </row>
    <row r="29" spans="2:26" x14ac:dyDescent="0.25">
      <c r="B29" s="2267" t="s">
        <v>489</v>
      </c>
      <c r="D29" s="2270"/>
      <c r="E29" s="2270"/>
      <c r="F29" s="2270"/>
      <c r="G29" s="2270"/>
      <c r="H29" s="2270"/>
      <c r="I29" s="2270"/>
      <c r="J29" s="2271">
        <f>'Output-FR (show)'!J39/'Output-FR (show)'!J5</f>
        <v>0</v>
      </c>
      <c r="K29" s="2271">
        <f>'Output-FR (show)'!K39/'Output-FR (show)'!K5</f>
        <v>0</v>
      </c>
      <c r="L29" s="2271">
        <f>'Output-FR (show)'!L39/'Output-FR (show)'!L5</f>
        <v>0</v>
      </c>
      <c r="M29" s="2271">
        <f>'Output-FR (show)'!M39/'Output-FR (show)'!M5</f>
        <v>0</v>
      </c>
      <c r="N29" s="2271">
        <f>'Output-FR (show)'!N39/'Output-FR (show)'!N5</f>
        <v>0</v>
      </c>
      <c r="O29" s="2271">
        <f>'Output-FR (show)'!O39/'Output-FR (show)'!O5</f>
        <v>0</v>
      </c>
      <c r="P29" s="2272">
        <f>'Output-FR (show)'!P39/'Output-FR (show)'!P5</f>
        <v>0</v>
      </c>
      <c r="Q29" s="2307">
        <f>'Output-FR (show)'!Q39/'Output-FR (show)'!Q5</f>
        <v>0</v>
      </c>
      <c r="R29" s="2307">
        <f>'Output-FR (show)'!R39/'Output-FR (show)'!R5</f>
        <v>0</v>
      </c>
      <c r="S29" s="2307">
        <f>'Output-FR (show)'!S39/'Output-FR (show)'!S5</f>
        <v>0</v>
      </c>
      <c r="T29" s="2307">
        <f>'Output-FR (show)'!T39/'Output-FR (show)'!T5</f>
        <v>0</v>
      </c>
      <c r="U29" s="2307">
        <f>'Output-FR (show)'!U39/'Output-FR (show)'!U5</f>
        <v>0</v>
      </c>
      <c r="V29" s="2307">
        <f>'Output-FR (show)'!V39/'Output-FR (show)'!V5</f>
        <v>0</v>
      </c>
      <c r="W29" s="2307">
        <f>'Output-FR (show)'!W39/'Output-FR (show)'!W5</f>
        <v>0</v>
      </c>
      <c r="X29" s="2307">
        <f>'Output-FR (show)'!X39/'Output-FR (show)'!X5</f>
        <v>0</v>
      </c>
      <c r="Y29" s="2307">
        <f>'Output-FR (show)'!Y39/'Output-FR (show)'!Y5</f>
        <v>0</v>
      </c>
      <c r="Z29" s="2307">
        <f>'Output-FR (show)'!Z39/'Output-FR (show)'!Z5</f>
        <v>0</v>
      </c>
    </row>
    <row r="30" spans="2:26" s="2277" customFormat="1" ht="13.8" thickBot="1" x14ac:dyDescent="0.3">
      <c r="B30" s="2281" t="s">
        <v>1938</v>
      </c>
      <c r="C30" s="2281"/>
      <c r="D30" s="2282"/>
      <c r="E30" s="2282"/>
      <c r="F30" s="2282"/>
      <c r="G30" s="2282"/>
      <c r="H30" s="2282"/>
      <c r="I30" s="2282"/>
      <c r="J30" s="2283">
        <f>J26-J28-J29</f>
        <v>0.17530904194894578</v>
      </c>
      <c r="K30" s="2283">
        <f t="shared" ref="K30:Z30" si="4">K26-K28-K29</f>
        <v>0.10216719655166115</v>
      </c>
      <c r="L30" s="2283">
        <f t="shared" si="4"/>
        <v>0.11841777097587865</v>
      </c>
      <c r="M30" s="2283">
        <f t="shared" si="4"/>
        <v>0.11634687307225651</v>
      </c>
      <c r="N30" s="2283">
        <f t="shared" si="4"/>
        <v>0.11272421797012901</v>
      </c>
      <c r="O30" s="2283">
        <f t="shared" si="4"/>
        <v>0.12558913797363375</v>
      </c>
      <c r="P30" s="2284">
        <f t="shared" si="4"/>
        <v>0.118318102542302</v>
      </c>
      <c r="Q30" s="2312">
        <f t="shared" ca="1" si="4"/>
        <v>0.13711194859934098</v>
      </c>
      <c r="R30" s="2312">
        <f t="shared" ca="1" si="4"/>
        <v>0.12981656666104485</v>
      </c>
      <c r="S30" s="2312">
        <f t="shared" ca="1" si="4"/>
        <v>0.14938974920461087</v>
      </c>
      <c r="T30" s="2312">
        <f t="shared" ca="1" si="4"/>
        <v>0.16154189385705819</v>
      </c>
      <c r="U30" s="2312">
        <f t="shared" ca="1" si="4"/>
        <v>0.17539525044042462</v>
      </c>
      <c r="V30" s="2312">
        <f t="shared" ca="1" si="4"/>
        <v>0.18385363325982793</v>
      </c>
      <c r="W30" s="2312">
        <f t="shared" ca="1" si="4"/>
        <v>0.19258643924470586</v>
      </c>
      <c r="X30" s="2312">
        <f t="shared" ca="1" si="4"/>
        <v>0.19488441646692459</v>
      </c>
      <c r="Y30" s="2312">
        <f t="shared" ca="1" si="4"/>
        <v>0.19768499562119821</v>
      </c>
      <c r="Z30" s="2312">
        <f t="shared" ca="1" si="4"/>
        <v>0.20034407129630422</v>
      </c>
    </row>
    <row r="31" spans="2:26" ht="13.8" thickTop="1" x14ac:dyDescent="0.25">
      <c r="D31" s="2270"/>
      <c r="E31" s="2270"/>
      <c r="F31" s="2270"/>
      <c r="G31" s="2270"/>
      <c r="H31" s="2270"/>
      <c r="I31" s="2270"/>
      <c r="J31" s="2270"/>
      <c r="K31" s="2270"/>
      <c r="L31" s="2270"/>
      <c r="M31" s="2285"/>
      <c r="N31" s="2270"/>
      <c r="O31" s="2270"/>
      <c r="P31" s="2278"/>
      <c r="Q31" s="2309"/>
      <c r="R31" s="2309"/>
      <c r="S31" s="2309"/>
      <c r="T31" s="2309"/>
      <c r="U31" s="2309"/>
      <c r="V31" s="2309"/>
      <c r="W31" s="2309"/>
      <c r="X31" s="2309"/>
      <c r="Y31" s="2309"/>
      <c r="Z31" s="2310"/>
    </row>
    <row r="32" spans="2:26" x14ac:dyDescent="0.25">
      <c r="B32" s="2267" t="s">
        <v>495</v>
      </c>
      <c r="D32" s="2270"/>
      <c r="E32" s="2270"/>
      <c r="F32" s="2270"/>
      <c r="G32" s="2270"/>
      <c r="H32" s="2270"/>
      <c r="I32" s="2270"/>
      <c r="J32" s="2271">
        <f>'Output-FR (show)'!J42/'Output-FR (show)'!J5</f>
        <v>5.126245898735711E-2</v>
      </c>
      <c r="K32" s="2271">
        <f>'Output-FR (show)'!K42/'Output-FR (show)'!K5</f>
        <v>5.675492517938701E-2</v>
      </c>
      <c r="L32" s="2271">
        <f>'Output-FR (show)'!L42/'Output-FR (show)'!L5</f>
        <v>5.6596275286136741E-2</v>
      </c>
      <c r="M32" s="2271">
        <f>'Output-FR (show)'!M42/'Output-FR (show)'!M5</f>
        <v>5.6079235448418946E-2</v>
      </c>
      <c r="N32" s="2271">
        <f>'Output-FR (show)'!N42/'Output-FR (show)'!N5</f>
        <v>6.2270502352074437E-2</v>
      </c>
      <c r="O32" s="2271">
        <f>'Output-FR (show)'!O42/'Output-FR (show)'!O5</f>
        <v>6.2507141701440505E-2</v>
      </c>
      <c r="P32" s="2272">
        <f>'Output-FR (show)'!P42/'Output-FR (show)'!P5</f>
        <v>2.9900462260401154E-4</v>
      </c>
      <c r="Q32" s="2307">
        <f>'Output-FR (show)'!Q42/'Output-FR (show)'!Q5</f>
        <v>1.7189635486822421E-2</v>
      </c>
      <c r="R32" s="2307">
        <f>'Output-FR (show)'!R42/'Output-FR (show)'!R5</f>
        <v>1.6476894990181363E-2</v>
      </c>
      <c r="S32" s="2307">
        <f>'Output-FR (show)'!S42/'Output-FR (show)'!S5</f>
        <v>2.6101888350068745E-2</v>
      </c>
      <c r="T32" s="2307">
        <f>'Output-FR (show)'!T42/'Output-FR (show)'!T5</f>
        <v>4.8942302763559681E-2</v>
      </c>
      <c r="U32" s="2307">
        <f>'Output-FR (show)'!U42/'Output-FR (show)'!U5</f>
        <v>4.6054036670670449E-2</v>
      </c>
      <c r="V32" s="2307">
        <f>'Output-FR (show)'!V42/'Output-FR (show)'!V5</f>
        <v>5.4894907229440786E-2</v>
      </c>
      <c r="W32" s="2307">
        <f>'Output-FR (show)'!W42/'Output-FR (show)'!W5</f>
        <v>7.2644655102683975E-2</v>
      </c>
      <c r="X32" s="2307">
        <f>'Output-FR (show)'!X42/'Output-FR (show)'!X5</f>
        <v>6.9943151071129847E-2</v>
      </c>
      <c r="Y32" s="2307">
        <f>'Output-FR (show)'!Y42/'Output-FR (show)'!Y5</f>
        <v>9.6051971177873757E-2</v>
      </c>
      <c r="Z32" s="2307">
        <f>'Output-FR (show)'!Z42/'Output-FR (show)'!Z5</f>
        <v>0.1014041291088268</v>
      </c>
    </row>
    <row r="33" spans="2:26" s="2277" customFormat="1" ht="13.8" thickBot="1" x14ac:dyDescent="0.3">
      <c r="B33" s="2281" t="s">
        <v>497</v>
      </c>
      <c r="C33" s="2281"/>
      <c r="D33" s="2282"/>
      <c r="E33" s="2282"/>
      <c r="F33" s="2282"/>
      <c r="G33" s="2282"/>
      <c r="H33" s="2282"/>
      <c r="I33" s="2282"/>
      <c r="J33" s="2283">
        <f>J30-J32</f>
        <v>0.12404658296158867</v>
      </c>
      <c r="K33" s="2283">
        <f t="shared" ref="K33:Z33" si="5">K30-K32</f>
        <v>4.5412271372274139E-2</v>
      </c>
      <c r="L33" s="2283">
        <f t="shared" si="5"/>
        <v>6.1821495689741907E-2</v>
      </c>
      <c r="M33" s="2283">
        <f t="shared" si="5"/>
        <v>6.0267637623837564E-2</v>
      </c>
      <c r="N33" s="2283">
        <f t="shared" si="5"/>
        <v>5.0453715618054569E-2</v>
      </c>
      <c r="O33" s="2283">
        <f t="shared" si="5"/>
        <v>6.3081996272193241E-2</v>
      </c>
      <c r="P33" s="2284">
        <f t="shared" si="5"/>
        <v>0.11801909791969799</v>
      </c>
      <c r="Q33" s="2312">
        <f t="shared" ca="1" si="5"/>
        <v>0.11992231311251855</v>
      </c>
      <c r="R33" s="2312">
        <f t="shared" ca="1" si="5"/>
        <v>0.11333967167086349</v>
      </c>
      <c r="S33" s="2312">
        <f t="shared" ca="1" si="5"/>
        <v>0.12328786085454213</v>
      </c>
      <c r="T33" s="2312">
        <f t="shared" ca="1" si="5"/>
        <v>0.11259959109349851</v>
      </c>
      <c r="U33" s="2312">
        <f t="shared" ca="1" si="5"/>
        <v>0.12934121376975416</v>
      </c>
      <c r="V33" s="2312">
        <f t="shared" ca="1" si="5"/>
        <v>0.12895872603038713</v>
      </c>
      <c r="W33" s="2312">
        <f t="shared" ca="1" si="5"/>
        <v>0.11994178414202189</v>
      </c>
      <c r="X33" s="2312">
        <f t="shared" ca="1" si="5"/>
        <v>0.12494126539579474</v>
      </c>
      <c r="Y33" s="2312">
        <f t="shared" ca="1" si="5"/>
        <v>0.10163302444332445</v>
      </c>
      <c r="Z33" s="2312">
        <f t="shared" ca="1" si="5"/>
        <v>9.8939942187477412E-2</v>
      </c>
    </row>
    <row r="34" spans="2:26" s="2251" customFormat="1" ht="13.8" thickTop="1" x14ac:dyDescent="0.25">
      <c r="J34" s="2275"/>
      <c r="K34" s="2275"/>
      <c r="L34" s="2275"/>
      <c r="M34" s="2275"/>
      <c r="N34" s="2275"/>
      <c r="O34" s="2275"/>
      <c r="P34" s="2276"/>
      <c r="Q34" s="2275"/>
      <c r="R34" s="2275"/>
      <c r="S34" s="2275"/>
      <c r="T34" s="2275"/>
      <c r="U34" s="2275"/>
      <c r="V34" s="2275"/>
      <c r="W34" s="2275"/>
      <c r="X34" s="2275"/>
      <c r="Y34" s="2275"/>
      <c r="Z34" s="2275"/>
    </row>
    <row r="35" spans="2:26" s="2251" customFormat="1" x14ac:dyDescent="0.25">
      <c r="N35" s="2267"/>
      <c r="O35" s="2267"/>
      <c r="P35" s="2286"/>
      <c r="Q35" s="2267"/>
      <c r="R35" s="2267"/>
      <c r="S35" s="2267"/>
      <c r="T35" s="2267"/>
      <c r="U35" s="2267"/>
      <c r="V35" s="2267"/>
      <c r="W35" s="2267"/>
      <c r="X35" s="2267"/>
      <c r="Y35" s="2267"/>
    </row>
    <row r="36" spans="2:26" s="2251" customFormat="1" x14ac:dyDescent="0.25">
      <c r="D36" s="2287"/>
      <c r="E36" s="2287"/>
      <c r="F36" s="2287"/>
      <c r="G36" s="2287"/>
      <c r="H36" s="2287"/>
      <c r="I36" s="2287"/>
      <c r="J36" s="2287"/>
      <c r="K36" s="2287"/>
      <c r="N36" s="2267"/>
      <c r="O36" s="2267"/>
      <c r="P36" s="2286"/>
      <c r="Q36" s="2267"/>
      <c r="R36" s="2267"/>
      <c r="S36" s="2267"/>
      <c r="T36" s="2267"/>
      <c r="U36" s="2267"/>
      <c r="V36" s="2267"/>
      <c r="W36" s="2267"/>
      <c r="X36" s="2267"/>
      <c r="Y36" s="2267"/>
    </row>
    <row r="37" spans="2:26" x14ac:dyDescent="0.25">
      <c r="B37" s="2255"/>
      <c r="C37" s="2255"/>
      <c r="D37" s="2256"/>
      <c r="E37" s="2256"/>
      <c r="F37" s="2256"/>
      <c r="G37" s="2256"/>
      <c r="H37" s="2256"/>
      <c r="I37" s="2256"/>
      <c r="J37" s="2256"/>
      <c r="K37" s="2256"/>
      <c r="L37" s="2257"/>
      <c r="M37" s="2257"/>
      <c r="N37" s="2257"/>
      <c r="O37" s="2257"/>
      <c r="P37" s="2288"/>
      <c r="Q37" s="2260"/>
      <c r="R37" s="2260"/>
      <c r="S37" s="2260"/>
      <c r="T37" s="2260"/>
      <c r="U37" s="2260"/>
      <c r="V37" s="2260"/>
      <c r="W37" s="2260"/>
      <c r="X37" s="2260"/>
      <c r="Y37" s="2260"/>
      <c r="Z37" s="2260"/>
    </row>
    <row r="38" spans="2:26" ht="13.8" thickBot="1" x14ac:dyDescent="0.3">
      <c r="B38" s="2289" t="s">
        <v>503</v>
      </c>
      <c r="C38" s="2290"/>
      <c r="D38" s="2291">
        <f>D3</f>
        <v>40178</v>
      </c>
      <c r="E38" s="2291">
        <f t="shared" ref="E38:Z38" si="6">E3</f>
        <v>40543</v>
      </c>
      <c r="F38" s="2291">
        <f t="shared" si="6"/>
        <v>40908</v>
      </c>
      <c r="G38" s="2291">
        <f t="shared" si="6"/>
        <v>41274</v>
      </c>
      <c r="H38" s="2291">
        <f t="shared" si="6"/>
        <v>41639</v>
      </c>
      <c r="I38" s="2291">
        <f t="shared" si="6"/>
        <v>42004</v>
      </c>
      <c r="J38" s="2291">
        <f t="shared" si="6"/>
        <v>42369</v>
      </c>
      <c r="K38" s="2291">
        <f t="shared" si="6"/>
        <v>42735</v>
      </c>
      <c r="L38" s="2291">
        <f t="shared" si="6"/>
        <v>43100</v>
      </c>
      <c r="M38" s="2291">
        <f t="shared" si="6"/>
        <v>43465</v>
      </c>
      <c r="N38" s="2291">
        <f t="shared" si="6"/>
        <v>43830</v>
      </c>
      <c r="O38" s="2291">
        <f t="shared" si="6"/>
        <v>44196</v>
      </c>
      <c r="P38" s="2292">
        <f t="shared" si="6"/>
        <v>44561</v>
      </c>
      <c r="Q38" s="2313">
        <f t="shared" si="6"/>
        <v>44926</v>
      </c>
      <c r="R38" s="2313">
        <f t="shared" si="6"/>
        <v>45291</v>
      </c>
      <c r="S38" s="2313">
        <f t="shared" si="6"/>
        <v>45657</v>
      </c>
      <c r="T38" s="2313">
        <f t="shared" si="6"/>
        <v>46022</v>
      </c>
      <c r="U38" s="2313">
        <f t="shared" si="6"/>
        <v>46387</v>
      </c>
      <c r="V38" s="2313">
        <f t="shared" si="6"/>
        <v>46752</v>
      </c>
      <c r="W38" s="2313">
        <f t="shared" si="6"/>
        <v>47118</v>
      </c>
      <c r="X38" s="2313">
        <f t="shared" si="6"/>
        <v>47483</v>
      </c>
      <c r="Y38" s="2313">
        <f t="shared" si="6"/>
        <v>47848</v>
      </c>
      <c r="Z38" s="2313">
        <f t="shared" si="6"/>
        <v>48213</v>
      </c>
    </row>
    <row r="39" spans="2:26" ht="13.8" thickTop="1" x14ac:dyDescent="0.25">
      <c r="B39" s="2277" t="s">
        <v>504</v>
      </c>
      <c r="C39" s="2277"/>
      <c r="D39" s="2277"/>
      <c r="E39" s="2277"/>
      <c r="F39" s="2277"/>
      <c r="G39" s="2277"/>
      <c r="H39" s="2277"/>
      <c r="I39" s="2277"/>
      <c r="J39" s="2277"/>
      <c r="K39" s="2277"/>
      <c r="L39" s="2277"/>
      <c r="M39" s="2277"/>
      <c r="N39" s="2277"/>
      <c r="O39" s="2277"/>
      <c r="P39" s="2293"/>
      <c r="Q39" s="2277"/>
      <c r="R39" s="2277"/>
      <c r="S39" s="2277"/>
      <c r="T39" s="2277"/>
      <c r="U39" s="2277"/>
      <c r="V39" s="2277"/>
      <c r="W39" s="2277"/>
      <c r="X39" s="2277"/>
      <c r="Y39" s="2277"/>
    </row>
    <row r="40" spans="2:26" x14ac:dyDescent="0.25">
      <c r="B40" s="2267" t="s">
        <v>436</v>
      </c>
      <c r="D40" s="2270"/>
      <c r="E40" s="2270"/>
      <c r="F40" s="2270"/>
      <c r="G40" s="2270"/>
      <c r="H40" s="2270"/>
      <c r="I40" s="2270"/>
      <c r="J40" s="2271">
        <f>'Output-FR (show)'!J60/'Output-FR (show)'!J78</f>
        <v>0</v>
      </c>
      <c r="K40" s="2271">
        <f>'Output-FR (show)'!K60/'Output-FR (show)'!K78</f>
        <v>0</v>
      </c>
      <c r="L40" s="2271">
        <f>'Output-FR (show)'!L60/'Output-FR (show)'!L78</f>
        <v>0</v>
      </c>
      <c r="M40" s="2271">
        <f>'Output-FR (show)'!M60/'Output-FR (show)'!M78</f>
        <v>0</v>
      </c>
      <c r="N40" s="2271">
        <f>'Output-FR (show)'!N60/'Output-FR (show)'!N78</f>
        <v>0</v>
      </c>
      <c r="O40" s="2271">
        <f>'Output-FR (show)'!O60/'Output-FR (show)'!O78</f>
        <v>0</v>
      </c>
      <c r="P40" s="2272">
        <f>'Output-FR (show)'!P60/'Output-FR (show)'!P78</f>
        <v>0</v>
      </c>
      <c r="Q40" s="2307">
        <f ca="1">'Output-FR (show)'!Q60/'Output-FR (show)'!Q78</f>
        <v>1.1107878225343138E-2</v>
      </c>
      <c r="R40" s="2307">
        <f ca="1">'Output-FR (show)'!R60/'Output-FR (show)'!R78</f>
        <v>3.9928421466040752E-3</v>
      </c>
      <c r="S40" s="2307">
        <f ca="1">'Output-FR (show)'!S60/'Output-FR (show)'!S78</f>
        <v>8.5602476940218838E-4</v>
      </c>
      <c r="T40" s="2307">
        <f ca="1">'Output-FR (show)'!T60/'Output-FR (show)'!T78</f>
        <v>1.9851416237410499E-3</v>
      </c>
      <c r="U40" s="2307">
        <f ca="1">'Output-FR (show)'!U60/'Output-FR (show)'!U78</f>
        <v>1.3969256408058765E-3</v>
      </c>
      <c r="V40" s="2307">
        <f ca="1">'Output-FR (show)'!V60/'Output-FR (show)'!V78</f>
        <v>1.0949287200234594E-4</v>
      </c>
      <c r="W40" s="2307">
        <f ca="1">'Output-FR (show)'!W60/'Output-FR (show)'!W78</f>
        <v>1.5119230390330586E-3</v>
      </c>
      <c r="X40" s="2307">
        <f ca="1">'Output-FR (show)'!X60/'Output-FR (show)'!X78</f>
        <v>2.1568790540224918E-3</v>
      </c>
      <c r="Y40" s="2307">
        <f ca="1">'Output-FR (show)'!Y60/'Output-FR (show)'!Y78</f>
        <v>1.3634378002229575E-3</v>
      </c>
      <c r="Z40" s="2307">
        <f ca="1">'Output-FR (show)'!Z60/'Output-FR (show)'!Z78</f>
        <v>1.9809999296060707E-3</v>
      </c>
    </row>
    <row r="41" spans="2:26" x14ac:dyDescent="0.25">
      <c r="B41" s="2267" t="s">
        <v>437</v>
      </c>
      <c r="D41" s="2270"/>
      <c r="E41" s="2270"/>
      <c r="F41" s="2270"/>
      <c r="G41" s="2270"/>
      <c r="H41" s="2270"/>
      <c r="I41" s="2270"/>
      <c r="J41" s="2271">
        <f>'Output-FR (show)'!J61/'Output-FR (show)'!J78</f>
        <v>0.19728927930981482</v>
      </c>
      <c r="K41" s="2271">
        <f>'Output-FR (show)'!K61/'Output-FR (show)'!K78</f>
        <v>9.4507890182755419E-2</v>
      </c>
      <c r="L41" s="2271">
        <f>'Output-FR (show)'!L61/'Output-FR (show)'!L78</f>
        <v>6.2492179076268931E-2</v>
      </c>
      <c r="M41" s="2271">
        <f>'Output-FR (show)'!M61/'Output-FR (show)'!M78</f>
        <v>6.4529099684901545E-2</v>
      </c>
      <c r="N41" s="2271">
        <f>'Output-FR (show)'!N61/'Output-FR (show)'!N78</f>
        <v>8.5256195967405954E-2</v>
      </c>
      <c r="O41" s="2271">
        <f>'Output-FR (show)'!O61/'Output-FR (show)'!O78</f>
        <v>7.5642132250000563E-2</v>
      </c>
      <c r="P41" s="2272">
        <f>'Output-FR (show)'!P61/'Output-FR (show)'!P78</f>
        <v>4.4064387749101971E-2</v>
      </c>
      <c r="Q41" s="2307">
        <f ca="1">'Output-FR (show)'!Q61/'Output-FR (show)'!Q78</f>
        <v>7.9095844477365188E-2</v>
      </c>
      <c r="R41" s="2307">
        <f ca="1">'Output-FR (show)'!R61/'Output-FR (show)'!R78</f>
        <v>7.3055765637693906E-2</v>
      </c>
      <c r="S41" s="2307">
        <f ca="1">'Output-FR (show)'!S61/'Output-FR (show)'!S78</f>
        <v>8.0857885145170921E-2</v>
      </c>
      <c r="T41" s="2307">
        <f ca="1">'Output-FR (show)'!T61/'Output-FR (show)'!T78</f>
        <v>8.2108592002912109E-2</v>
      </c>
      <c r="U41" s="2307">
        <f ca="1">'Output-FR (show)'!U61/'Output-FR (show)'!U78</f>
        <v>8.6274588448975023E-2</v>
      </c>
      <c r="V41" s="2307">
        <f ca="1">'Output-FR (show)'!V61/'Output-FR (show)'!V78</f>
        <v>8.7730991664478009E-2</v>
      </c>
      <c r="W41" s="2307">
        <f ca="1">'Output-FR (show)'!W61/'Output-FR (show)'!W78</f>
        <v>9.4576088425442836E-2</v>
      </c>
      <c r="X41" s="2307">
        <f ca="1">'Output-FR (show)'!X61/'Output-FR (show)'!X78</f>
        <v>9.617086261896711E-2</v>
      </c>
      <c r="Y41" s="2307">
        <f ca="1">'Output-FR (show)'!Y61/'Output-FR (show)'!Y78</f>
        <v>0.10136917518051014</v>
      </c>
      <c r="Z41" s="2307">
        <f ca="1">'Output-FR (show)'!Z61/'Output-FR (show)'!Z78</f>
        <v>0.10815775603249782</v>
      </c>
    </row>
    <row r="42" spans="2:26" x14ac:dyDescent="0.25">
      <c r="B42" s="2267" t="s">
        <v>1939</v>
      </c>
      <c r="D42" s="2270"/>
      <c r="E42" s="2270"/>
      <c r="F42" s="2270"/>
      <c r="G42" s="2270"/>
      <c r="H42" s="2270"/>
      <c r="I42" s="2270"/>
      <c r="J42" s="2271">
        <f>'Output-FR (show)'!J62/'Output-FR (show)'!J78</f>
        <v>0.10300400206891722</v>
      </c>
      <c r="K42" s="2271">
        <f>'Output-FR (show)'!K62/'Output-FR (show)'!K78</f>
        <v>0.19111765096673491</v>
      </c>
      <c r="L42" s="2271">
        <f>'Output-FR (show)'!L62/'Output-FR (show)'!L78</f>
        <v>0.20321423476124717</v>
      </c>
      <c r="M42" s="2271">
        <f>'Output-FR (show)'!M62/'Output-FR (show)'!M78</f>
        <v>0.15526392424725977</v>
      </c>
      <c r="N42" s="2271">
        <f>'Output-FR (show)'!N62/'Output-FR (show)'!N78</f>
        <v>7.031019588911451E-2</v>
      </c>
      <c r="O42" s="2271">
        <f>'Output-FR (show)'!O62/'Output-FR (show)'!O78</f>
        <v>6.4937234246074879E-2</v>
      </c>
      <c r="P42" s="2272">
        <f>'Output-FR (show)'!P62/'Output-FR (show)'!P78</f>
        <v>8.9605338566072876E-2</v>
      </c>
      <c r="Q42" s="2307">
        <f ca="1">'Output-FR (show)'!Q62/'Output-FR (show)'!Q78</f>
        <v>6.5492125142899635E-2</v>
      </c>
      <c r="R42" s="2307">
        <f ca="1">'Output-FR (show)'!R62/'Output-FR (show)'!R78</f>
        <v>6.3541190527988317E-2</v>
      </c>
      <c r="S42" s="2307">
        <f ca="1">'Output-FR (show)'!S62/'Output-FR (show)'!S78</f>
        <v>0.10988878351292992</v>
      </c>
      <c r="T42" s="2307">
        <f ca="1">'Output-FR (show)'!T62/'Output-FR (show)'!T78</f>
        <v>0.13946562315683078</v>
      </c>
      <c r="U42" s="2307">
        <f ca="1">'Output-FR (show)'!U62/'Output-FR (show)'!U78</f>
        <v>0.16256842298898891</v>
      </c>
      <c r="V42" s="2307">
        <f ca="1">'Output-FR (show)'!V62/'Output-FR (show)'!V78</f>
        <v>0.20612100254937982</v>
      </c>
      <c r="W42" s="2307">
        <f ca="1">'Output-FR (show)'!W62/'Output-FR (show)'!W78</f>
        <v>0.21389662482683294</v>
      </c>
      <c r="X42" s="2307">
        <f ca="1">'Output-FR (show)'!X62/'Output-FR (show)'!X78</f>
        <v>0.22156885983595781</v>
      </c>
      <c r="Y42" s="2307">
        <f ca="1">'Output-FR (show)'!Y62/'Output-FR (show)'!Y78</f>
        <v>0.2498390876227784</v>
      </c>
      <c r="Z42" s="2307">
        <f ca="1">'Output-FR (show)'!Z62/'Output-FR (show)'!Z78</f>
        <v>0.26042832188529491</v>
      </c>
    </row>
    <row r="43" spans="2:26" x14ac:dyDescent="0.25">
      <c r="B43" s="2267" t="s">
        <v>1940</v>
      </c>
      <c r="D43" s="2270"/>
      <c r="E43" s="2270"/>
      <c r="F43" s="2270"/>
      <c r="G43" s="2270"/>
      <c r="H43" s="2270"/>
      <c r="I43" s="2270"/>
      <c r="J43" s="2271">
        <f>'Output-FR (show)'!J63/'Output-FR (show)'!J78</f>
        <v>0.2551477168507425</v>
      </c>
      <c r="K43" s="2271">
        <f>'Output-FR (show)'!K63/'Output-FR (show)'!K78</f>
        <v>0.25945639423288613</v>
      </c>
      <c r="L43" s="2271">
        <f>'Output-FR (show)'!L63/'Output-FR (show)'!L78</f>
        <v>0.26287728229956703</v>
      </c>
      <c r="M43" s="2271">
        <f>'Output-FR (show)'!M63/'Output-FR (show)'!M78</f>
        <v>0.29900693241393528</v>
      </c>
      <c r="N43" s="2271">
        <f>'Output-FR (show)'!N63/'Output-FR (show)'!N78</f>
        <v>0.27468874657040154</v>
      </c>
      <c r="O43" s="2271">
        <f>'Output-FR (show)'!O63/'Output-FR (show)'!O78</f>
        <v>0.28711478931283152</v>
      </c>
      <c r="P43" s="2272">
        <f>'Output-FR (show)'!P63/'Output-FR (show)'!P78</f>
        <v>0.32432693608567231</v>
      </c>
      <c r="Q43" s="2307">
        <f ca="1">'Output-FR (show)'!Q63/'Output-FR (show)'!Q78</f>
        <v>0.27036372091311356</v>
      </c>
      <c r="R43" s="2307">
        <f ca="1">'Output-FR (show)'!R63/'Output-FR (show)'!R78</f>
        <v>0.24994550698219031</v>
      </c>
      <c r="S43" s="2307">
        <f ca="1">'Output-FR (show)'!S63/'Output-FR (show)'!S78</f>
        <v>0.27287892828434074</v>
      </c>
      <c r="T43" s="2307">
        <f ca="1">'Output-FR (show)'!T63/'Output-FR (show)'!T78</f>
        <v>0.27265281650799161</v>
      </c>
      <c r="U43" s="2307">
        <f ca="1">'Output-FR (show)'!U63/'Output-FR (show)'!U78</f>
        <v>0.27076758442648458</v>
      </c>
      <c r="V43" s="2307">
        <f ca="1">'Output-FR (show)'!V63/'Output-FR (show)'!V78</f>
        <v>0.26147391139332332</v>
      </c>
      <c r="W43" s="2307">
        <f ca="1">'Output-FR (show)'!W63/'Output-FR (show)'!W78</f>
        <v>0.26379092950519234</v>
      </c>
      <c r="X43" s="2307">
        <f ca="1">'Output-FR (show)'!X63/'Output-FR (show)'!X78</f>
        <v>0.27183389353426135</v>
      </c>
      <c r="Y43" s="2307">
        <f ca="1">'Output-FR (show)'!Y63/'Output-FR (show)'!Y78</f>
        <v>0.26538367318675027</v>
      </c>
      <c r="Z43" s="2307">
        <f ca="1">'Output-FR (show)'!Z63/'Output-FR (show)'!Z78</f>
        <v>0.26800169338483415</v>
      </c>
    </row>
    <row r="44" spans="2:26" x14ac:dyDescent="0.25">
      <c r="B44" s="2267" t="s">
        <v>555</v>
      </c>
      <c r="D44" s="2270"/>
      <c r="E44" s="2270"/>
      <c r="F44" s="2270"/>
      <c r="G44" s="2270"/>
      <c r="H44" s="2270"/>
      <c r="I44" s="2270"/>
      <c r="J44" s="2271">
        <f>'Output-FR (show)'!J64/'Output-FR (show)'!J78</f>
        <v>0.16311328740191092</v>
      </c>
      <c r="K44" s="2271">
        <f>'Output-FR (show)'!K64/'Output-FR (show)'!K78</f>
        <v>0.16114167894324774</v>
      </c>
      <c r="L44" s="2271">
        <f>'Output-FR (show)'!L64/'Output-FR (show)'!L78</f>
        <v>0.18773386221263508</v>
      </c>
      <c r="M44" s="2271">
        <f>'Output-FR (show)'!M64/'Output-FR (show)'!M78</f>
        <v>0.18805086444120811</v>
      </c>
      <c r="N44" s="2271">
        <f>'Output-FR (show)'!N64/'Output-FR (show)'!N78</f>
        <v>0.19312381328547465</v>
      </c>
      <c r="O44" s="2271">
        <f>'Output-FR (show)'!O64/'Output-FR (show)'!O78</f>
        <v>0.14951064092493116</v>
      </c>
      <c r="P44" s="2272">
        <f>'Output-FR (show)'!P64/'Output-FR (show)'!P78</f>
        <v>0.16355635415571881</v>
      </c>
      <c r="Q44" s="2307">
        <f ca="1">'Output-FR (show)'!Q64/'Output-FR (show)'!Q78</f>
        <v>0.13193672411168905</v>
      </c>
      <c r="R44" s="2307">
        <f ca="1">'Output-FR (show)'!R64/'Output-FR (show)'!R78</f>
        <v>0.12328967023822469</v>
      </c>
      <c r="S44" s="2307">
        <f ca="1">'Output-FR (show)'!S64/'Output-FR (show)'!S78</f>
        <v>0.12979797953798075</v>
      </c>
      <c r="T44" s="2307">
        <f ca="1">'Output-FR (show)'!T64/'Output-FR (show)'!T78</f>
        <v>0.12684504636671443</v>
      </c>
      <c r="U44" s="2307">
        <f ca="1">'Output-FR (show)'!U64/'Output-FR (show)'!U78</f>
        <v>0.12414717884284553</v>
      </c>
      <c r="V44" s="2307">
        <f ca="1">'Output-FR (show)'!V64/'Output-FR (show)'!V78</f>
        <v>0.11911253189933708</v>
      </c>
      <c r="W44" s="2307">
        <f ca="1">'Output-FR (show)'!W64/'Output-FR (show)'!W78</f>
        <v>0.11858354465714531</v>
      </c>
      <c r="X44" s="2307">
        <f ca="1">'Output-FR (show)'!X64/'Output-FR (show)'!X78</f>
        <v>0.13412589103343103</v>
      </c>
      <c r="Y44" s="2307">
        <f ca="1">'Output-FR (show)'!Y64/'Output-FR (show)'!Y78</f>
        <v>0.13140921097105623</v>
      </c>
      <c r="Z44" s="2307">
        <f ca="1">'Output-FR (show)'!Z64/'Output-FR (show)'!Z78</f>
        <v>0.13341227513251774</v>
      </c>
    </row>
    <row r="45" spans="2:26" x14ac:dyDescent="0.25">
      <c r="B45" s="2267" t="s">
        <v>557</v>
      </c>
      <c r="D45" s="2270"/>
      <c r="E45" s="2270"/>
      <c r="F45" s="2270"/>
      <c r="G45" s="2270"/>
      <c r="H45" s="2270"/>
      <c r="I45" s="2270"/>
      <c r="J45" s="2271">
        <f>'Output-FR (show)'!J65/'Output-FR (show)'!J78</f>
        <v>4.8677019784091682E-3</v>
      </c>
      <c r="K45" s="2271">
        <f>'Output-FR (show)'!K65/'Output-FR (show)'!K78</f>
        <v>7.1338336351597616E-3</v>
      </c>
      <c r="L45" s="2271">
        <f>'Output-FR (show)'!L65/'Output-FR (show)'!L78</f>
        <v>6.0143386655431069E-3</v>
      </c>
      <c r="M45" s="2271">
        <f>'Output-FR (show)'!M65/'Output-FR (show)'!M78</f>
        <v>5.1397304331647718E-3</v>
      </c>
      <c r="N45" s="2271">
        <f>'Output-FR (show)'!N65/'Output-FR (show)'!N78</f>
        <v>1.1471182264430405E-2</v>
      </c>
      <c r="O45" s="2271">
        <f>'Output-FR (show)'!O65/'Output-FR (show)'!O78</f>
        <v>4.2897409036478018E-3</v>
      </c>
      <c r="P45" s="2272">
        <f>'Output-FR (show)'!P65/'Output-FR (show)'!P78</f>
        <v>4.3330677370311023E-3</v>
      </c>
      <c r="Q45" s="2307">
        <f ca="1">'Output-FR (show)'!Q65/'Output-FR (show)'!Q78</f>
        <v>3.4138312769697796E-3</v>
      </c>
      <c r="R45" s="2307">
        <f ca="1">'Output-FR (show)'!R65/'Output-FR (show)'!R78</f>
        <v>3.1531373025330584E-3</v>
      </c>
      <c r="S45" s="2307">
        <f ca="1">'Output-FR (show)'!S65/'Output-FR (show)'!S78</f>
        <v>3.4553288803815391E-3</v>
      </c>
      <c r="T45" s="2307">
        <f ca="1">'Output-FR (show)'!T65/'Output-FR (show)'!T78</f>
        <v>3.4399762580026487E-3</v>
      </c>
      <c r="U45" s="2307">
        <f ca="1">'Output-FR (show)'!U65/'Output-FR (show)'!U78</f>
        <v>3.4423929010046063E-3</v>
      </c>
      <c r="V45" s="2307">
        <f ca="1">'Output-FR (show)'!V65/'Output-FR (show)'!V78</f>
        <v>3.3338133437088705E-3</v>
      </c>
      <c r="W45" s="2307">
        <f ca="1">'Output-FR (show)'!W65/'Output-FR (show)'!W78</f>
        <v>3.3588128999874223E-3</v>
      </c>
      <c r="X45" s="2307">
        <f ca="1">'Output-FR (show)'!X65/'Output-FR (show)'!X78</f>
        <v>3.1920096694701503E-3</v>
      </c>
      <c r="Y45" s="2307">
        <f ca="1">'Output-FR (show)'!Y65/'Output-FR (show)'!Y78</f>
        <v>3.1298111632776602E-3</v>
      </c>
      <c r="Z45" s="2307">
        <f ca="1">'Output-FR (show)'!Z65/'Output-FR (show)'!Z78</f>
        <v>3.0777982800332332E-3</v>
      </c>
    </row>
    <row r="46" spans="2:26" x14ac:dyDescent="0.25">
      <c r="B46" s="2273" t="s">
        <v>1284</v>
      </c>
      <c r="C46" s="2273"/>
      <c r="D46" s="2274"/>
      <c r="E46" s="2274"/>
      <c r="F46" s="2274"/>
      <c r="G46" s="2274"/>
      <c r="H46" s="2274"/>
      <c r="I46" s="2274"/>
      <c r="J46" s="2275">
        <f>SUM(J40:J45)</f>
        <v>0.72342198760979459</v>
      </c>
      <c r="K46" s="2275">
        <f t="shared" ref="K46:Z46" si="7">SUM(K40:K45)</f>
        <v>0.71335744796078393</v>
      </c>
      <c r="L46" s="2275">
        <f t="shared" si="7"/>
        <v>0.72233189701526135</v>
      </c>
      <c r="M46" s="2275">
        <f t="shared" si="7"/>
        <v>0.71199055122046939</v>
      </c>
      <c r="N46" s="2275">
        <f t="shared" si="7"/>
        <v>0.6348501339768271</v>
      </c>
      <c r="O46" s="2275">
        <f t="shared" si="7"/>
        <v>0.58149453763748582</v>
      </c>
      <c r="P46" s="2276">
        <f t="shared" si="7"/>
        <v>0.62588608429359704</v>
      </c>
      <c r="Q46" s="2308">
        <f t="shared" ca="1" si="7"/>
        <v>0.56141012414738034</v>
      </c>
      <c r="R46" s="2308">
        <f t="shared" ca="1" si="7"/>
        <v>0.51697811283523443</v>
      </c>
      <c r="S46" s="2308">
        <f t="shared" ca="1" si="7"/>
        <v>0.59773493013020607</v>
      </c>
      <c r="T46" s="2308">
        <f t="shared" ca="1" si="7"/>
        <v>0.62649719591619257</v>
      </c>
      <c r="U46" s="2308">
        <f t="shared" ca="1" si="7"/>
        <v>0.64859709324910442</v>
      </c>
      <c r="V46" s="2308">
        <f t="shared" ca="1" si="7"/>
        <v>0.67788174372222954</v>
      </c>
      <c r="W46" s="2308">
        <f t="shared" ca="1" si="7"/>
        <v>0.6957179233536338</v>
      </c>
      <c r="X46" s="2308">
        <f t="shared" ca="1" si="7"/>
        <v>0.72904839574611002</v>
      </c>
      <c r="Y46" s="2308">
        <f t="shared" ca="1" si="7"/>
        <v>0.75249439592459566</v>
      </c>
      <c r="Z46" s="2308">
        <f t="shared" ca="1" si="7"/>
        <v>0.77505884464478392</v>
      </c>
    </row>
    <row r="47" spans="2:26" x14ac:dyDescent="0.25">
      <c r="D47" s="2270"/>
      <c r="E47" s="2270"/>
      <c r="F47" s="2270"/>
      <c r="G47" s="2270"/>
      <c r="H47" s="2270"/>
      <c r="I47" s="2270"/>
      <c r="J47" s="2270"/>
      <c r="K47" s="2270"/>
      <c r="L47" s="2270"/>
      <c r="M47" s="2270"/>
      <c r="N47" s="2270"/>
      <c r="O47" s="2270"/>
      <c r="P47" s="2278"/>
      <c r="Q47" s="2270"/>
      <c r="R47" s="2270"/>
      <c r="S47" s="2270"/>
      <c r="T47" s="2270"/>
      <c r="U47" s="2270"/>
      <c r="V47" s="2270"/>
      <c r="W47" s="2270"/>
      <c r="X47" s="2270"/>
      <c r="Y47" s="2270"/>
    </row>
    <row r="48" spans="2:26" x14ac:dyDescent="0.25">
      <c r="B48" s="2267" t="s">
        <v>564</v>
      </c>
      <c r="D48" s="2270"/>
      <c r="E48" s="2270"/>
      <c r="F48" s="2270"/>
      <c r="G48" s="2270"/>
      <c r="H48" s="2270"/>
      <c r="I48" s="2270"/>
      <c r="J48" s="2271">
        <f>'Output-FR (show)'!J70/'Output-FR (show)'!J78</f>
        <v>0.11760495294799976</v>
      </c>
      <c r="K48" s="2271">
        <f>'Output-FR (show)'!K70/'Output-FR (show)'!K78</f>
        <v>0.12723098662311241</v>
      </c>
      <c r="L48" s="2271">
        <f>'Output-FR (show)'!L70/'Output-FR (show)'!L78</f>
        <v>0.12600388199889731</v>
      </c>
      <c r="M48" s="2271">
        <f>'Output-FR (show)'!M70/'Output-FR (show)'!M78</f>
        <v>0.11705504778021103</v>
      </c>
      <c r="N48" s="2271">
        <f>'Output-FR (show)'!N70/'Output-FR (show)'!N78</f>
        <v>0.11123278049014981</v>
      </c>
      <c r="O48" s="2271">
        <f>'Output-FR (show)'!O70/'Output-FR (show)'!O78</f>
        <v>0.1300193756992952</v>
      </c>
      <c r="P48" s="2272">
        <f>'Output-FR (show)'!P70/'Output-FR (show)'!P78</f>
        <v>0.12016391103982278</v>
      </c>
      <c r="Q48" s="2307">
        <f ca="1">'Output-FR (show)'!Q70/'Output-FR (show)'!Q78</f>
        <v>0.22934945947787636</v>
      </c>
      <c r="R48" s="2307">
        <f ca="1">'Output-FR (show)'!R70/'Output-FR (show)'!R78</f>
        <v>0.27948539171351477</v>
      </c>
      <c r="S48" s="2307">
        <f ca="1">'Output-FR (show)'!S70/'Output-FR (show)'!S78</f>
        <v>0.21833816168552378</v>
      </c>
      <c r="T48" s="2307">
        <f ca="1">'Output-FR (show)'!T70/'Output-FR (show)'!T78</f>
        <v>0.19812551006731577</v>
      </c>
      <c r="U48" s="2307">
        <f ca="1">'Output-FR (show)'!U70/'Output-FR (show)'!U78</f>
        <v>0.18234140583087963</v>
      </c>
      <c r="V48" s="2307">
        <f ca="1">'Output-FR (show)'!V70/'Output-FR (show)'!V78</f>
        <v>0.16373358427150517</v>
      </c>
      <c r="W48" s="2307">
        <f ca="1">'Output-FR (show)'!W70/'Output-FR (show)'!W78</f>
        <v>0.15106172803402079</v>
      </c>
      <c r="X48" s="2307">
        <f ca="1">'Output-FR (show)'!X70/'Output-FR (show)'!X78</f>
        <v>0.12841686816591247</v>
      </c>
      <c r="Y48" s="2307">
        <f ca="1">'Output-FR (show)'!Y70/'Output-FR (show)'!Y78</f>
        <v>0.11056871765948255</v>
      </c>
      <c r="Z48" s="2307">
        <f ca="1">'Output-FR (show)'!Z70/'Output-FR (show)'!Z78</f>
        <v>9.3293401786100238E-2</v>
      </c>
    </row>
    <row r="49" spans="2:26" x14ac:dyDescent="0.25">
      <c r="B49" s="2267" t="s">
        <v>576</v>
      </c>
      <c r="D49" s="2270"/>
      <c r="E49" s="2270"/>
      <c r="F49" s="2270"/>
      <c r="G49" s="2270"/>
      <c r="H49" s="2270"/>
      <c r="I49" s="2270"/>
      <c r="J49" s="2271">
        <f>'Output-FR (show)'!J75/'Output-FR (show)'!J78</f>
        <v>9.5573676086471757E-2</v>
      </c>
      <c r="K49" s="2271">
        <f>'Output-FR (show)'!K75/'Output-FR (show)'!K78</f>
        <v>9.2076432418720142E-2</v>
      </c>
      <c r="L49" s="2271">
        <f>'Output-FR (show)'!L75/'Output-FR (show)'!L78</f>
        <v>9.0721785543807484E-2</v>
      </c>
      <c r="M49" s="2271">
        <f>'Output-FR (show)'!M75/'Output-FR (show)'!M78</f>
        <v>0.10006411856620893</v>
      </c>
      <c r="N49" s="2271">
        <f>'Output-FR (show)'!N75/'Output-FR (show)'!N78</f>
        <v>9.2428213297944678E-2</v>
      </c>
      <c r="O49" s="2271">
        <f>'Output-FR (show)'!O75/'Output-FR (show)'!O78</f>
        <v>9.8513039975462555E-2</v>
      </c>
      <c r="P49" s="2272">
        <f>'Output-FR (show)'!P75/'Output-FR (show)'!P78</f>
        <v>9.0184510421781203E-2</v>
      </c>
      <c r="Q49" s="2307">
        <f ca="1">'Output-FR (show)'!Q75/'Output-FR (show)'!Q78</f>
        <v>6.6125532008278295E-2</v>
      </c>
      <c r="R49" s="2307">
        <f ca="1">'Output-FR (show)'!R75/'Output-FR (show)'!R78</f>
        <v>5.8543504316332186E-2</v>
      </c>
      <c r="S49" s="2307">
        <f ca="1">'Output-FR (show)'!S75/'Output-FR (show)'!S78</f>
        <v>5.0814982556029648E-2</v>
      </c>
      <c r="T49" s="2307">
        <f ca="1">'Output-FR (show)'!T75/'Output-FR (show)'!T78</f>
        <v>4.7428600717227862E-2</v>
      </c>
      <c r="U49" s="2307">
        <f ca="1">'Output-FR (show)'!U75/'Output-FR (show)'!U78</f>
        <v>4.466101688722799E-2</v>
      </c>
      <c r="V49" s="2307">
        <f ca="1">'Output-FR (show)'!V75/'Output-FR (show)'!V78</f>
        <v>4.1244286065237938E-2</v>
      </c>
      <c r="W49" s="2307">
        <f ca="1">'Output-FR (show)'!W75/'Output-FR (show)'!W78</f>
        <v>3.927822896096933E-2</v>
      </c>
      <c r="X49" s="2307">
        <f ca="1">'Output-FR (show)'!X75/'Output-FR (show)'!X78</f>
        <v>3.593948182769785E-2</v>
      </c>
      <c r="Y49" s="2307">
        <f ca="1">'Output-FR (show)'!Y75/'Output-FR (show)'!Y78</f>
        <v>3.3875434616728477E-2</v>
      </c>
      <c r="Z49" s="2307">
        <f ca="1">'Output-FR (show)'!Z75/'Output-FR (show)'!Z78</f>
        <v>3.1971540731098501E-2</v>
      </c>
    </row>
    <row r="50" spans="2:26" x14ac:dyDescent="0.25">
      <c r="B50" s="2267" t="s">
        <v>567</v>
      </c>
      <c r="D50" s="2270"/>
      <c r="E50" s="2270"/>
      <c r="F50" s="2270"/>
      <c r="G50" s="2270"/>
      <c r="H50" s="2270"/>
      <c r="I50" s="2270"/>
      <c r="J50" s="2271">
        <f>'Output-FR (show)'!J71/'Output-FR (show)'!J78</f>
        <v>3.9958788983227654E-2</v>
      </c>
      <c r="K50" s="2271">
        <f>'Output-FR (show)'!K71/'Output-FR (show)'!K78</f>
        <v>3.7149755148163731E-2</v>
      </c>
      <c r="L50" s="2271">
        <f>'Output-FR (show)'!L71/'Output-FR (show)'!L78</f>
        <v>3.3902662900277401E-2</v>
      </c>
      <c r="M50" s="2271">
        <f>'Output-FR (show)'!M71/'Output-FR (show)'!M78</f>
        <v>3.5531813199817637E-2</v>
      </c>
      <c r="N50" s="2271">
        <f>'Output-FR (show)'!N71/'Output-FR (show)'!N78</f>
        <v>3.4811400726218626E-2</v>
      </c>
      <c r="O50" s="2271">
        <f>'Output-FR (show)'!O71/'Output-FR (show)'!O78</f>
        <v>4.2946346576612983E-2</v>
      </c>
      <c r="P50" s="2272">
        <f>'Output-FR (show)'!P71/'Output-FR (show)'!P78</f>
        <v>3.8887408762263959E-2</v>
      </c>
      <c r="Q50" s="2307">
        <f ca="1">'Output-FR (show)'!Q71/'Output-FR (show)'!Q78</f>
        <v>3.8442312592464722E-2</v>
      </c>
      <c r="R50" s="2307">
        <f ca="1">'Output-FR (show)'!R71/'Output-FR (show)'!R78</f>
        <v>4.0429196075809373E-2</v>
      </c>
      <c r="S50" s="2307">
        <f ca="1">'Output-FR (show)'!S71/'Output-FR (show)'!S78</f>
        <v>3.5270612466681374E-2</v>
      </c>
      <c r="T50" s="2307">
        <f ca="1">'Output-FR (show)'!T71/'Output-FR (show)'!T78</f>
        <v>3.3223614755618115E-2</v>
      </c>
      <c r="U50" s="2307">
        <f ca="1">'Output-FR (show)'!U71/'Output-FR (show)'!U78</f>
        <v>3.1471203011391662E-2</v>
      </c>
      <c r="V50" s="2307">
        <f ca="1">'Output-FR (show)'!V71/'Output-FR (show)'!V78</f>
        <v>2.9296173199270033E-2</v>
      </c>
      <c r="W50" s="2307">
        <f ca="1">'Output-FR (show)'!W71/'Output-FR (show)'!W78</f>
        <v>2.8205803140011917E-2</v>
      </c>
      <c r="X50" s="2307">
        <f ca="1">'Output-FR (show)'!X71/'Output-FR (show)'!X78</f>
        <v>2.5852590857135486E-2</v>
      </c>
      <c r="Y50" s="2307">
        <f ca="1">'Output-FR (show)'!Y71/'Output-FR (show)'!Y78</f>
        <v>2.4421407859671854E-2</v>
      </c>
      <c r="Z50" s="2307">
        <f ca="1">'Output-FR (show)'!Z71/'Output-FR (show)'!Z78</f>
        <v>2.3113266600823083E-2</v>
      </c>
    </row>
    <row r="51" spans="2:26" x14ac:dyDescent="0.25">
      <c r="B51" s="2267" t="s">
        <v>1293</v>
      </c>
      <c r="D51" s="2270"/>
      <c r="E51" s="2270"/>
      <c r="F51" s="2270"/>
      <c r="G51" s="2270"/>
      <c r="H51" s="2270"/>
      <c r="I51" s="2270"/>
      <c r="J51" s="2271">
        <f>SUM('Output-FR (show)'!J72:J74,'Output-FR (show)'!J76)/'Output-FR (show)'!J78</f>
        <v>2.3440594372505952E-2</v>
      </c>
      <c r="K51" s="2271">
        <f>SUM('Output-FR (show)'!K72:K74,'Output-FR (show)'!K76)/'Output-FR (show)'!K78</f>
        <v>3.0185377849219801E-2</v>
      </c>
      <c r="L51" s="2271">
        <f>SUM('Output-FR (show)'!L72:L74,'Output-FR (show)'!L76)/'Output-FR (show)'!L78</f>
        <v>2.7039772541756425E-2</v>
      </c>
      <c r="M51" s="2271">
        <f>SUM('Output-FR (show)'!M72:M74,'Output-FR (show)'!M76)/'Output-FR (show)'!M78</f>
        <v>3.5358469233292771E-2</v>
      </c>
      <c r="N51" s="2271">
        <f>SUM('Output-FR (show)'!N72:N74,'Output-FR (show)'!N76)/'Output-FR (show)'!N78</f>
        <v>0.12667747150885983</v>
      </c>
      <c r="O51" s="2271">
        <f>SUM('Output-FR (show)'!O72:O74,'Output-FR (show)'!O76)/'Output-FR (show)'!O78</f>
        <v>0.14702670011114335</v>
      </c>
      <c r="P51" s="2272">
        <f>SUM('Output-FR (show)'!P72:P74,'Output-FR (show)'!P76)/'Output-FR (show)'!P78</f>
        <v>0.12487808548253494</v>
      </c>
      <c r="Q51" s="2307">
        <f ca="1">SUM('Output-FR (show)'!Q72:Q74,'Output-FR (show)'!Q76)/'Output-FR (show)'!Q78</f>
        <v>0.10467257177400023</v>
      </c>
      <c r="R51" s="2307">
        <f ca="1">SUM('Output-FR (show)'!R72:R74,'Output-FR (show)'!R76)/'Output-FR (show)'!R78</f>
        <v>0.10456379505910932</v>
      </c>
      <c r="S51" s="2307">
        <f ca="1">SUM('Output-FR (show)'!S72:S74,'Output-FR (show)'!S76)/'Output-FR (show)'!S78</f>
        <v>9.784131316155921E-2</v>
      </c>
      <c r="T51" s="2307">
        <f ca="1">SUM('Output-FR (show)'!T72:T74,'Output-FR (show)'!T76)/'Output-FR (show)'!T78</f>
        <v>9.4725078543645549E-2</v>
      </c>
      <c r="U51" s="2307">
        <f ca="1">SUM('Output-FR (show)'!U72:U74,'Output-FR (show)'!U76)/'Output-FR (show)'!U78</f>
        <v>9.2929281021396262E-2</v>
      </c>
      <c r="V51" s="2307">
        <f ca="1">SUM('Output-FR (show)'!V72:V74,'Output-FR (show)'!V76)/'Output-FR (show)'!V78</f>
        <v>8.7844212741757521E-2</v>
      </c>
      <c r="W51" s="2307">
        <f ca="1">SUM('Output-FR (show)'!W72:W74,'Output-FR (show)'!W76)/'Output-FR (show)'!W78</f>
        <v>8.5736316511364125E-2</v>
      </c>
      <c r="X51" s="2307">
        <f ca="1">SUM('Output-FR (show)'!X72:X74,'Output-FR (show)'!X76)/'Output-FR (show)'!X78</f>
        <v>8.0742663403144135E-2</v>
      </c>
      <c r="Y51" s="2307">
        <f ca="1">SUM('Output-FR (show)'!Y72:Y74,'Output-FR (show)'!Y76)/'Output-FR (show)'!Y78</f>
        <v>7.8640043939521467E-2</v>
      </c>
      <c r="Z51" s="2307">
        <f ca="1">SUM('Output-FR (show)'!Z72:Z74,'Output-FR (show)'!Z76)/'Output-FR (show)'!Z78</f>
        <v>7.6562946237194313E-2</v>
      </c>
    </row>
    <row r="52" spans="2:26" ht="13.8" thickBot="1" x14ac:dyDescent="0.3">
      <c r="B52" s="2281" t="s">
        <v>1297</v>
      </c>
      <c r="C52" s="2281"/>
      <c r="D52" s="2282"/>
      <c r="E52" s="2282"/>
      <c r="F52" s="2282"/>
      <c r="G52" s="2282"/>
      <c r="H52" s="2282"/>
      <c r="I52" s="2282"/>
      <c r="J52" s="2283">
        <f>J46+SUM(J48:J51)</f>
        <v>0.99999999999999978</v>
      </c>
      <c r="K52" s="2283">
        <f t="shared" ref="K52:Z52" si="8">K46+SUM(K48:K51)</f>
        <v>1</v>
      </c>
      <c r="L52" s="2283">
        <f t="shared" si="8"/>
        <v>1</v>
      </c>
      <c r="M52" s="2283">
        <f t="shared" si="8"/>
        <v>0.99999999999999978</v>
      </c>
      <c r="N52" s="2283">
        <f t="shared" si="8"/>
        <v>1</v>
      </c>
      <c r="O52" s="2283">
        <f t="shared" si="8"/>
        <v>0.99999999999999989</v>
      </c>
      <c r="P52" s="2284">
        <f t="shared" si="8"/>
        <v>1</v>
      </c>
      <c r="Q52" s="2312">
        <f t="shared" ca="1" si="8"/>
        <v>1</v>
      </c>
      <c r="R52" s="2312">
        <f t="shared" ca="1" si="8"/>
        <v>1</v>
      </c>
      <c r="S52" s="2312">
        <f t="shared" ca="1" si="8"/>
        <v>1</v>
      </c>
      <c r="T52" s="2312">
        <f t="shared" ca="1" si="8"/>
        <v>0.99999999999999989</v>
      </c>
      <c r="U52" s="2312">
        <f t="shared" ca="1" si="8"/>
        <v>1</v>
      </c>
      <c r="V52" s="2312">
        <f t="shared" ca="1" si="8"/>
        <v>1.0000000000000002</v>
      </c>
      <c r="W52" s="2312">
        <f t="shared" ca="1" si="8"/>
        <v>1</v>
      </c>
      <c r="X52" s="2312">
        <f t="shared" ca="1" si="8"/>
        <v>1</v>
      </c>
      <c r="Y52" s="2312">
        <f t="shared" ca="1" si="8"/>
        <v>1</v>
      </c>
      <c r="Z52" s="2312">
        <f t="shared" ca="1" si="8"/>
        <v>1</v>
      </c>
    </row>
    <row r="53" spans="2:26" ht="13.8" thickTop="1" x14ac:dyDescent="0.25">
      <c r="D53" s="2270"/>
      <c r="E53" s="2270"/>
      <c r="F53" s="2270"/>
      <c r="G53" s="2270"/>
      <c r="H53" s="2270"/>
      <c r="I53" s="2270"/>
      <c r="J53" s="2270"/>
      <c r="K53" s="2270"/>
      <c r="L53" s="2270"/>
      <c r="M53" s="2270"/>
      <c r="N53" s="2270"/>
      <c r="O53" s="2270"/>
      <c r="P53" s="2278"/>
      <c r="Q53" s="2270"/>
      <c r="R53" s="2270"/>
      <c r="S53" s="2270"/>
      <c r="T53" s="2270"/>
      <c r="U53" s="2270"/>
      <c r="V53" s="2270"/>
      <c r="W53" s="2270"/>
      <c r="X53" s="2270"/>
      <c r="Y53" s="2270"/>
    </row>
    <row r="54" spans="2:26" x14ac:dyDescent="0.25">
      <c r="B54" s="2277" t="s">
        <v>582</v>
      </c>
      <c r="C54" s="2277"/>
      <c r="D54" s="2294"/>
      <c r="E54" s="2294"/>
      <c r="F54" s="2294"/>
      <c r="G54" s="2294"/>
      <c r="H54" s="2294"/>
      <c r="I54" s="2294"/>
      <c r="J54" s="2294"/>
      <c r="K54" s="2294"/>
      <c r="L54" s="2294"/>
      <c r="M54" s="2294"/>
      <c r="N54" s="2294"/>
      <c r="O54" s="2294"/>
      <c r="P54" s="2295"/>
      <c r="Q54" s="2294"/>
      <c r="R54" s="2294"/>
      <c r="S54" s="2294"/>
      <c r="T54" s="2294"/>
      <c r="U54" s="2294"/>
      <c r="V54" s="2294"/>
      <c r="W54" s="2294"/>
      <c r="X54" s="2294"/>
      <c r="Y54" s="2294"/>
    </row>
    <row r="55" spans="2:26" x14ac:dyDescent="0.25">
      <c r="B55" s="2267" t="s">
        <v>445</v>
      </c>
      <c r="D55" s="2270"/>
      <c r="E55" s="2270"/>
      <c r="F55" s="2270"/>
      <c r="G55" s="2270"/>
      <c r="H55" s="2270"/>
      <c r="I55" s="2270"/>
      <c r="J55" s="2271">
        <f>'Output-FR (show)'!J83/'Output-FR (show)'!J78</f>
        <v>0</v>
      </c>
      <c r="K55" s="2271">
        <f>'Output-FR (show)'!K83/'Output-FR (show)'!K78</f>
        <v>0</v>
      </c>
      <c r="L55" s="2271">
        <f>'Output-FR (show)'!L83/'Output-FR (show)'!L78</f>
        <v>0</v>
      </c>
      <c r="M55" s="2271">
        <f>'Output-FR (show)'!M83/'Output-FR (show)'!M78</f>
        <v>0</v>
      </c>
      <c r="N55" s="2271">
        <f>'Output-FR (show)'!N83/'Output-FR (show)'!N78</f>
        <v>0</v>
      </c>
      <c r="O55" s="2271">
        <f>'Output-FR (show)'!O83/'Output-FR (show)'!O78</f>
        <v>0</v>
      </c>
      <c r="P55" s="2272">
        <f>'Output-FR (show)'!P83/'Output-FR (show)'!P78</f>
        <v>0</v>
      </c>
      <c r="Q55" s="2307">
        <f ca="1">'Output-FR (show)'!Q83/'Output-FR (show)'!Q78</f>
        <v>0</v>
      </c>
      <c r="R55" s="2307">
        <f ca="1">'Output-FR (show)'!R83/'Output-FR (show)'!R78</f>
        <v>0</v>
      </c>
      <c r="S55" s="2307">
        <f ca="1">'Output-FR (show)'!S83/'Output-FR (show)'!S78</f>
        <v>0</v>
      </c>
      <c r="T55" s="2307">
        <f ca="1">'Output-FR (show)'!T83/'Output-FR (show)'!T78</f>
        <v>0</v>
      </c>
      <c r="U55" s="2307">
        <f ca="1">'Output-FR (show)'!U83/'Output-FR (show)'!U78</f>
        <v>0</v>
      </c>
      <c r="V55" s="2307">
        <f ca="1">'Output-FR (show)'!V83/'Output-FR (show)'!V78</f>
        <v>0</v>
      </c>
      <c r="W55" s="2307">
        <f ca="1">'Output-FR (show)'!W83/'Output-FR (show)'!W78</f>
        <v>0</v>
      </c>
      <c r="X55" s="2307">
        <f ca="1">'Output-FR (show)'!X83/'Output-FR (show)'!X78</f>
        <v>0</v>
      </c>
      <c r="Y55" s="2307">
        <f ca="1">'Output-FR (show)'!Y83/'Output-FR (show)'!Y78</f>
        <v>0</v>
      </c>
      <c r="Z55" s="2307">
        <f ca="1">'Output-FR (show)'!Z83/'Output-FR (show)'!Z78</f>
        <v>0</v>
      </c>
    </row>
    <row r="56" spans="2:26" x14ac:dyDescent="0.25">
      <c r="B56" s="2267" t="s">
        <v>446</v>
      </c>
      <c r="D56" s="2270"/>
      <c r="E56" s="2270"/>
      <c r="F56" s="2270"/>
      <c r="G56" s="2270"/>
      <c r="H56" s="2270"/>
      <c r="I56" s="2270"/>
      <c r="J56" s="2271">
        <f>'Output-FR (show)'!J84/'Output-FR (show)'!J78</f>
        <v>8.1174750629461653E-2</v>
      </c>
      <c r="K56" s="2271">
        <f>'Output-FR (show)'!K84/'Output-FR (show)'!K78</f>
        <v>5.2097600511180349E-2</v>
      </c>
      <c r="L56" s="2271">
        <f>'Output-FR (show)'!L84/'Output-FR (show)'!L78</f>
        <v>0.12673293408458922</v>
      </c>
      <c r="M56" s="2271">
        <f>'Output-FR (show)'!M84/'Output-FR (show)'!M78</f>
        <v>6.6920257214157147E-2</v>
      </c>
      <c r="N56" s="2271">
        <f>'Output-FR (show)'!N84/'Output-FR (show)'!N78</f>
        <v>0.10884632935010652</v>
      </c>
      <c r="O56" s="2271">
        <f>'Output-FR (show)'!O84/'Output-FR (show)'!O78</f>
        <v>1.3979780674608441E-2</v>
      </c>
      <c r="P56" s="2272">
        <f>'Output-FR (show)'!P84/'Output-FR (show)'!P78</f>
        <v>1.3536882279156979E-2</v>
      </c>
      <c r="Q56" s="2307">
        <f ca="1">'Output-FR (show)'!Q84/'Output-FR (show)'!Q78</f>
        <v>3.4288479353406162E-2</v>
      </c>
      <c r="R56" s="2307">
        <f ca="1">'Output-FR (show)'!R84/'Output-FR (show)'!R78</f>
        <v>3.1787195445367761E-2</v>
      </c>
      <c r="S56" s="2307">
        <f ca="1">'Output-FR (show)'!S84/'Output-FR (show)'!S78</f>
        <v>3.4442661204056549E-2</v>
      </c>
      <c r="T56" s="2307">
        <f ca="1">'Output-FR (show)'!T84/'Output-FR (show)'!T78</f>
        <v>3.4305192541584345E-2</v>
      </c>
      <c r="U56" s="2307">
        <f ca="1">'Output-FR (show)'!U84/'Output-FR (show)'!U78</f>
        <v>3.4275863595171638E-2</v>
      </c>
      <c r="V56" s="2307">
        <f ca="1">'Output-FR (show)'!V84/'Output-FR (show)'!V78</f>
        <v>3.3357810400866876E-2</v>
      </c>
      <c r="W56" s="2307">
        <f ca="1">'Output-FR (show)'!W84/'Output-FR (show)'!W78</f>
        <v>3.3970161510226533E-2</v>
      </c>
      <c r="X56" s="2307">
        <f ca="1">'Output-FR (show)'!X84/'Output-FR (show)'!X78</f>
        <v>3.5739240465058691E-2</v>
      </c>
      <c r="Y56" s="2307">
        <f ca="1">'Output-FR (show)'!Y84/'Output-FR (show)'!Y78</f>
        <v>3.5454160742561643E-2</v>
      </c>
      <c r="Z56" s="2307">
        <f ca="1">'Output-FR (show)'!Z84/'Output-FR (show)'!Z78</f>
        <v>3.6257437346473763E-2</v>
      </c>
    </row>
    <row r="57" spans="2:26" x14ac:dyDescent="0.25">
      <c r="B57" s="2267" t="s">
        <v>592</v>
      </c>
      <c r="D57" s="2270"/>
      <c r="E57" s="2270"/>
      <c r="F57" s="2270"/>
      <c r="G57" s="2270"/>
      <c r="H57" s="2270"/>
      <c r="I57" s="2270"/>
      <c r="J57" s="2271">
        <f>'Output-FR (show)'!J86/'Output-FR (show)'!J78</f>
        <v>0.14202359338771325</v>
      </c>
      <c r="K57" s="2271">
        <f>'Output-FR (show)'!K86/'Output-FR (show)'!K78</f>
        <v>0.17406195681494491</v>
      </c>
      <c r="L57" s="2271">
        <f>'Output-FR (show)'!L86/'Output-FR (show)'!L78</f>
        <v>0.1270877402248955</v>
      </c>
      <c r="M57" s="2271">
        <f>'Output-FR (show)'!M86/'Output-FR (show)'!M78</f>
        <v>0.14257954660147551</v>
      </c>
      <c r="N57" s="2271">
        <f>'Output-FR (show)'!N86/'Output-FR (show)'!N78</f>
        <v>0.13044677991103612</v>
      </c>
      <c r="O57" s="2271">
        <f>'Output-FR (show)'!O86/'Output-FR (show)'!O78</f>
        <v>7.1414692700937005E-2</v>
      </c>
      <c r="P57" s="2272">
        <f>'Output-FR (show)'!P86/'Output-FR (show)'!P78</f>
        <v>6.2319522029876971E-2</v>
      </c>
      <c r="Q57" s="2307">
        <f ca="1">'Output-FR (show)'!Q86/'Output-FR (show)'!Q78</f>
        <v>8.2025036883096605E-2</v>
      </c>
      <c r="R57" s="2307">
        <f ca="1">'Output-FR (show)'!R86/'Output-FR (show)'!R78</f>
        <v>7.5761273054863798E-2</v>
      </c>
      <c r="S57" s="2307">
        <f ca="1">'Output-FR (show)'!S86/'Output-FR (show)'!S78</f>
        <v>8.3022110895913964E-2</v>
      </c>
      <c r="T57" s="2307">
        <f ca="1">'Output-FR (show)'!T86/'Output-FR (show)'!T78</f>
        <v>8.2653229333027087E-2</v>
      </c>
      <c r="U57" s="2307">
        <f ca="1">'Output-FR (show)'!U86/'Output-FR (show)'!U78</f>
        <v>8.2711294660597914E-2</v>
      </c>
      <c r="V57" s="2307">
        <f ca="1">'Output-FR (show)'!V86/'Output-FR (show)'!V78</f>
        <v>8.0102424605415098E-2</v>
      </c>
      <c r="W57" s="2307">
        <f ca="1">'Output-FR (show)'!W86/'Output-FR (show)'!W78</f>
        <v>8.0703095628509552E-2</v>
      </c>
      <c r="X57" s="2307">
        <f ca="1">'Output-FR (show)'!X86/'Output-FR (show)'!X78</f>
        <v>7.6695269808967736E-2</v>
      </c>
      <c r="Y57" s="2307">
        <f ca="1">'Output-FR (show)'!Y86/'Output-FR (show)'!Y78</f>
        <v>7.5200809670023461E-2</v>
      </c>
      <c r="Z57" s="2307">
        <f ca="1">'Output-FR (show)'!Z86/'Output-FR (show)'!Z78</f>
        <v>7.3951082217087571E-2</v>
      </c>
    </row>
    <row r="58" spans="2:26" x14ac:dyDescent="0.25">
      <c r="B58" s="2267" t="s">
        <v>594</v>
      </c>
      <c r="D58" s="2270"/>
      <c r="E58" s="2270"/>
      <c r="F58" s="2270"/>
      <c r="G58" s="2270"/>
      <c r="H58" s="2270"/>
      <c r="I58" s="2270"/>
      <c r="J58" s="2271">
        <f>('Output-FR (show)'!J85+'Output-FR (show)'!J87)/'Output-FR (show)'!J78</f>
        <v>0.2282238497424581</v>
      </c>
      <c r="K58" s="2271">
        <f>('Output-FR (show)'!K85+'Output-FR (show)'!K87)/'Output-FR (show)'!K78</f>
        <v>0.20065015927882909</v>
      </c>
      <c r="L58" s="2271">
        <f>('Output-FR (show)'!L85+'Output-FR (show)'!L87)/'Output-FR (show)'!L78</f>
        <v>0.17087488335908479</v>
      </c>
      <c r="M58" s="2271">
        <f>('Output-FR (show)'!M85+'Output-FR (show)'!M87)/'Output-FR (show)'!M78</f>
        <v>0.13722370757729832</v>
      </c>
      <c r="N58" s="2271">
        <f>('Output-FR (show)'!N85+'Output-FR (show)'!N87)/'Output-FR (show)'!N78</f>
        <v>0.11880202146380126</v>
      </c>
      <c r="O58" s="2271">
        <f>('Output-FR (show)'!O85+'Output-FR (show)'!O87)/'Output-FR (show)'!O78</f>
        <v>0.1566189257183675</v>
      </c>
      <c r="P58" s="2272">
        <f>('Output-FR (show)'!P85+'Output-FR (show)'!P87)/'Output-FR (show)'!P78</f>
        <v>0.11291883098455668</v>
      </c>
      <c r="Q58" s="2307">
        <f ca="1">('Output-FR (show)'!Q85+'Output-FR (show)'!Q87)/'Output-FR (show)'!Q78</f>
        <v>0.12931770501197726</v>
      </c>
      <c r="R58" s="2307">
        <f ca="1">('Output-FR (show)'!R85+'Output-FR (show)'!R87)/'Output-FR (show)'!R78</f>
        <v>0.11632986343611074</v>
      </c>
      <c r="S58" s="2307">
        <f ca="1">('Output-FR (show)'!S85+'Output-FR (show)'!S87)/'Output-FR (show)'!S78</f>
        <v>0.12170389459506237</v>
      </c>
      <c r="T58" s="2307">
        <f ca="1">('Output-FR (show)'!T85+'Output-FR (show)'!T87)/'Output-FR (show)'!T78</f>
        <v>0.11862344806606813</v>
      </c>
      <c r="U58" s="2307">
        <f ca="1">('Output-FR (show)'!U85+'Output-FR (show)'!U87)/'Output-FR (show)'!U78</f>
        <v>8.5125605128039114E-2</v>
      </c>
      <c r="V58" s="2307">
        <f ca="1">('Output-FR (show)'!V85+'Output-FR (show)'!V87)/'Output-FR (show)'!V78</f>
        <v>8.244058317234175E-2</v>
      </c>
      <c r="W58" s="2307">
        <f ca="1">('Output-FR (show)'!W85+'Output-FR (show)'!W87)/'Output-FR (show)'!W78</f>
        <v>4.4175886906213394E-2</v>
      </c>
      <c r="X58" s="2307">
        <f ca="1">('Output-FR (show)'!X85+'Output-FR (show)'!X87)/'Output-FR (show)'!X78</f>
        <v>4.1982052100187239E-2</v>
      </c>
      <c r="Y58" s="2307">
        <f ca="1">('Output-FR (show)'!Y85+'Output-FR (show)'!Y87)/'Output-FR (show)'!Y78</f>
        <v>3.391762508979395E-2</v>
      </c>
      <c r="Z58" s="2307">
        <f ca="1">('Output-FR (show)'!Z85+'Output-FR (show)'!Z87)/'Output-FR (show)'!Z78</f>
        <v>2.6228010155403509E-2</v>
      </c>
    </row>
    <row r="59" spans="2:26" x14ac:dyDescent="0.25">
      <c r="B59" s="2273" t="s">
        <v>1304</v>
      </c>
      <c r="C59" s="2273"/>
      <c r="D59" s="2274"/>
      <c r="E59" s="2274"/>
      <c r="F59" s="2274"/>
      <c r="G59" s="2274"/>
      <c r="H59" s="2274"/>
      <c r="I59" s="2274"/>
      <c r="J59" s="2275">
        <f>SUM(J55:J58)</f>
        <v>0.45142219375963299</v>
      </c>
      <c r="K59" s="2275">
        <f t="shared" ref="K59:Z59" si="9">SUM(K55:K58)</f>
        <v>0.42680971660495437</v>
      </c>
      <c r="L59" s="2275">
        <f t="shared" si="9"/>
        <v>0.42469555766856953</v>
      </c>
      <c r="M59" s="2275">
        <f t="shared" si="9"/>
        <v>0.34672351139293101</v>
      </c>
      <c r="N59" s="2275">
        <f t="shared" si="9"/>
        <v>0.35809513072494392</v>
      </c>
      <c r="O59" s="2275">
        <f t="shared" si="9"/>
        <v>0.24201339909391295</v>
      </c>
      <c r="P59" s="2276">
        <f t="shared" si="9"/>
        <v>0.18877523529359064</v>
      </c>
      <c r="Q59" s="2308">
        <f t="shared" ca="1" si="9"/>
        <v>0.24563122124848003</v>
      </c>
      <c r="R59" s="2308">
        <f t="shared" ca="1" si="9"/>
        <v>0.2238783319363423</v>
      </c>
      <c r="S59" s="2308">
        <f t="shared" ca="1" si="9"/>
        <v>0.23916866669503289</v>
      </c>
      <c r="T59" s="2308">
        <f t="shared" ca="1" si="9"/>
        <v>0.23558186994067956</v>
      </c>
      <c r="U59" s="2308">
        <f t="shared" ca="1" si="9"/>
        <v>0.20211276338380868</v>
      </c>
      <c r="V59" s="2308">
        <f t="shared" ca="1" si="9"/>
        <v>0.1959008181786237</v>
      </c>
      <c r="W59" s="2308">
        <f t="shared" ca="1" si="9"/>
        <v>0.15884914404494949</v>
      </c>
      <c r="X59" s="2308">
        <f t="shared" ca="1" si="9"/>
        <v>0.15441656237421367</v>
      </c>
      <c r="Y59" s="2308">
        <f t="shared" ca="1" si="9"/>
        <v>0.14457259550237905</v>
      </c>
      <c r="Z59" s="2308">
        <f t="shared" ca="1" si="9"/>
        <v>0.13643652971896486</v>
      </c>
    </row>
    <row r="60" spans="2:26" x14ac:dyDescent="0.25">
      <c r="D60" s="2270"/>
      <c r="E60" s="2270"/>
      <c r="F60" s="2270"/>
      <c r="G60" s="2270"/>
      <c r="H60" s="2270"/>
      <c r="I60" s="2270"/>
      <c r="J60" s="2270"/>
      <c r="K60" s="2270"/>
      <c r="L60" s="2270"/>
      <c r="M60" s="2270"/>
      <c r="N60" s="2270"/>
      <c r="O60" s="2270"/>
      <c r="P60" s="2278"/>
      <c r="Q60" s="2270"/>
      <c r="R60" s="2270"/>
      <c r="S60" s="2270"/>
      <c r="T60" s="2270"/>
      <c r="U60" s="2270"/>
      <c r="V60" s="2270"/>
      <c r="W60" s="2270"/>
      <c r="X60" s="2270"/>
      <c r="Y60" s="2270"/>
    </row>
    <row r="61" spans="2:26" x14ac:dyDescent="0.25">
      <c r="B61" s="2267" t="s">
        <v>603</v>
      </c>
      <c r="D61" s="2270"/>
      <c r="E61" s="2270"/>
      <c r="F61" s="2270"/>
      <c r="G61" s="2270"/>
      <c r="H61" s="2270"/>
      <c r="I61" s="2270"/>
      <c r="J61" s="2271">
        <f>'Output-FR (show)'!J92/'Output-FR (show)'!J78</f>
        <v>0</v>
      </c>
      <c r="K61" s="2271">
        <f>'Output-FR (show)'!K92/'Output-FR (show)'!K78</f>
        <v>0</v>
      </c>
      <c r="L61" s="2271">
        <f>'Output-FR (show)'!L92/'Output-FR (show)'!L78</f>
        <v>0</v>
      </c>
      <c r="M61" s="2271">
        <f>'Output-FR (show)'!M92/'Output-FR (show)'!M78</f>
        <v>0</v>
      </c>
      <c r="N61" s="2271">
        <f>'Output-FR (show)'!N92/'Output-FR (show)'!N78</f>
        <v>4.0389208624859146E-2</v>
      </c>
      <c r="O61" s="2271">
        <f>'Output-FR (show)'!O92/'Output-FR (show)'!O78</f>
        <v>4.3637982550053155E-2</v>
      </c>
      <c r="P61" s="2272">
        <f>'Output-FR (show)'!P92/'Output-FR (show)'!P78</f>
        <v>4.8921965287696136E-2</v>
      </c>
      <c r="Q61" s="2307">
        <f ca="1">'Output-FR (show)'!Q92/'Output-FR (show)'!Q78</f>
        <v>0.1120150075962698</v>
      </c>
      <c r="R61" s="2307">
        <f ca="1">'Output-FR (show)'!R92/'Output-FR (show)'!R78</f>
        <v>0.13686244898480057</v>
      </c>
      <c r="S61" s="2307">
        <f ca="1">'Output-FR (show)'!S92/'Output-FR (show)'!S78</f>
        <v>9.6909599166005264E-2</v>
      </c>
      <c r="T61" s="2307">
        <f ca="1">'Output-FR (show)'!T92/'Output-FR (show)'!T78</f>
        <v>6.0738140317523448E-2</v>
      </c>
      <c r="U61" s="2307">
        <f ca="1">'Output-FR (show)'!U92/'Output-FR (show)'!U78</f>
        <v>3.8362232951670752E-2</v>
      </c>
      <c r="V61" s="2307">
        <f ca="1">'Output-FR (show)'!V92/'Output-FR (show)'!V78</f>
        <v>1.3402525877107252E-2</v>
      </c>
      <c r="W61" s="2307">
        <f ca="1">'Output-FR (show)'!W92/'Output-FR (show)'!W78</f>
        <v>5.1687136362146193E-3</v>
      </c>
      <c r="X61" s="2307">
        <f ca="1">'Output-FR (show)'!X92/'Output-FR (show)'!X78</f>
        <v>2.4537815208889604E-3</v>
      </c>
      <c r="Y61" s="2307">
        <f ca="1">'Output-FR (show)'!Y92/'Output-FR (show)'!Y78</f>
        <v>7.7095264267786729E-4</v>
      </c>
      <c r="Z61" s="2307">
        <f ca="1">'Output-FR (show)'!Z92/'Output-FR (show)'!Z78</f>
        <v>0</v>
      </c>
    </row>
    <row r="62" spans="2:26" x14ac:dyDescent="0.25">
      <c r="B62" s="2267" t="s">
        <v>608</v>
      </c>
      <c r="D62" s="2270"/>
      <c r="E62" s="2270"/>
      <c r="F62" s="2270"/>
      <c r="G62" s="2270"/>
      <c r="H62" s="2270"/>
      <c r="I62" s="2270"/>
      <c r="J62" s="2271">
        <f>'Output-FR (show)'!J94/'Output-FR (show)'!J78</f>
        <v>0</v>
      </c>
      <c r="K62" s="2271">
        <f>'Output-FR (show)'!K94/'Output-FR (show)'!K78</f>
        <v>0</v>
      </c>
      <c r="L62" s="2271">
        <f>'Output-FR (show)'!L94/'Output-FR (show)'!L78</f>
        <v>0</v>
      </c>
      <c r="M62" s="2271">
        <f>'Output-FR (show)'!M94/'Output-FR (show)'!M78</f>
        <v>0</v>
      </c>
      <c r="N62" s="2271">
        <f>'Output-FR (show)'!N94/'Output-FR (show)'!N78</f>
        <v>0</v>
      </c>
      <c r="O62" s="2271">
        <f>'Output-FR (show)'!O94/'Output-FR (show)'!O78</f>
        <v>0</v>
      </c>
      <c r="P62" s="2272">
        <f>'Output-FR (show)'!P94/'Output-FR (show)'!P78</f>
        <v>0</v>
      </c>
      <c r="Q62" s="2307">
        <f ca="1">'Output-FR (show)'!Q94/'Output-FR (show)'!Q78</f>
        <v>0</v>
      </c>
      <c r="R62" s="2307">
        <f ca="1">'Output-FR (show)'!R94/'Output-FR (show)'!R78</f>
        <v>0</v>
      </c>
      <c r="S62" s="2307">
        <f ca="1">'Output-FR (show)'!S94/'Output-FR (show)'!S78</f>
        <v>0</v>
      </c>
      <c r="T62" s="2307">
        <f ca="1">'Output-FR (show)'!T94/'Output-FR (show)'!T78</f>
        <v>0</v>
      </c>
      <c r="U62" s="2307">
        <f ca="1">'Output-FR (show)'!U94/'Output-FR (show)'!U78</f>
        <v>0</v>
      </c>
      <c r="V62" s="2307">
        <f ca="1">'Output-FR (show)'!V94/'Output-FR (show)'!V78</f>
        <v>0</v>
      </c>
      <c r="W62" s="2307">
        <f ca="1">'Output-FR (show)'!W94/'Output-FR (show)'!W78</f>
        <v>0</v>
      </c>
      <c r="X62" s="2307">
        <f ca="1">'Output-FR (show)'!X94/'Output-FR (show)'!X78</f>
        <v>0</v>
      </c>
      <c r="Y62" s="2307">
        <f ca="1">'Output-FR (show)'!Y94/'Output-FR (show)'!Y78</f>
        <v>0</v>
      </c>
      <c r="Z62" s="2307">
        <f ca="1">'Output-FR (show)'!Z94/'Output-FR (show)'!Z78</f>
        <v>0</v>
      </c>
    </row>
    <row r="63" spans="2:26" x14ac:dyDescent="0.25">
      <c r="B63" s="2267" t="s">
        <v>612</v>
      </c>
      <c r="D63" s="2270"/>
      <c r="E63" s="2270"/>
      <c r="F63" s="2270"/>
      <c r="G63" s="2270"/>
      <c r="H63" s="2270"/>
      <c r="I63" s="2270"/>
      <c r="J63" s="2271">
        <f>'Output-FR (show)'!J95/'Output-FR (show)'!J78</f>
        <v>0</v>
      </c>
      <c r="K63" s="2271">
        <f>'Output-FR (show)'!K95/'Output-FR (show)'!K78</f>
        <v>0</v>
      </c>
      <c r="L63" s="2271">
        <f>'Output-FR (show)'!L95/'Output-FR (show)'!L78</f>
        <v>0</v>
      </c>
      <c r="M63" s="2271">
        <f>'Output-FR (show)'!M95/'Output-FR (show)'!M78</f>
        <v>0</v>
      </c>
      <c r="N63" s="2271">
        <f>'Output-FR (show)'!N95/'Output-FR (show)'!N78</f>
        <v>0</v>
      </c>
      <c r="O63" s="2271">
        <f>'Output-FR (show)'!O95/'Output-FR (show)'!O78</f>
        <v>0</v>
      </c>
      <c r="P63" s="2272">
        <f>'Output-FR (show)'!P95/'Output-FR (show)'!P78</f>
        <v>0</v>
      </c>
      <c r="Q63" s="2307">
        <f ca="1">'Output-FR (show)'!Q95/'Output-FR (show)'!Q78</f>
        <v>0</v>
      </c>
      <c r="R63" s="2307">
        <f ca="1">'Output-FR (show)'!R95/'Output-FR (show)'!R78</f>
        <v>0</v>
      </c>
      <c r="S63" s="2307">
        <f ca="1">'Output-FR (show)'!S95/'Output-FR (show)'!S78</f>
        <v>0</v>
      </c>
      <c r="T63" s="2307">
        <f ca="1">'Output-FR (show)'!T95/'Output-FR (show)'!T78</f>
        <v>0</v>
      </c>
      <c r="U63" s="2307">
        <f ca="1">'Output-FR (show)'!U95/'Output-FR (show)'!U78</f>
        <v>0</v>
      </c>
      <c r="V63" s="2307">
        <f ca="1">'Output-FR (show)'!V95/'Output-FR (show)'!V78</f>
        <v>0</v>
      </c>
      <c r="W63" s="2307">
        <f ca="1">'Output-FR (show)'!W95/'Output-FR (show)'!W78</f>
        <v>0</v>
      </c>
      <c r="X63" s="2307">
        <f ca="1">'Output-FR (show)'!X95/'Output-FR (show)'!X78</f>
        <v>0</v>
      </c>
      <c r="Y63" s="2307">
        <f ca="1">'Output-FR (show)'!Y95/'Output-FR (show)'!Y78</f>
        <v>0</v>
      </c>
      <c r="Z63" s="2307">
        <f ca="1">'Output-FR (show)'!Z95/'Output-FR (show)'!Z78</f>
        <v>0</v>
      </c>
    </row>
    <row r="64" spans="2:26" x14ac:dyDescent="0.25">
      <c r="B64" s="2267" t="s">
        <v>614</v>
      </c>
      <c r="D64" s="2270"/>
      <c r="E64" s="2270"/>
      <c r="F64" s="2270"/>
      <c r="G64" s="2270"/>
      <c r="H64" s="2270"/>
      <c r="I64" s="2270"/>
      <c r="J64" s="2271">
        <f>'Output-FR (show)'!J96/'Output-FR (show)'!J98</f>
        <v>0</v>
      </c>
      <c r="K64" s="2271">
        <f>'Output-FR (show)'!K96/'Output-FR (show)'!K98</f>
        <v>0</v>
      </c>
      <c r="L64" s="2271">
        <f>'Output-FR (show)'!L96/'Output-FR (show)'!L98</f>
        <v>0</v>
      </c>
      <c r="M64" s="2271">
        <f>'Output-FR (show)'!M96/'Output-FR (show)'!M98</f>
        <v>0</v>
      </c>
      <c r="N64" s="2271">
        <f>'Output-FR (show)'!N96/'Output-FR (show)'!N98</f>
        <v>0</v>
      </c>
      <c r="O64" s="2271">
        <f>'Output-FR (show)'!O96/'Output-FR (show)'!O98</f>
        <v>0</v>
      </c>
      <c r="P64" s="2272">
        <f>'Output-FR (show)'!P96/'Output-FR (show)'!P98</f>
        <v>0</v>
      </c>
      <c r="Q64" s="2307">
        <f>'Output-FR (show)'!Q96/'Output-FR (show)'!Q98</f>
        <v>0</v>
      </c>
      <c r="R64" s="2307">
        <f>'Output-FR (show)'!R96/'Output-FR (show)'!R98</f>
        <v>0</v>
      </c>
      <c r="S64" s="2307">
        <f>'Output-FR (show)'!S96/'Output-FR (show)'!S98</f>
        <v>0</v>
      </c>
      <c r="T64" s="2307">
        <f>'Output-FR (show)'!T96/'Output-FR (show)'!T98</f>
        <v>0</v>
      </c>
      <c r="U64" s="2307">
        <f>'Output-FR (show)'!U96/'Output-FR (show)'!U98</f>
        <v>0</v>
      </c>
      <c r="V64" s="2307">
        <f>'Output-FR (show)'!V96/'Output-FR (show)'!V98</f>
        <v>0</v>
      </c>
      <c r="W64" s="2307">
        <f>'Output-FR (show)'!W96/'Output-FR (show)'!W98</f>
        <v>0</v>
      </c>
      <c r="X64" s="2307">
        <f>'Output-FR (show)'!X96/'Output-FR (show)'!X98</f>
        <v>0</v>
      </c>
      <c r="Y64" s="2307">
        <f>'Output-FR (show)'!Y96/'Output-FR (show)'!Y98</f>
        <v>0</v>
      </c>
      <c r="Z64" s="2307">
        <f>'Output-FR (show)'!Z96/'Output-FR (show)'!Z98</f>
        <v>0</v>
      </c>
    </row>
    <row r="65" spans="1:26" x14ac:dyDescent="0.25">
      <c r="B65" s="2296" t="s">
        <v>621</v>
      </c>
      <c r="C65" s="2296"/>
      <c r="D65" s="2270"/>
      <c r="E65" s="2270"/>
      <c r="F65" s="2270"/>
      <c r="G65" s="2270"/>
      <c r="H65" s="2297"/>
      <c r="I65" s="2297"/>
      <c r="J65" s="2298">
        <f>'Output-FR (show)'!J97/'Output-FR (show)'!J78</f>
        <v>2.9683313832564756E-2</v>
      </c>
      <c r="K65" s="2298">
        <f>'Output-FR (show)'!K97/'Output-FR (show)'!K78</f>
        <v>3.4215972515509611E-2</v>
      </c>
      <c r="L65" s="2298">
        <f>'Output-FR (show)'!L97/'Output-FR (show)'!L78</f>
        <v>3.5856420574754272E-2</v>
      </c>
      <c r="M65" s="2298">
        <f>'Output-FR (show)'!M97/'Output-FR (show)'!M78</f>
        <v>3.2326264460229584E-2</v>
      </c>
      <c r="N65" s="2298">
        <f>'Output-FR (show)'!N97/'Output-FR (show)'!N78</f>
        <v>2.6089638471593509E-2</v>
      </c>
      <c r="O65" s="2298">
        <f>'Output-FR (show)'!O97/'Output-FR (show)'!O78</f>
        <v>2.6565788375548779E-2</v>
      </c>
      <c r="P65" s="2299">
        <f>'Output-FR (show)'!P97/'Output-FR (show)'!P78</f>
        <v>3.1600852651952727E-2</v>
      </c>
      <c r="Q65" s="2314">
        <f ca="1">'Output-FR (show)'!Q97/'Output-FR (show)'!Q78</f>
        <v>2.4896905774213905E-2</v>
      </c>
      <c r="R65" s="2314">
        <f ca="1">'Output-FR (show)'!R97/'Output-FR (show)'!R78</f>
        <v>2.2995677274363285E-2</v>
      </c>
      <c r="S65" s="2314">
        <f ca="1">'Output-FR (show)'!S97/'Output-FR (show)'!S78</f>
        <v>2.5199545781342592E-2</v>
      </c>
      <c r="T65" s="2314">
        <f ca="1">'Output-FR (show)'!T97/'Output-FR (show)'!T78</f>
        <v>2.508757985164568E-2</v>
      </c>
      <c r="U65" s="2314">
        <f ca="1">'Output-FR (show)'!U97/'Output-FR (show)'!U78</f>
        <v>2.5105204311739987E-2</v>
      </c>
      <c r="V65" s="2314">
        <f ca="1">'Output-FR (show)'!V97/'Output-FR (show)'!V78</f>
        <v>2.4313338871513161E-2</v>
      </c>
      <c r="W65" s="2314">
        <f ca="1">'Output-FR (show)'!W97/'Output-FR (show)'!W78</f>
        <v>2.4495659421817785E-2</v>
      </c>
      <c r="X65" s="2314">
        <f ca="1">'Output-FR (show)'!X97/'Output-FR (show)'!X78</f>
        <v>2.3279171559327627E-2</v>
      </c>
      <c r="Y65" s="2314">
        <f ca="1">'Output-FR (show)'!Y97/'Output-FR (show)'!Y78</f>
        <v>2.2825560873170395E-2</v>
      </c>
      <c r="Z65" s="2314">
        <f ca="1">'Output-FR (show)'!Z97/'Output-FR (show)'!Z78</f>
        <v>2.2446233440699528E-2</v>
      </c>
    </row>
    <row r="66" spans="1:26" x14ac:dyDescent="0.25">
      <c r="A66" s="2300"/>
      <c r="B66" s="2300" t="s">
        <v>1941</v>
      </c>
      <c r="D66" s="2270"/>
      <c r="E66" s="2270"/>
      <c r="F66" s="2270"/>
      <c r="G66" s="2301"/>
      <c r="H66" s="2270"/>
      <c r="I66" s="2270"/>
      <c r="J66" s="2275">
        <f>'Output-FR (show)'!J98/'Output-FR (show)'!J78</f>
        <v>2.9683313832564756E-2</v>
      </c>
      <c r="K66" s="2275">
        <f>'Output-FR (show)'!K98/'Output-FR (show)'!K78</f>
        <v>3.4215972515509611E-2</v>
      </c>
      <c r="L66" s="2275">
        <f>'Output-FR (show)'!L98/'Output-FR (show)'!L78</f>
        <v>3.5856420574754272E-2</v>
      </c>
      <c r="M66" s="2275">
        <f>'Output-FR (show)'!M98/'Output-FR (show)'!M78</f>
        <v>3.2326264460229584E-2</v>
      </c>
      <c r="N66" s="2275">
        <f>'Output-FR (show)'!N98/'Output-FR (show)'!N78</f>
        <v>6.6478847096452659E-2</v>
      </c>
      <c r="O66" s="2275">
        <f>'Output-FR (show)'!O98/'Output-FR (show)'!O78</f>
        <v>7.0203770925601927E-2</v>
      </c>
      <c r="P66" s="2276">
        <f>'Output-FR (show)'!P98/'Output-FR (show)'!P78</f>
        <v>8.0522817939648869E-2</v>
      </c>
      <c r="Q66" s="2308">
        <f ca="1">'Output-FR (show)'!Q98/'Output-FR (show)'!Q78</f>
        <v>0.13691191337048372</v>
      </c>
      <c r="R66" s="2308">
        <f ca="1">'Output-FR (show)'!R98/'Output-FR (show)'!R78</f>
        <v>0.15985812625916385</v>
      </c>
      <c r="S66" s="2308">
        <f ca="1">'Output-FR (show)'!S98/'Output-FR (show)'!S78</f>
        <v>0.12210914494734786</v>
      </c>
      <c r="T66" s="2308">
        <f ca="1">'Output-FR (show)'!T98/'Output-FR (show)'!T78</f>
        <v>8.5825720169169131E-2</v>
      </c>
      <c r="U66" s="2308">
        <f ca="1">'Output-FR (show)'!U98/'Output-FR (show)'!U78</f>
        <v>6.3467437263410739E-2</v>
      </c>
      <c r="V66" s="2308">
        <f ca="1">'Output-FR (show)'!V98/'Output-FR (show)'!V78</f>
        <v>3.771586474862041E-2</v>
      </c>
      <c r="W66" s="2308">
        <f ca="1">'Output-FR (show)'!W98/'Output-FR (show)'!W78</f>
        <v>2.9664373058032403E-2</v>
      </c>
      <c r="X66" s="2308">
        <f ca="1">'Output-FR (show)'!X98/'Output-FR (show)'!X78</f>
        <v>2.5732953080216586E-2</v>
      </c>
      <c r="Y66" s="2308">
        <f ca="1">'Output-FR (show)'!Y98/'Output-FR (show)'!Y78</f>
        <v>2.3596513515848263E-2</v>
      </c>
      <c r="Z66" s="2308">
        <f ca="1">'Output-FR (show)'!Z98/'Output-FR (show)'!Z78</f>
        <v>2.2446233440699528E-2</v>
      </c>
    </row>
    <row r="67" spans="1:26" ht="13.8" thickBot="1" x14ac:dyDescent="0.3">
      <c r="B67" s="2281" t="s">
        <v>1315</v>
      </c>
      <c r="C67" s="2281"/>
      <c r="D67" s="2282"/>
      <c r="E67" s="2282"/>
      <c r="F67" s="2282"/>
      <c r="G67" s="2282"/>
      <c r="H67" s="2282"/>
      <c r="I67" s="2282"/>
      <c r="J67" s="2283">
        <f>SUM(J59,J66)</f>
        <v>0.48110550759219772</v>
      </c>
      <c r="K67" s="2283">
        <f t="shared" ref="K67:Z67" si="10">SUM(K59,K66)</f>
        <v>0.46102568912046399</v>
      </c>
      <c r="L67" s="2283">
        <f t="shared" si="10"/>
        <v>0.46055197824332383</v>
      </c>
      <c r="M67" s="2283">
        <f t="shared" si="10"/>
        <v>0.37904977585316058</v>
      </c>
      <c r="N67" s="2283">
        <f t="shared" si="10"/>
        <v>0.42457397782139661</v>
      </c>
      <c r="O67" s="2283">
        <f t="shared" si="10"/>
        <v>0.31221717001951488</v>
      </c>
      <c r="P67" s="2284">
        <f t="shared" si="10"/>
        <v>0.26929805323323952</v>
      </c>
      <c r="Q67" s="2312">
        <f t="shared" ca="1" si="10"/>
        <v>0.38254313461896372</v>
      </c>
      <c r="R67" s="2312">
        <f t="shared" ca="1" si="10"/>
        <v>0.38373645819550617</v>
      </c>
      <c r="S67" s="2312">
        <f t="shared" ca="1" si="10"/>
        <v>0.36127781164238076</v>
      </c>
      <c r="T67" s="2312">
        <f t="shared" ca="1" si="10"/>
        <v>0.32140759010984871</v>
      </c>
      <c r="U67" s="2312">
        <f t="shared" ca="1" si="10"/>
        <v>0.26558020064721943</v>
      </c>
      <c r="V67" s="2312">
        <f t="shared" ca="1" si="10"/>
        <v>0.23361668292724411</v>
      </c>
      <c r="W67" s="2312">
        <f t="shared" ca="1" si="10"/>
        <v>0.18851351710298189</v>
      </c>
      <c r="X67" s="2312">
        <f t="shared" ca="1" si="10"/>
        <v>0.18014951545443025</v>
      </c>
      <c r="Y67" s="2312">
        <f t="shared" ca="1" si="10"/>
        <v>0.16816910901822732</v>
      </c>
      <c r="Z67" s="2312">
        <f t="shared" ca="1" si="10"/>
        <v>0.15888276315966438</v>
      </c>
    </row>
    <row r="68" spans="1:26" ht="13.8" thickTop="1" x14ac:dyDescent="0.25">
      <c r="D68" s="2270"/>
      <c r="E68" s="2270"/>
      <c r="F68" s="2270"/>
      <c r="G68" s="2270"/>
      <c r="H68" s="2270"/>
      <c r="I68" s="2270"/>
      <c r="J68" s="2270"/>
      <c r="K68" s="2270"/>
      <c r="L68" s="2270"/>
      <c r="M68" s="2270"/>
      <c r="N68" s="2270"/>
      <c r="O68" s="2270"/>
      <c r="P68" s="2278"/>
      <c r="Q68" s="2270"/>
      <c r="R68" s="2270"/>
      <c r="S68" s="2270"/>
      <c r="T68" s="2270"/>
      <c r="U68" s="2270"/>
      <c r="V68" s="2270"/>
      <c r="W68" s="2270"/>
      <c r="X68" s="2270"/>
      <c r="Y68" s="2270"/>
    </row>
    <row r="69" spans="1:26" x14ac:dyDescent="0.25">
      <c r="B69" s="2277" t="s">
        <v>625</v>
      </c>
      <c r="C69" s="2277"/>
      <c r="D69" s="2294"/>
      <c r="E69" s="2294"/>
      <c r="F69" s="2294"/>
      <c r="G69" s="2294"/>
      <c r="H69" s="2294"/>
      <c r="I69" s="2294"/>
      <c r="J69" s="2294"/>
      <c r="K69" s="2294"/>
      <c r="L69" s="2294"/>
      <c r="M69" s="2294"/>
      <c r="N69" s="2294"/>
      <c r="O69" s="2294"/>
      <c r="P69" s="2295"/>
      <c r="Q69" s="2294"/>
      <c r="R69" s="2294"/>
      <c r="S69" s="2294"/>
      <c r="T69" s="2294"/>
      <c r="U69" s="2294"/>
      <c r="V69" s="2294"/>
      <c r="W69" s="2294"/>
      <c r="X69" s="2294"/>
      <c r="Y69" s="2294"/>
    </row>
    <row r="70" spans="1:26" x14ac:dyDescent="0.25">
      <c r="B70" s="2267" t="s">
        <v>628</v>
      </c>
      <c r="D70" s="2270"/>
      <c r="E70" s="2270"/>
      <c r="F70" s="2270"/>
      <c r="G70" s="2270"/>
      <c r="H70" s="2270"/>
      <c r="I70" s="2270"/>
      <c r="J70" s="2271">
        <f>'Output-FR (show)'!J103/'Output-FR (show)'!J78</f>
        <v>0</v>
      </c>
      <c r="K70" s="2271">
        <f>'Output-FR (show)'!K103/'Output-FR (show)'!K78</f>
        <v>0</v>
      </c>
      <c r="L70" s="2271">
        <f>'Output-FR (show)'!L103/'Output-FR (show)'!L78</f>
        <v>0</v>
      </c>
      <c r="M70" s="2271">
        <f>'Output-FR (show)'!M103/'Output-FR (show)'!M78</f>
        <v>0</v>
      </c>
      <c r="N70" s="2271">
        <f>'Output-FR (show)'!N103/'Output-FR (show)'!N78</f>
        <v>0</v>
      </c>
      <c r="O70" s="2271">
        <f>'Output-FR (show)'!O103/'Output-FR (show)'!O78</f>
        <v>0</v>
      </c>
      <c r="P70" s="2272">
        <f>'Output-FR (show)'!P103/'Output-FR (show)'!P78</f>
        <v>0</v>
      </c>
      <c r="Q70" s="2307">
        <f ca="1">'Output-FR (show)'!Q103/'Output-FR (show)'!Q78</f>
        <v>0</v>
      </c>
      <c r="R70" s="2307">
        <f ca="1">'Output-FR (show)'!R103/'Output-FR (show)'!R78</f>
        <v>0</v>
      </c>
      <c r="S70" s="2307">
        <f ca="1">'Output-FR (show)'!S103/'Output-FR (show)'!S78</f>
        <v>0</v>
      </c>
      <c r="T70" s="2307">
        <f ca="1">'Output-FR (show)'!T103/'Output-FR (show)'!T78</f>
        <v>0</v>
      </c>
      <c r="U70" s="2307">
        <f ca="1">'Output-FR (show)'!U103/'Output-FR (show)'!U78</f>
        <v>0</v>
      </c>
      <c r="V70" s="2307">
        <f ca="1">'Output-FR (show)'!V103/'Output-FR (show)'!V78</f>
        <v>0</v>
      </c>
      <c r="W70" s="2307">
        <f ca="1">'Output-FR (show)'!W103/'Output-FR (show)'!W78</f>
        <v>0</v>
      </c>
      <c r="X70" s="2307">
        <f ca="1">'Output-FR (show)'!X103/'Output-FR (show)'!X78</f>
        <v>0</v>
      </c>
      <c r="Y70" s="2307">
        <f ca="1">'Output-FR (show)'!Y103/'Output-FR (show)'!Y78</f>
        <v>0</v>
      </c>
      <c r="Z70" s="2307">
        <f ca="1">'Output-FR (show)'!Z103/'Output-FR (show)'!Z78</f>
        <v>0</v>
      </c>
    </row>
    <row r="71" spans="1:26" x14ac:dyDescent="0.25">
      <c r="D71" s="2270"/>
      <c r="E71" s="2270"/>
      <c r="F71" s="2270"/>
      <c r="G71" s="2270"/>
      <c r="H71" s="2270"/>
      <c r="I71" s="2270"/>
      <c r="J71" s="2270"/>
      <c r="K71" s="2270"/>
      <c r="L71" s="2270"/>
      <c r="M71" s="2270"/>
      <c r="N71" s="2270"/>
      <c r="O71" s="2270"/>
      <c r="P71" s="2278"/>
      <c r="Q71" s="2270"/>
      <c r="R71" s="2270"/>
      <c r="S71" s="2270"/>
      <c r="T71" s="2270"/>
      <c r="U71" s="2270"/>
      <c r="V71" s="2270"/>
      <c r="W71" s="2270"/>
      <c r="X71" s="2270"/>
      <c r="Y71" s="2270"/>
    </row>
    <row r="72" spans="1:26" x14ac:dyDescent="0.25">
      <c r="B72" s="2277" t="s">
        <v>1942</v>
      </c>
      <c r="C72" s="2277"/>
      <c r="D72" s="2294"/>
      <c r="E72" s="2294"/>
      <c r="F72" s="2294"/>
      <c r="G72" s="2294"/>
      <c r="H72" s="2294"/>
      <c r="I72" s="2294"/>
      <c r="J72" s="2294"/>
      <c r="K72" s="2294"/>
      <c r="L72" s="2294"/>
      <c r="M72" s="2294"/>
      <c r="N72" s="2294"/>
      <c r="O72" s="2294"/>
      <c r="P72" s="2295"/>
      <c r="Q72" s="2294"/>
      <c r="R72" s="2294"/>
      <c r="S72" s="2294"/>
      <c r="T72" s="2294"/>
      <c r="U72" s="2294"/>
      <c r="V72" s="2294"/>
      <c r="W72" s="2294"/>
      <c r="X72" s="2294"/>
      <c r="Y72" s="2294"/>
    </row>
    <row r="73" spans="1:26" x14ac:dyDescent="0.25">
      <c r="B73" s="2267" t="s">
        <v>633</v>
      </c>
      <c r="D73" s="2270"/>
      <c r="E73" s="2270"/>
      <c r="F73" s="2270"/>
      <c r="G73" s="2270"/>
      <c r="H73" s="2270"/>
      <c r="I73" s="2270"/>
      <c r="J73" s="2271">
        <f>'Output-FR (show)'!J106/'Output-FR (show)'!J78</f>
        <v>0</v>
      </c>
      <c r="K73" s="2271">
        <f>'Output-FR (show)'!K106/'Output-FR (show)'!K78</f>
        <v>0</v>
      </c>
      <c r="L73" s="2271">
        <f>'Output-FR (show)'!L106/'Output-FR (show)'!L78</f>
        <v>0</v>
      </c>
      <c r="M73" s="2271">
        <f>'Output-FR (show)'!M106/'Output-FR (show)'!M78</f>
        <v>0</v>
      </c>
      <c r="N73" s="2271">
        <f>'Output-FR (show)'!N106/'Output-FR (show)'!N78</f>
        <v>0</v>
      </c>
      <c r="O73" s="2271">
        <f>'Output-FR (show)'!O106/'Output-FR (show)'!O78</f>
        <v>0</v>
      </c>
      <c r="P73" s="2272">
        <f>'Output-FR (show)'!P106/'Output-FR (show)'!P78</f>
        <v>0</v>
      </c>
      <c r="Q73" s="2307">
        <f ca="1">'Output-FR (show)'!Q106/'Output-FR (show)'!Q78</f>
        <v>0</v>
      </c>
      <c r="R73" s="2307">
        <f ca="1">'Output-FR (show)'!R106/'Output-FR (show)'!R78</f>
        <v>0</v>
      </c>
      <c r="S73" s="2307">
        <f ca="1">'Output-FR (show)'!S106/'Output-FR (show)'!S78</f>
        <v>0</v>
      </c>
      <c r="T73" s="2307">
        <f ca="1">'Output-FR (show)'!T106/'Output-FR (show)'!T78</f>
        <v>0</v>
      </c>
      <c r="U73" s="2307">
        <f ca="1">'Output-FR (show)'!U106/'Output-FR (show)'!U78</f>
        <v>0</v>
      </c>
      <c r="V73" s="2307">
        <f ca="1">'Output-FR (show)'!V106/'Output-FR (show)'!V78</f>
        <v>0</v>
      </c>
      <c r="W73" s="2307">
        <f ca="1">'Output-FR (show)'!W106/'Output-FR (show)'!W78</f>
        <v>0</v>
      </c>
      <c r="X73" s="2307">
        <f ca="1">'Output-FR (show)'!X106/'Output-FR (show)'!X78</f>
        <v>0</v>
      </c>
      <c r="Y73" s="2307">
        <f ca="1">'Output-FR (show)'!Y106/'Output-FR (show)'!Y78</f>
        <v>0</v>
      </c>
      <c r="Z73" s="2307">
        <f ca="1">'Output-FR (show)'!Z106/'Output-FR (show)'!Z78</f>
        <v>0</v>
      </c>
    </row>
    <row r="74" spans="1:26" x14ac:dyDescent="0.25">
      <c r="B74" s="2267" t="s">
        <v>636</v>
      </c>
      <c r="D74" s="2270"/>
      <c r="E74" s="2270"/>
      <c r="F74" s="2270"/>
      <c r="G74" s="2270"/>
      <c r="H74" s="2270"/>
      <c r="I74" s="2270"/>
      <c r="J74" s="2271">
        <f>'Output-FR (show)'!J107/'Output-FR (show)'!J78</f>
        <v>0.39251780066693476</v>
      </c>
      <c r="K74" s="2271">
        <f>'Output-FR (show)'!K107/'Output-FR (show)'!K78</f>
        <v>0.36519879015578266</v>
      </c>
      <c r="L74" s="2271">
        <f>'Output-FR (show)'!L107/'Output-FR (show)'!L78</f>
        <v>0.33920048252887619</v>
      </c>
      <c r="M74" s="2271">
        <f>'Output-FR (show)'!M107/'Output-FR (show)'!M78</f>
        <v>0.36517818625372828</v>
      </c>
      <c r="N74" s="2271">
        <f>'Output-FR (show)'!N107/'Output-FR (show)'!N78</f>
        <v>0.32321684366097081</v>
      </c>
      <c r="O74" s="2271">
        <f>'Output-FR (show)'!O107/'Output-FR (show)'!O78</f>
        <v>0.36439860948327585</v>
      </c>
      <c r="P74" s="2272">
        <f>'Output-FR (show)'!P107/'Output-FR (show)'!P78</f>
        <v>0.37085710335622868</v>
      </c>
      <c r="Q74" s="2307">
        <f ca="1">'Output-FR (show)'!Q107/'Output-FR (show)'!Q78</f>
        <v>0.27192167639196818</v>
      </c>
      <c r="R74" s="2307">
        <f ca="1">'Output-FR (show)'!R107/'Output-FR (show)'!R78</f>
        <v>0.240742831884733</v>
      </c>
      <c r="S74" s="2307">
        <f ca="1">'Output-FR (show)'!S107/'Output-FR (show)'!S78</f>
        <v>0.20896157388547523</v>
      </c>
      <c r="T74" s="2307">
        <f ca="1">'Output-FR (show)'!T107/'Output-FR (show)'!T78</f>
        <v>0.19503608098516831</v>
      </c>
      <c r="U74" s="2307">
        <f ca="1">'Output-FR (show)'!U107/'Output-FR (show)'!U78</f>
        <v>0.18365521172403854</v>
      </c>
      <c r="V74" s="2307">
        <f ca="1">'Output-FR (show)'!V107/'Output-FR (show)'!V78</f>
        <v>0.16960491761405191</v>
      </c>
      <c r="W74" s="2307">
        <f ca="1">'Output-FR (show)'!W107/'Output-FR (show)'!W78</f>
        <v>0.1615200897504647</v>
      </c>
      <c r="X74" s="2307">
        <f ca="1">'Output-FR (show)'!X107/'Output-FR (show)'!X78</f>
        <v>0.14779048047617707</v>
      </c>
      <c r="Y74" s="2307">
        <f ca="1">'Output-FR (show)'!Y107/'Output-FR (show)'!Y78</f>
        <v>0.13930269730509129</v>
      </c>
      <c r="Z74" s="2307">
        <f ca="1">'Output-FR (show)'!Z107/'Output-FR (show)'!Z78</f>
        <v>0.13147349727705812</v>
      </c>
    </row>
    <row r="75" spans="1:26" x14ac:dyDescent="0.25">
      <c r="B75" s="2267" t="s">
        <v>641</v>
      </c>
      <c r="D75" s="2270"/>
      <c r="E75" s="2270"/>
      <c r="F75" s="2270"/>
      <c r="G75" s="2270"/>
      <c r="H75" s="2270"/>
      <c r="I75" s="2270"/>
      <c r="J75" s="2271">
        <f>'Output-FR (show)'!J109/'Output-FR (show)'!J78</f>
        <v>9.9930716248017207E-2</v>
      </c>
      <c r="K75" s="2271">
        <f>'Output-FR (show)'!K109/'Output-FR (show)'!K78</f>
        <v>0.10878624761280252</v>
      </c>
      <c r="L75" s="2271">
        <f>'Output-FR (show)'!L109/'Output-FR (show)'!L78</f>
        <v>0.1321538400715391</v>
      </c>
      <c r="M75" s="2271">
        <f>'Output-FR (show)'!M109/'Output-FR (show)'!M78</f>
        <v>0.17386786330139178</v>
      </c>
      <c r="N75" s="2271">
        <f>'Output-FR (show)'!N109/'Output-FR (show)'!N78</f>
        <v>0.17386329407492951</v>
      </c>
      <c r="O75" s="2271">
        <f>'Output-FR (show)'!O109/'Output-FR (show)'!O78</f>
        <v>0.22701717494490314</v>
      </c>
      <c r="P75" s="2272">
        <f>'Output-FR (show)'!P109/'Output-FR (show)'!P78</f>
        <v>0.26534732369134806</v>
      </c>
      <c r="Q75" s="2307">
        <f ca="1">'Output-FR (show)'!Q109/'Output-FR (show)'!Q78</f>
        <v>0.27496690308085392</v>
      </c>
      <c r="R75" s="2307">
        <f ca="1">'Output-FR (show)'!R109/'Output-FR (show)'!R78</f>
        <v>0.3137022238433439</v>
      </c>
      <c r="S75" s="2307">
        <f ca="1">'Output-FR (show)'!S109/'Output-FR (show)'!S78</f>
        <v>0.35523996134869446</v>
      </c>
      <c r="T75" s="2307">
        <f ca="1">'Output-FR (show)'!T109/'Output-FR (show)'!T78</f>
        <v>0.40441831913051718</v>
      </c>
      <c r="U75" s="2307">
        <f ca="1">'Output-FR (show)'!U109/'Output-FR (show)'!U78</f>
        <v>0.46580563973673322</v>
      </c>
      <c r="V75" s="2307">
        <f ca="1">'Output-FR (show)'!V109/'Output-FR (show)'!V78</f>
        <v>0.51114266964066457</v>
      </c>
      <c r="W75" s="2307">
        <f ca="1">'Output-FR (show)'!W109/'Output-FR (show)'!W78</f>
        <v>0.56022493186209821</v>
      </c>
      <c r="X75" s="2307">
        <f ca="1">'Output-FR (show)'!X109/'Output-FR (show)'!X78</f>
        <v>0.58603139621378275</v>
      </c>
      <c r="Y75" s="2307">
        <f ca="1">'Output-FR (show)'!Y109/'Output-FR (show)'!Y78</f>
        <v>0.60724300180895907</v>
      </c>
      <c r="Z75" s="2307">
        <f ca="1">'Output-FR (show)'!Z109/'Output-FR (show)'!Z78</f>
        <v>0.62491490622549495</v>
      </c>
    </row>
    <row r="76" spans="1:26" x14ac:dyDescent="0.25">
      <c r="B76" s="2267" t="s">
        <v>1943</v>
      </c>
      <c r="D76" s="2270"/>
      <c r="E76" s="2270"/>
      <c r="F76" s="2270"/>
      <c r="G76" s="2270"/>
      <c r="H76" s="2270"/>
      <c r="I76" s="2270"/>
      <c r="J76" s="2271">
        <f>('Output-FR (show)'!J108+'Output-FR (show)'!J110)/'Output-FR (show)'!J78</f>
        <v>2.6445975492850066E-2</v>
      </c>
      <c r="K76" s="2271">
        <f>('Output-FR (show)'!K108+'Output-FR (show)'!K110)/'Output-FR (show)'!K78</f>
        <v>6.4989273110950943E-2</v>
      </c>
      <c r="L76" s="2271">
        <f>('Output-FR (show)'!L108+'Output-FR (show)'!L110)/'Output-FR (show)'!L78</f>
        <v>6.8093699156260859E-2</v>
      </c>
      <c r="M76" s="2271">
        <f>('Output-FR (show)'!M108+'Output-FR (show)'!M110)/'Output-FR (show)'!M78</f>
        <v>8.1904174591719253E-2</v>
      </c>
      <c r="N76" s="2271">
        <f>('Output-FR (show)'!N108+'Output-FR (show)'!N110)/'Output-FR (show)'!N78</f>
        <v>7.8345884442703115E-2</v>
      </c>
      <c r="O76" s="2271">
        <f>('Output-FR (show)'!O108+'Output-FR (show)'!O110)/'Output-FR (show)'!O78</f>
        <v>9.636704555230613E-2</v>
      </c>
      <c r="P76" s="2272">
        <f>('Output-FR (show)'!P108+'Output-FR (show)'!P110)/'Output-FR (show)'!P78</f>
        <v>9.4497519719827547E-2</v>
      </c>
      <c r="Q76" s="2307">
        <f ca="1">('Output-FR (show)'!Q108+'Output-FR (show)'!Q110)/'Output-FR (show)'!Q78</f>
        <v>7.0568285908214623E-2</v>
      </c>
      <c r="R76" s="2307">
        <f ca="1">('Output-FR (show)'!R108+'Output-FR (show)'!R110)/'Output-FR (show)'!R78</f>
        <v>6.1818486076416906E-2</v>
      </c>
      <c r="S76" s="2307">
        <f ca="1">('Output-FR (show)'!S108+'Output-FR (show)'!S110)/'Output-FR (show)'!S78</f>
        <v>7.4520653123449646E-2</v>
      </c>
      <c r="T76" s="2307">
        <f ca="1">('Output-FR (show)'!T108+'Output-FR (show)'!T110)/'Output-FR (show)'!T78</f>
        <v>7.9138009774465751E-2</v>
      </c>
      <c r="U76" s="2307">
        <f ca="1">('Output-FR (show)'!U108+'Output-FR (show)'!U110)/'Output-FR (show)'!U78</f>
        <v>8.4958947892008765E-2</v>
      </c>
      <c r="V76" s="2307">
        <f ca="1">('Output-FR (show)'!V108+'Output-FR (show)'!V110)/'Output-FR (show)'!V78</f>
        <v>8.5635729818039297E-2</v>
      </c>
      <c r="W76" s="2307">
        <f ca="1">('Output-FR (show)'!W108+'Output-FR (show)'!W110)/'Output-FR (show)'!W78</f>
        <v>8.9741461284455329E-2</v>
      </c>
      <c r="X76" s="2307">
        <f ca="1">('Output-FR (show)'!X108+'Output-FR (show)'!X110)/'Output-FR (show)'!X78</f>
        <v>8.6028607855609909E-2</v>
      </c>
      <c r="Y76" s="2307">
        <f ca="1">('Output-FR (show)'!Y108+'Output-FR (show)'!Y110)/'Output-FR (show)'!Y78</f>
        <v>8.528519186772239E-2</v>
      </c>
      <c r="Z76" s="2307">
        <f ca="1">('Output-FR (show)'!Z108+'Output-FR (show)'!Z110)/'Output-FR (show)'!Z78</f>
        <v>8.4728833337782777E-2</v>
      </c>
    </row>
    <row r="77" spans="1:26" x14ac:dyDescent="0.25">
      <c r="B77" s="2302" t="s">
        <v>1944</v>
      </c>
      <c r="C77" s="2302"/>
      <c r="D77" s="2303"/>
      <c r="E77" s="2303"/>
      <c r="F77" s="2303"/>
      <c r="G77" s="2303"/>
      <c r="H77" s="2303"/>
      <c r="I77" s="2303"/>
      <c r="J77" s="2304">
        <f>SUM(J73:J76)</f>
        <v>0.51889449240780205</v>
      </c>
      <c r="K77" s="2304">
        <f t="shared" ref="K77:Z77" si="11">SUM(K73:K76)</f>
        <v>0.53897431087953618</v>
      </c>
      <c r="L77" s="2304">
        <f t="shared" si="11"/>
        <v>0.53944802175667617</v>
      </c>
      <c r="M77" s="2304">
        <f t="shared" si="11"/>
        <v>0.62095022414683931</v>
      </c>
      <c r="N77" s="2304">
        <f t="shared" si="11"/>
        <v>0.57542602217860339</v>
      </c>
      <c r="O77" s="2304">
        <f t="shared" si="11"/>
        <v>0.68778282998048512</v>
      </c>
      <c r="P77" s="2305">
        <f t="shared" si="11"/>
        <v>0.7307019467674043</v>
      </c>
      <c r="Q77" s="2315">
        <f t="shared" ca="1" si="11"/>
        <v>0.61745686538103672</v>
      </c>
      <c r="R77" s="2315">
        <f t="shared" ca="1" si="11"/>
        <v>0.61626354180449383</v>
      </c>
      <c r="S77" s="2315">
        <f t="shared" ca="1" si="11"/>
        <v>0.6387221883576194</v>
      </c>
      <c r="T77" s="2315">
        <f t="shared" ca="1" si="11"/>
        <v>0.67859240989015124</v>
      </c>
      <c r="U77" s="2315">
        <f t="shared" ca="1" si="11"/>
        <v>0.73441979935278057</v>
      </c>
      <c r="V77" s="2315">
        <f t="shared" ca="1" si="11"/>
        <v>0.76638331707275587</v>
      </c>
      <c r="W77" s="2315">
        <f t="shared" ca="1" si="11"/>
        <v>0.8114864828970183</v>
      </c>
      <c r="X77" s="2315">
        <f t="shared" ca="1" si="11"/>
        <v>0.81985048454556975</v>
      </c>
      <c r="Y77" s="2315">
        <f t="shared" ca="1" si="11"/>
        <v>0.83183089098177276</v>
      </c>
      <c r="Z77" s="2315">
        <f t="shared" ca="1" si="11"/>
        <v>0.8411172368403359</v>
      </c>
    </row>
    <row r="78" spans="1:26" ht="13.8" thickBot="1" x14ac:dyDescent="0.3">
      <c r="B78" s="2281" t="s">
        <v>1945</v>
      </c>
      <c r="C78" s="2281"/>
      <c r="D78" s="2282"/>
      <c r="E78" s="2282"/>
      <c r="F78" s="2282"/>
      <c r="G78" s="2282"/>
      <c r="H78" s="2282"/>
      <c r="I78" s="2282"/>
      <c r="J78" s="2283">
        <f>SUM(J67,J70,J77)</f>
        <v>0.99999999999999978</v>
      </c>
      <c r="K78" s="2283">
        <f>SUM(K67,K70,K77)</f>
        <v>1.0000000000000002</v>
      </c>
      <c r="L78" s="2283">
        <f t="shared" ref="K78:Z78" si="12">SUM(L67,L70,L77)</f>
        <v>1</v>
      </c>
      <c r="M78" s="2283">
        <f t="shared" si="12"/>
        <v>0.99999999999999989</v>
      </c>
      <c r="N78" s="2283">
        <f t="shared" si="12"/>
        <v>1</v>
      </c>
      <c r="O78" s="2283">
        <f t="shared" si="12"/>
        <v>1</v>
      </c>
      <c r="P78" s="2284">
        <f t="shared" si="12"/>
        <v>1.0000000000006439</v>
      </c>
      <c r="Q78" s="2312">
        <f t="shared" ca="1" si="12"/>
        <v>1.0000000000000004</v>
      </c>
      <c r="R78" s="2312">
        <f t="shared" ca="1" si="12"/>
        <v>1</v>
      </c>
      <c r="S78" s="2312">
        <f t="shared" ca="1" si="12"/>
        <v>1.0000000000000002</v>
      </c>
      <c r="T78" s="2312">
        <f t="shared" ca="1" si="12"/>
        <v>1</v>
      </c>
      <c r="U78" s="2312">
        <f t="shared" ca="1" si="12"/>
        <v>1</v>
      </c>
      <c r="V78" s="2312">
        <f t="shared" ca="1" si="12"/>
        <v>1</v>
      </c>
      <c r="W78" s="2312">
        <f t="shared" ca="1" si="12"/>
        <v>1.0000000000000002</v>
      </c>
      <c r="X78" s="2312">
        <f t="shared" ca="1" si="12"/>
        <v>1</v>
      </c>
      <c r="Y78" s="2312">
        <f t="shared" ca="1" si="12"/>
        <v>1</v>
      </c>
      <c r="Z78" s="2312">
        <f t="shared" ca="1" si="12"/>
        <v>1.0000000000000002</v>
      </c>
    </row>
    <row r="79" spans="1:26" ht="13.8" thickTop="1" x14ac:dyDescent="0.25">
      <c r="M79" s="2267"/>
      <c r="P79" s="2306"/>
    </row>
    <row r="80" spans="1:26" x14ac:dyDescent="0.25">
      <c r="M80" s="2267"/>
    </row>
    <row r="81" s="2267" customFormat="1" x14ac:dyDescent="0.25"/>
    <row r="82" s="2267" customFormat="1" x14ac:dyDescent="0.25"/>
    <row r="83" s="2267" customFormat="1" x14ac:dyDescent="0.25"/>
    <row r="84" s="2267" customFormat="1" x14ac:dyDescent="0.25"/>
    <row r="85" s="2267" customFormat="1" x14ac:dyDescent="0.25"/>
    <row r="86" s="2267" customFormat="1" x14ac:dyDescent="0.25"/>
    <row r="87" s="2267" customFormat="1" x14ac:dyDescent="0.25"/>
    <row r="88" s="2267" customFormat="1" x14ac:dyDescent="0.25"/>
    <row r="89" s="2267" customFormat="1" x14ac:dyDescent="0.25"/>
  </sheetData>
  <mergeCells count="1">
    <mergeCell ref="B2:B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89CEE-F23A-4061-859A-3727958BC829}">
  <dimension ref="B1:C11"/>
  <sheetViews>
    <sheetView workbookViewId="0">
      <selection activeCell="I7" sqref="I7"/>
    </sheetView>
  </sheetViews>
  <sheetFormatPr defaultRowHeight="14.4" x14ac:dyDescent="0.3"/>
  <cols>
    <col min="2" max="2" width="24.44140625" customWidth="1"/>
    <col min="3" max="3" width="23.109375" customWidth="1"/>
  </cols>
  <sheetData>
    <row r="1" spans="2:3" x14ac:dyDescent="0.3">
      <c r="B1" s="2316" t="s">
        <v>2</v>
      </c>
      <c r="C1" s="2317" t="s">
        <v>1946</v>
      </c>
    </row>
    <row r="2" spans="2:3" x14ac:dyDescent="0.3">
      <c r="B2" s="103" t="s">
        <v>1947</v>
      </c>
      <c r="C2" s="108">
        <v>29.5</v>
      </c>
    </row>
    <row r="3" spans="2:3" x14ac:dyDescent="0.3">
      <c r="B3" s="103" t="s">
        <v>1948</v>
      </c>
      <c r="C3" s="108">
        <v>17.09</v>
      </c>
    </row>
    <row r="4" spans="2:3" x14ac:dyDescent="0.3">
      <c r="B4" s="103" t="s">
        <v>1949</v>
      </c>
      <c r="C4" s="108">
        <v>12.41</v>
      </c>
    </row>
    <row r="5" spans="2:3" x14ac:dyDescent="0.3">
      <c r="B5" s="103" t="s">
        <v>1950</v>
      </c>
      <c r="C5" s="108">
        <v>10.74</v>
      </c>
    </row>
    <row r="6" spans="2:3" x14ac:dyDescent="0.3">
      <c r="B6" s="103" t="s">
        <v>1951</v>
      </c>
      <c r="C6" s="108">
        <v>10.29</v>
      </c>
    </row>
    <row r="7" spans="2:3" x14ac:dyDescent="0.3">
      <c r="B7" s="103" t="s">
        <v>1952</v>
      </c>
      <c r="C7" s="108">
        <v>13.11</v>
      </c>
    </row>
    <row r="8" spans="2:3" x14ac:dyDescent="0.3">
      <c r="B8" s="103" t="s">
        <v>1953</v>
      </c>
      <c r="C8" s="108">
        <v>10.45</v>
      </c>
    </row>
    <row r="9" spans="2:3" x14ac:dyDescent="0.3">
      <c r="B9" s="329" t="s">
        <v>1954</v>
      </c>
      <c r="C9" s="2318">
        <f>MEDIAN(C2:C8)</f>
        <v>12.41</v>
      </c>
    </row>
    <row r="10" spans="2:3" x14ac:dyDescent="0.3">
      <c r="B10" s="103" t="s">
        <v>1955</v>
      </c>
      <c r="C10" s="556">
        <f>Input!P146</f>
        <v>2754.5180392465768</v>
      </c>
    </row>
    <row r="11" spans="2:3" x14ac:dyDescent="0.3">
      <c r="B11" s="2319" t="s">
        <v>1956</v>
      </c>
      <c r="C11" s="23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IS Raw</vt:lpstr>
      <vt:lpstr>BS Raw</vt:lpstr>
      <vt:lpstr>CF Raw</vt:lpstr>
      <vt:lpstr>Notes</vt:lpstr>
      <vt:lpstr>Welfare &amp; Dividends</vt:lpstr>
      <vt:lpstr>Phân loại dược phẩm</vt:lpstr>
      <vt:lpstr>Mảng dược phẩm</vt:lpstr>
      <vt:lpstr>Mảng thiết bị y tế</vt:lpstr>
      <vt:lpstr>Consol. Rev.</vt:lpstr>
      <vt:lpstr>Debt</vt:lpstr>
      <vt:lpstr>LT. Asset</vt:lpstr>
      <vt:lpstr>Input</vt:lpstr>
      <vt:lpstr>Output-FR (show)</vt:lpstr>
      <vt:lpstr>Output-FR (check)</vt:lpstr>
      <vt:lpstr>ERP-Beta</vt:lpstr>
      <vt:lpstr>Assumption &amp; Result</vt:lpstr>
      <vt:lpstr>DCF</vt:lpstr>
      <vt:lpstr>Ratio</vt:lpstr>
      <vt:lpstr>ComSize</vt:lpstr>
      <vt:lpstr>RV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Hiển Đinh</cp:lastModifiedBy>
  <dcterms:created xsi:type="dcterms:W3CDTF">2015-06-05T18:17:20Z</dcterms:created>
  <dcterms:modified xsi:type="dcterms:W3CDTF">2025-09-30T09:41:51Z</dcterms:modified>
</cp:coreProperties>
</file>